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custom-properties+xml" PartName="/docProps/custom.xml"/>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drawingml.chart+xml" PartName="/xl/charts/chart1.xml"/>
  <Override ContentType="application/vnd.openxmlformats-officedocument.drawingml.chart+xml" PartName="/xl/charts/chart2.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custom-properties" Target="docProps/custom.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Tổng hợp" sheetId="1" r:id="rId4"/>
    <sheet state="visible" name="Cài đặt" sheetId="2" r:id="rId5"/>
    <sheet state="visible" name="Nhân viên" sheetId="3" r:id="rId6"/>
    <sheet state="visible" name="Dữ liệu tháng" sheetId="4" r:id="rId7"/>
    <sheet state="visible" name="Bảng lương" sheetId="5" r:id="rId8"/>
    <sheet state="visible" name="Phiếu lương" sheetId="6" r:id="rId9"/>
    <sheet state="visible" name="Hướng dẫn" sheetId="7" r:id="rId10"/>
  </sheets>
  <definedNames>
    <definedName name="Self_Ded">'Cài đặt'!$C$29</definedName>
    <definedName name="Titles">'Cài đặt'!$G$28:$G$32</definedName>
    <definedName name="Cap_BHTN">'Cài đặt'!$C$27</definedName>
    <definedName name="BHTN_NV">'Cài đặt'!$C$20</definedName>
    <definedName name="Lunch_Cap">'Cài đặt'!$C$31</definedName>
    <definedName name="New_Cust_Bonus">'Cài đặt'!$C$32</definedName>
    <definedName name="BHXH_DN">'Cài đặt'!$C$21</definedName>
    <definedName name="Com_Rate">'Cài đặt'!$H$13:$H$18</definedName>
    <definedName name="BHYT_DN">'Cài đặt'!$C$22</definedName>
    <definedName name="Dep_Ded">'Cài đặt'!$C$30</definedName>
    <definedName name="BHYT_NV">'Cài đặt'!$C$19</definedName>
    <definedName name="Com_From">'Cài đặt'!$G$13:$G$18</definedName>
    <definedName name="Pay_Period">'Cài đặt'!$C$8</definedName>
    <definedName name="Tax_Delta">'Cài đặt'!$J$5:$J$9</definedName>
    <definedName name="Groups">'Cài đặt'!$G$21:$G$25</definedName>
    <definedName name="Tax_From">'Cài đặt'!$G$5:$G$9</definedName>
    <definedName name="BHXH_NV">'Cài đặt'!$C$18</definedName>
    <definedName name="Cap_BHXH">'Cài đặt'!$C$26</definedName>
    <definedName name="Com_Bonus">'Cài đặt'!$I$13:$I$18</definedName>
    <definedName name="Std_Days">'Cài đặt'!$C$16</definedName>
    <definedName name="BHTN_DN">'Cài đặt'!$C$23</definedName>
  </definedNames>
  <calcPr/>
  <extLst>
    <ext uri="GoogleSheetsCustomDataVersion2">
      <go:sheetsCustomData xmlns:go="http://customooxmlschemas.google.com/" r:id="rId11" roundtripDataChecksum="mQMrx0gZmj9GM+H2rb6U0g9MWJX8Fiva9uHGxFqkves="/>
    </ext>
  </extLst>
</workbook>
</file>

<file path=xl/sharedStrings.xml><?xml version="1.0" encoding="utf-8"?>
<sst xmlns="http://schemas.openxmlformats.org/spreadsheetml/2006/main" count="369" uniqueCount="276">
  <si>
    <t>DANH MỤC NHÂN VIÊN KINH DOANH</t>
  </si>
  <si>
    <t>THIẾT LẬP CHUNG &amp; THAM SỐ BẢNG LƯƠNG</t>
  </si>
  <si>
    <t>DỮ LIỆU CHẤM CÔNG &amp; DOANH SỐ THÁNG</t>
  </si>
  <si>
    <t>Chỉ nhập vào ô chữ xanh, nền cam nhạt. Các ô khác tự động tính. Các mức luật định có thể thay đổi – hãy kiểm tra lại khi có quy định mới.</t>
  </si>
  <si>
    <t>THÔNG TIN CHUNG</t>
  </si>
  <si>
    <t>Nhập thông tin cố định của nhân viên một lần; chỉ cập nhật khi có thay đổi (tăng lương, chỉ tiêu mới, người phụ thuộc…). Tối đa 40 nhân viên.</t>
  </si>
  <si>
    <t>BIỂU THUẾ LŨY TIẾN TỪNG PHẦN (5 BẬC)</t>
  </si>
  <si>
    <t>Mã NV phải duy nhất. Chữ xanh = ô nhập liệu.</t>
  </si>
  <si>
    <t>Tên công ty</t>
  </si>
  <si>
    <t>STT</t>
  </si>
  <si>
    <t>Công ty CP Thương mại ABC</t>
  </si>
  <si>
    <t>Mã NV</t>
  </si>
  <si>
    <t>Họ và tên</t>
  </si>
  <si>
    <t>Chức danh</t>
  </si>
  <si>
    <t>Bậc</t>
  </si>
  <si>
    <t>Nhóm</t>
  </si>
  <si>
    <t>Ngày vào làm</t>
  </si>
  <si>
    <t>Thu nhập tính thuế từ (VNĐ/tháng)</t>
  </si>
  <si>
    <t>Lương cơ bản (VNĐ)</t>
  </si>
  <si>
    <t>Tham gia BH</t>
  </si>
  <si>
    <t>Đến (VNĐ/tháng)</t>
  </si>
  <si>
    <t>Thuế suất</t>
  </si>
  <si>
    <t>Lương đóng BH (để trống = lương cơ bản)</t>
  </si>
  <si>
    <t>Chênh lệch thuế suất (tự động)</t>
  </si>
  <si>
    <t>Phụ cấp ăn trưa (VNĐ/tháng)</t>
  </si>
  <si>
    <t>Địa chỉ</t>
  </si>
  <si>
    <t>Phụ cấp khác – xăng xe, điện thoại (VNĐ/tháng)</t>
  </si>
  <si>
    <t>123 Đường Láng, Đống Đa, Hà Nội</t>
  </si>
  <si>
    <t>Số người phụ thuộc</t>
  </si>
  <si>
    <t>Chỉ tiêu doanh số tháng (VNĐ)</t>
  </si>
  <si>
    <t>Mã số thuế</t>
  </si>
  <si>
    <t>Số tài khoản</t>
  </si>
  <si>
    <t>Ngân hàng</t>
  </si>
  <si>
    <t>NV001</t>
  </si>
  <si>
    <t>Nguyễn Minh Tuấn</t>
  </si>
  <si>
    <t>Mỗi tháng chỉ cần cập nhật bảng này: chọn Mã NV rồi nhập ngày công, doanh số, khách hàng mới, thưởng và khấu trừ. Bảng lương tự tính.</t>
  </si>
  <si>
    <t>Giám đốc kinh doanh</t>
  </si>
  <si>
    <t>Nhóm Miền Bắc</t>
  </si>
  <si>
    <t>Họ và tên (tự động)</t>
  </si>
  <si>
    <t>Ngày công thực tế</t>
  </si>
  <si>
    <t>Nghỉ phép hưởng lương (ngày)</t>
  </si>
  <si>
    <t>Doanh số thực hiện (VNĐ)</t>
  </si>
  <si>
    <t>Người lập bảng lương</t>
  </si>
  <si>
    <t>Số khách hàng mới</t>
  </si>
  <si>
    <t>Nguyễn Thị Lan – Kế toán</t>
  </si>
  <si>
    <t>Có</t>
  </si>
  <si>
    <t>Thưởng khác (VNĐ)</t>
  </si>
  <si>
    <t>Tạm ứng (VNĐ)</t>
  </si>
  <si>
    <t>Khấu trừ khác (VNĐ)</t>
  </si>
  <si>
    <t>Ghi chú</t>
  </si>
  <si>
    <t>8123456701</t>
  </si>
  <si>
    <t>0011002233445</t>
  </si>
  <si>
    <t>Vietcombank</t>
  </si>
  <si>
    <t>KỲ LƯƠNG</t>
  </si>
  <si>
    <t>NV002</t>
  </si>
  <si>
    <t>Trần Thị Hồng Nhung</t>
  </si>
  <si>
    <t>Trưởng nhóm kinh doanh</t>
  </si>
  <si>
    <t>Tháng</t>
  </si>
  <si>
    <t>8123456702</t>
  </si>
  <si>
    <t>0021003344556</t>
  </si>
  <si>
    <t>Techcombank</t>
  </si>
  <si>
    <t>NV003</t>
  </si>
  <si>
    <t>Lê Quốc Bảo</t>
  </si>
  <si>
    <t>Nhập 1 – 12</t>
  </si>
  <si>
    <t>Nhân viên kinh doanh</t>
  </si>
  <si>
    <t>Năm</t>
  </si>
  <si>
    <t>8123456703</t>
  </si>
  <si>
    <t>0031004455667</t>
  </si>
  <si>
    <t>MB Bank</t>
  </si>
  <si>
    <t>NV004</t>
  </si>
  <si>
    <t>Trên</t>
  </si>
  <si>
    <t>Phạm Thu Hà</t>
  </si>
  <si>
    <t>Ngày đầu tháng (tự động)</t>
  </si>
  <si>
    <t>8123456704</t>
  </si>
  <si>
    <t>0041005566778</t>
  </si>
  <si>
    <t>BIDV</t>
  </si>
  <si>
    <t>NV005</t>
  </si>
  <si>
    <t>Hoàng Đức Anh</t>
  </si>
  <si>
    <t>Nhóm Miền Trung</t>
  </si>
  <si>
    <t>8123456705</t>
  </si>
  <si>
    <t>0051006677889</t>
  </si>
  <si>
    <t>NV006</t>
  </si>
  <si>
    <t>Võ Thị Mai Anh</t>
  </si>
  <si>
    <t>Ngày nghỉ hằng tuần</t>
  </si>
  <si>
    <t>Thứ 7 + Chủ nhật</t>
  </si>
  <si>
    <t>Chọn trong danh sách</t>
  </si>
  <si>
    <t>HOA HỒNG &amp; THƯỞNG THÀNH TÍCH THEO % HOÀN THÀNH CHỈ TIÊU</t>
  </si>
  <si>
    <t>8123456706</t>
  </si>
  <si>
    <t>0061007788990</t>
  </si>
  <si>
    <t>Agribank</t>
  </si>
  <si>
    <t>NV007</t>
  </si>
  <si>
    <t>Đặng Văn Khoa</t>
  </si>
  <si>
    <t>Mẫu ngày nghỉ (tự động)</t>
  </si>
  <si>
    <t>8123456707</t>
  </si>
  <si>
    <t>0071008899001</t>
  </si>
  <si>
    <t>NV008</t>
  </si>
  <si>
    <t>Bùi Thanh Hằng</t>
  </si>
  <si>
    <t>Nhóm Miền Nam</t>
  </si>
  <si>
    <t>8123456708</t>
  </si>
  <si>
    <t>0081009900112</t>
  </si>
  <si>
    <t>ACB</t>
  </si>
  <si>
    <t>NV009</t>
  </si>
  <si>
    <t>Ngô Gia Huy</t>
  </si>
  <si>
    <t>Mức</t>
  </si>
  <si>
    <t>% hoàn thành chỉ tiêu từ</t>
  </si>
  <si>
    <t>Tỷ lệ hoa hồng (% doanh số)</t>
  </si>
  <si>
    <t>Thưởng thành tích (VNĐ)</t>
  </si>
  <si>
    <t>Số ngày nghỉ lễ trong tháng</t>
  </si>
  <si>
    <t>Số ngày lễ rơi vào ngày làm việc</t>
  </si>
  <si>
    <t>Thưởng nóng hợp đồng lớn</t>
  </si>
  <si>
    <t>8123456709</t>
  </si>
  <si>
    <t>0091001011223</t>
  </si>
  <si>
    <t>NV010</t>
  </si>
  <si>
    <t>Đỗ Khánh Linh</t>
  </si>
  <si>
    <t>Mức 1 phải bắt đầu từ 0%; sắp xếp tăng dần</t>
  </si>
  <si>
    <t>Ngày công chuẩn (tự tính)</t>
  </si>
  <si>
    <t>Không</t>
  </si>
  <si>
    <t>8123456710</t>
  </si>
  <si>
    <t>0101001122334</t>
  </si>
  <si>
    <t>VPBank</t>
  </si>
  <si>
    <t>Số ngày làm việc trong tháng trừ ngày lễ</t>
  </si>
  <si>
    <t>Ngày công chuẩn – ghi đè (tùy chọn)</t>
  </si>
  <si>
    <t>Để trống để dùng số tự tính; nhập nếu công ty quy định khác (VD 26)</t>
  </si>
  <si>
    <t>Ngày công chuẩn áp dụng</t>
  </si>
  <si>
    <t>Dùng để chia lương theo ngày công</t>
  </si>
  <si>
    <t>BẢO HIỂM BẮT BUỘC</t>
  </si>
  <si>
    <t>BHXH – người lao động</t>
  </si>
  <si>
    <t>BHYT – người lao động</t>
  </si>
  <si>
    <t>BHTN – người lao động</t>
  </si>
  <si>
    <t>DANH SÁCH NHÓM KINH DOANH</t>
  </si>
  <si>
    <t>BHXH – doanh nghiệp</t>
  </si>
  <si>
    <t>Gồm 0,5% BH tai nạn lao động – bệnh nghề nghiệp</t>
  </si>
  <si>
    <t>BHYT – doanh nghiệp</t>
  </si>
  <si>
    <t>BHTN – doanh nghiệp</t>
  </si>
  <si>
    <t>Mức lương cơ sở (VNĐ)</t>
  </si>
  <si>
    <t>Áp dụng từ 01/7/2026</t>
  </si>
  <si>
    <t>Lương tối thiểu vùng (VNĐ)</t>
  </si>
  <si>
    <t>Vùng I theo Nghị định 293/2025/NĐ-CP. Đổi theo vùng của công ty</t>
  </si>
  <si>
    <t>Trần lương đóng BHXH, BHYT (tự động)</t>
  </si>
  <si>
    <t>Bằng 20 × lương cơ sở</t>
  </si>
  <si>
    <t>Phạt đi muộn</t>
  </si>
  <si>
    <t>Trần lương đóng BHTN (tự động)</t>
  </si>
  <si>
    <t>Bằng 20 × lương tối thiểu vùng</t>
  </si>
  <si>
    <t>DANH SÁCH CHỨC DANH</t>
  </si>
  <si>
    <t>THUẾ TNCN &amp; THƯỞNG</t>
  </si>
  <si>
    <t>Giảm trừ gia cảnh – bản thân (VNĐ/tháng)</t>
  </si>
  <si>
    <t>Luật Thuế TNCN số 109/2025/QH15, áp dụng từ kỳ tính thuế 2026</t>
  </si>
  <si>
    <t>Giảm trừ – mỗi người phụ thuộc (VNĐ/tháng)</t>
  </si>
  <si>
    <t>Phụ cấp ăn trưa miễn thuế tối đa (VNĐ/tháng)</t>
  </si>
  <si>
    <t>Phần vượt mức này tính vào thu nhập chịu thuế – kiểm tra theo quy định hiện hành</t>
  </si>
  <si>
    <t>Thưởng mỗi khách hàng mới (VNĐ)</t>
  </si>
  <si>
    <t>Chính sách riêng của công ty</t>
  </si>
  <si>
    <t>Nghỉ không lương 3 ngày</t>
  </si>
  <si>
    <t>Đang thử việc – chưa đóng BH</t>
  </si>
  <si>
    <t>TỔNG HỢP LƯƠNG &amp; DOANH SỐ KINH DOANH</t>
  </si>
  <si>
    <t>SỐ NHÂN VIÊN</t>
  </si>
  <si>
    <t>TỔNG DOANH SỐ (VNĐ)</t>
  </si>
  <si>
    <t>% HOÀN THÀNH CHỈ TIÊU</t>
  </si>
  <si>
    <t>TỔNG THU NHẬP (VNĐ)</t>
  </si>
  <si>
    <t>TỔNG THỰC LĨNH (VNĐ)</t>
  </si>
  <si>
    <t>BẢNG LƯƠNG NHÂN VIÊN KINH DOANH</t>
  </si>
  <si>
    <t>HOA HỒNG + THƯỞNG KD</t>
  </si>
  <si>
    <t>TỔNG BH NGƯỜI LAO ĐỘNG</t>
  </si>
  <si>
    <t>TỔNG THUẾ TNCN</t>
  </si>
  <si>
    <t>CHI PHÍ LƯƠNG DOANH NGHIỆP</t>
  </si>
  <si>
    <t>THỰC LĨNH BÌNH QUÂN/NGƯỜI</t>
  </si>
  <si>
    <t>THÔNG TIN NHÂN VIÊN</t>
  </si>
  <si>
    <t>LƯƠNG &amp; NGÀY CÔNG</t>
  </si>
  <si>
    <t>KINH DOANH &amp; HOA HỒNG</t>
  </si>
  <si>
    <t>TỔNG HỢP THEO NHÓM KINH DOANH</t>
  </si>
  <si>
    <t>PHỤ CẤP &amp; TỔNG THU NHẬP</t>
  </si>
  <si>
    <t>BẢO HIỂM BẮT BUỘC (NLĐ)</t>
  </si>
  <si>
    <t>Số NV</t>
  </si>
  <si>
    <t>THUẾ THU NHẬP CÁ NHÂN</t>
  </si>
  <si>
    <t>Chỉ tiêu</t>
  </si>
  <si>
    <t>Doanh số</t>
  </si>
  <si>
    <t>% hoàn thành</t>
  </si>
  <si>
    <t>Tổng thu nhập</t>
  </si>
  <si>
    <t>Thực lĩnh</t>
  </si>
  <si>
    <t>Thuế TNCN</t>
  </si>
  <si>
    <t>KHẤU TRỪ &amp; THỰC LĨNH</t>
  </si>
  <si>
    <t>BH người LĐ</t>
  </si>
  <si>
    <t>CHI PHÍ DOANH NGHIỆP</t>
  </si>
  <si>
    <t>Lương cơ bản</t>
  </si>
  <si>
    <t>Ngày công chuẩn</t>
  </si>
  <si>
    <t>Ngày công hưởng lương</t>
  </si>
  <si>
    <t>Lương theo ngày công</t>
  </si>
  <si>
    <t>Chỉ tiêu doanh số</t>
  </si>
  <si>
    <t>Doanh số thực hiện</t>
  </si>
  <si>
    <t>Tỷ lệ hoa hồng</t>
  </si>
  <si>
    <t>Hoa hồng</t>
  </si>
  <si>
    <t>Thưởng thành tích</t>
  </si>
  <si>
    <t>KH mới</t>
  </si>
  <si>
    <t>Thưởng KH mới</t>
  </si>
  <si>
    <t>Phụ cấp ăn trưa</t>
  </si>
  <si>
    <t>Phụ cấp khác</t>
  </si>
  <si>
    <t>Thưởng khác</t>
  </si>
  <si>
    <t>TỔNG THU NHẬP</t>
  </si>
  <si>
    <t>Lương đóng BH</t>
  </si>
  <si>
    <t>BHXH (8%)</t>
  </si>
  <si>
    <t>BHYT (1,5%)</t>
  </si>
  <si>
    <t>BHTN (1%)</t>
  </si>
  <si>
    <t>Tổng BH người LĐ</t>
  </si>
  <si>
    <t>Thu nhập miễn thuế</t>
  </si>
  <si>
    <t>Giảm trừ gia cảnh</t>
  </si>
  <si>
    <t>Thu nhập tính thuế</t>
  </si>
  <si>
    <t>Tạm ứng</t>
  </si>
  <si>
    <t>Khấu trừ khác</t>
  </si>
  <si>
    <t>THỰC LĨNH</t>
  </si>
  <si>
    <t>BH phần doanh nghiệp</t>
  </si>
  <si>
    <t>Tổng chi phí doanh nghiệp</t>
  </si>
  <si>
    <t>TỔNG CỘNG</t>
  </si>
  <si>
    <t>PHIẾU LƯƠNG NHÂN VIÊN</t>
  </si>
  <si>
    <t>Chọn mã nhân viên ▶</t>
  </si>
  <si>
    <t>Nhóm kinh doanh</t>
  </si>
  <si>
    <t>I. THU NHẬP</t>
  </si>
  <si>
    <t>II. KHẤU TRỪ</t>
  </si>
  <si>
    <t>BHXH người lao động</t>
  </si>
  <si>
    <t>Hoa hồng bán hàng</t>
  </si>
  <si>
    <t>BHYT người lao động</t>
  </si>
  <si>
    <t>BHTN người lao động</t>
  </si>
  <si>
    <t>HƯỚNG DẪN SỬ DỤNG &amp; CÔNG THỨC TÍNH LƯƠNG</t>
  </si>
  <si>
    <t>CÁC BƯỚC LÀM LƯƠNG HẰNG THÁNG</t>
  </si>
  <si>
    <t>Thưởng khách hàng mới</t>
  </si>
  <si>
    <t>Bước 1 – Cài đặt (một lần)</t>
  </si>
  <si>
    <t>Sheet «Cài đặt»: nhập thông tin công ty, tỷ lệ bảo hiểm, giảm trừ gia cảnh, biểu thuế, bảng hoa hồng, danh sách nhóm và chức danh.</t>
  </si>
  <si>
    <t>Bước 2 – Nhân viên (một lần)</t>
  </si>
  <si>
    <t>Sheet «Nhân viên»: nhập mã, tên, lương cơ bản, tham gia BH, phụ cấp, người phụ thuộc, chỉ tiêu doanh số tháng, tài khoản ngân hàng.</t>
  </si>
  <si>
    <t>Bước 3 – Chọn kỳ lương</t>
  </si>
  <si>
    <t>Sheet «Cài đặt»: đổi Tháng/Năm, nhập số ngày nghỉ lễ. Ngày công chuẩn tự tính (hoặc ghi đè nếu công ty quy định khác).</t>
  </si>
  <si>
    <t>Bước 4 – Nhập dữ liệu tháng</t>
  </si>
  <si>
    <t>Sheet «Dữ liệu tháng»: chọn Mã NV, nhập ngày công, nghỉ phép, doanh số thực hiện, khách hàng mới, thưởng, tạm ứng, khấu trừ.</t>
  </si>
  <si>
    <t>Bước 5 – Xem kết quả</t>
  </si>
  <si>
    <t>Thuế thu nhập cá nhân</t>
  </si>
  <si>
    <t>«Bảng lương» tự tính toàn bộ. «Phiếu lương» chọn mã NV để in phiếu. «Tổng hợp» xem báo cáo, xếp hạng và biểu đồ.</t>
  </si>
  <si>
    <t>CÔNG THỨC TÍNH</t>
  </si>
  <si>
    <t>Lương cơ bản ÷ Ngày công chuẩn × Ngày công hưởng lương (ngày công thực tế + nghỉ phép hưởng lương, tối đa bằng ngày công chuẩn).</t>
  </si>
  <si>
    <t>% hoàn thành chỉ tiêu</t>
  </si>
  <si>
    <t>Doanh số thực hiện ÷ Chỉ tiêu doanh số tháng của nhân viên.</t>
  </si>
  <si>
    <t>Doanh số thực hiện × Tỷ lệ hoa hồng. Tỷ lệ lấy theo mức % hoàn thành chỉ tiêu trong bảng ở «Cài đặt» (hoa hồng toàn phần theo mức đạt được, không lũy tiến).</t>
  </si>
  <si>
    <t>Số tiền thưởng cố định theo mức % hoàn thành chỉ tiêu (cùng bảng với hoa hồng).</t>
  </si>
  <si>
    <t>Số khách hàng mới × đơn giá thưởng mỗi khách hàng (đặt ở «Cài đặt»).</t>
  </si>
  <si>
    <t>Phụ cấp ăn trưa tháng ÷ Ngày công chuẩn × Ngày công hưởng lương. Phần trong mức miễn thuế không tính thuế TNCN.</t>
  </si>
  <si>
    <t>Bảo hiểm người lao động</t>
  </si>
  <si>
    <t>BHXH 8%, BHYT 1,5%, BHTN 1% trên lương đóng BH (để trống = lương cơ bản). BHXH/BHYT tối đa trên 20 × lương cơ sở; BHTN tối đa trên 20 × lương tối thiểu vùng. Chọn «Không» ở cột Tham gia BH nếu nhân viên chưa đóng (thử việc…).</t>
  </si>
  <si>
    <t>Thu nhập tính thuế = Tổng thu nhập − Phụ cấp miễn thuế − BH người lao động − Giảm trừ gia cảnh (bản thân + người phụ thuộc). Thuế tính lũy tiến từng phần theo biểu thuế 5 bậc ở «Cài đặt».</t>
  </si>
  <si>
    <t>Tổng thu nhập − BH người lao động − Thuế TNCN − Tạm ứng − Khấu trừ khác.</t>
  </si>
  <si>
    <t>Chi phí doanh nghiệp</t>
  </si>
  <si>
    <t>Tổng thu nhập + BHXH 17,5% + BHYT 3% + BHTN 1% do doanh nghiệp đóng (trong phạm vi trần lương đóng BH).</t>
  </si>
  <si>
    <t>LƯU Ý</t>
  </si>
  <si>
    <t>Căn cứ pháp lý đã cài sẵn</t>
  </si>
  <si>
    <t>Giảm trừ gia cảnh 15,5 triệu (bản thân) và 6,2 triệu (người phụ thuộc) theo Luật Thuế TNCN 109/2025/QH15; biểu thuế 5 bậc 5–35%; lương cơ sở 2,53 triệu đồng từ 01/7/2026 (trần BHXH/BHYT 50,6 triệu); lương tối thiểu vùng I 5,31 triệu theo Nghị định 293/2025/NĐ-CP.</t>
  </si>
  <si>
    <t>Kiểm tra lại khi có thay đổi</t>
  </si>
  <si>
    <t>Mọi tham số ở «Cài đặt» đều sửa được. Mức miễn thuế phụ cấp ăn trưa, vùng lương tối thiểu và chính sách hoa hồng cần đối chiếu quy định hiện hành và chính sách của công ty. File là công cụ hỗ trợ tính toán, không thay thế tư vấn của kế toán/chuyên gia thuế.</t>
  </si>
  <si>
    <t>Thêm nhân viên</t>
  </si>
  <si>
    <t>Nhập vào dòng trống kế tiếp ở «Nhân viên», rồi chọn mã đó ở «Dữ liệu tháng». Bảng hỗ trợ tối đa 40 nhân viên.</t>
  </si>
  <si>
    <t>Lưu trữ theo tháng</t>
  </si>
  <si>
    <t>Cuối tháng, lưu file thành bản riêng (VD Luong_T10_2026.xlsx) rồi đổi Tháng/Năm và cập nhật «Dữ liệu tháng» cho kỳ sau.</t>
  </si>
  <si>
    <t>Dữ liệu mẫu</t>
  </si>
  <si>
    <t>Toàn bộ nhân viên, doanh số và số liệu hiện có là ví dụ; hãy thay bằng dữ liệu thật.</t>
  </si>
  <si>
    <t>Font chữ</t>
  </si>
  <si>
    <t>Bảng dùng font Inter Tight. Nếu máy chưa cài, hãy cài từ Google Fonts để hiển thị đúng thiết kế.</t>
  </si>
  <si>
    <t>Tổng khấu trừ</t>
  </si>
  <si>
    <t>KẾT QUẢ KINH DOANH &amp; THUẾ</t>
  </si>
  <si>
    <t>Người lập bảng</t>
  </si>
  <si>
    <t>Người nhận lương</t>
  </si>
  <si>
    <t>(Ký, ghi rõ họ tên)</t>
  </si>
  <si>
    <t>TOP 10 DOANH SỐ</t>
  </si>
  <si>
    <t>Hạng</t>
  </si>
  <si>
    <t>Hoa hồng + thưởng KD</t>
  </si>
  <si>
    <t>CƠ CẤU THU NHẬP</t>
  </si>
  <si>
    <t>Khoản mục</t>
  </si>
  <si>
    <t>Số tiền (VNĐ)</t>
  </si>
  <si>
    <t>Tỷ trọng</t>
  </si>
  <si>
    <t>Thưởng (thành tích + KH mới + khác)</t>
  </si>
  <si>
    <t>Phụ cấp (ăn trưa + khác)</t>
  </si>
</sst>
</file>

<file path=xl/styles.xml><?xml version="1.0" encoding="utf-8"?>
<styleSheet xmlns="http://schemas.openxmlformats.org/spreadsheetml/2006/main" xmlns:x14ac="http://schemas.microsoft.com/office/spreadsheetml/2009/9/ac" xmlns:mc="http://schemas.openxmlformats.org/markup-compatibility/2006">
  <numFmts count="3">
    <numFmt numFmtId="164" formatCode="dd/mm/yyyy"/>
    <numFmt numFmtId="165" formatCode="0.0"/>
    <numFmt numFmtId="166" formatCode="0.0%"/>
  </numFmts>
  <fonts count="32">
    <font>
      <sz val="10.0"/>
      <color rgb="FF000000"/>
      <name val="Inter Tight"/>
      <scheme val="minor"/>
    </font>
    <font>
      <b/>
      <sz val="16.0"/>
      <color rgb="FFFFFFFF"/>
      <name val="Inter Tight"/>
    </font>
    <font/>
    <font>
      <i/>
      <sz val="9.0"/>
      <color rgb="FF6B7280"/>
      <name val="Inter Tight"/>
    </font>
    <font>
      <b/>
      <sz val="10.0"/>
      <color rgb="FFFFFFFF"/>
      <name val="Inter Tight"/>
    </font>
    <font>
      <b/>
      <sz val="10.0"/>
      <color rgb="FF374151"/>
      <name val="Inter Tight"/>
    </font>
    <font>
      <b/>
      <sz val="9.0"/>
      <color rgb="FFFFFFFF"/>
      <name val="Inter Tight"/>
    </font>
    <font>
      <sz val="10.0"/>
      <color rgb="FF1D4ED8"/>
      <name val="Inter Tight"/>
    </font>
    <font>
      <b/>
      <sz val="9.0"/>
      <color rgb="FF374151"/>
      <name val="Inter Tight"/>
    </font>
    <font>
      <sz val="10.0"/>
      <color rgb="FF6B7280"/>
      <name val="Inter Tight"/>
    </font>
    <font>
      <b/>
      <sz val="11.0"/>
      <color rgb="FF1F2937"/>
      <name val="Inter Tight"/>
    </font>
    <font>
      <b/>
      <sz val="10.0"/>
      <color rgb="FF1D4ED8"/>
      <name val="Inter Tight"/>
    </font>
    <font>
      <sz val="10.0"/>
      <color rgb="FF1F2937"/>
      <name val="Inter Tight"/>
    </font>
    <font>
      <sz val="10.0"/>
      <color rgb="FF000000"/>
      <name val="Inter Tight"/>
    </font>
    <font>
      <i/>
      <sz val="8.0"/>
      <color rgb="FF6B7280"/>
      <name val="Inter Tight"/>
    </font>
    <font>
      <b/>
      <sz val="20.0"/>
      <color rgb="FFFFFFFF"/>
      <name val="Inter Tight"/>
    </font>
    <font>
      <b/>
      <sz val="13.0"/>
      <color rgb="FF1F2937"/>
      <name val="Inter Tight"/>
    </font>
    <font>
      <sz val="9.0"/>
      <color rgb="FF6B7280"/>
      <name val="Inter Tight"/>
    </font>
    <font>
      <b/>
      <sz val="9.0"/>
      <color rgb="FF6B7280"/>
      <name val="Inter Tight"/>
    </font>
    <font>
      <b/>
      <sz val="15.0"/>
      <color rgb="FF1F2937"/>
      <name val="Inter Tight"/>
    </font>
    <font>
      <b/>
      <sz val="15.0"/>
      <color rgb="FFC2410C"/>
      <name val="Inter Tight"/>
    </font>
    <font>
      <b/>
      <sz val="18.0"/>
      <color rgb="FFFFFFFF"/>
      <name val="Inter Tight"/>
    </font>
    <font>
      <b/>
      <sz val="12.0"/>
      <color rgb="FF1F2937"/>
      <name val="Inter Tight"/>
    </font>
    <font>
      <sz val="9.0"/>
      <color rgb="FF1F2937"/>
      <name val="Inter Tight"/>
    </font>
    <font>
      <b/>
      <sz val="10.0"/>
      <color rgb="FF1F2937"/>
      <name val="Inter Tight"/>
    </font>
    <font>
      <b/>
      <sz val="11.0"/>
      <color rgb="FFFFFFFF"/>
      <name val="Inter Tight"/>
    </font>
    <font>
      <b/>
      <sz val="10.0"/>
      <color rgb="FFC2410C"/>
      <name val="Inter Tight"/>
    </font>
    <font>
      <b/>
      <sz val="12.0"/>
      <color rgb="FF1D4ED8"/>
      <name val="Inter Tight"/>
    </font>
    <font>
      <b/>
      <sz val="14.0"/>
      <color rgb="FFFFFFFF"/>
      <name val="Inter Tight"/>
    </font>
    <font>
      <b/>
      <sz val="10.0"/>
      <color rgb="FF6B7280"/>
      <name val="Inter Tight"/>
    </font>
    <font>
      <sz val="8.0"/>
      <color rgb="FF9CA3AF"/>
      <name val="Inter Tight"/>
    </font>
    <font>
      <sz val="8.0"/>
      <color rgb="FF1F2937"/>
      <name val="Inter Tight"/>
    </font>
  </fonts>
  <fills count="9">
    <fill>
      <patternFill patternType="none"/>
    </fill>
    <fill>
      <patternFill patternType="lightGray"/>
    </fill>
    <fill>
      <patternFill patternType="solid">
        <fgColor rgb="FFF26B1D"/>
        <bgColor rgb="FFF26B1D"/>
      </patternFill>
    </fill>
    <fill>
      <patternFill patternType="solid">
        <fgColor rgb="FF374151"/>
        <bgColor rgb="FF374151"/>
      </patternFill>
    </fill>
    <fill>
      <patternFill patternType="solid">
        <fgColor rgb="FFF3F4F6"/>
        <bgColor rgb="FFF3F4F6"/>
      </patternFill>
    </fill>
    <fill>
      <patternFill patternType="solid">
        <fgColor rgb="FFFFF3E8"/>
        <bgColor rgb="FFFFF3E8"/>
      </patternFill>
    </fill>
    <fill>
      <patternFill patternType="solid">
        <fgColor rgb="FFFDBA74"/>
        <bgColor rgb="FFFDBA74"/>
      </patternFill>
    </fill>
    <fill>
      <patternFill patternType="solid">
        <fgColor rgb="FFFFFFFF"/>
        <bgColor rgb="FFFFFFFF"/>
      </patternFill>
    </fill>
    <fill>
      <patternFill patternType="solid">
        <fgColor rgb="FFC2410C"/>
        <bgColor rgb="FFC2410C"/>
      </patternFill>
    </fill>
  </fills>
  <borders count="15">
    <border/>
    <border>
      <left/>
      <top/>
      <bottom/>
    </border>
    <border>
      <top/>
      <bottom/>
    </border>
    <border>
      <right/>
      <top/>
      <bottom/>
    </border>
    <border>
      <left style="thin">
        <color rgb="FFE5E7EB"/>
      </left>
      <right style="thin">
        <color rgb="FFE5E7EB"/>
      </right>
      <top style="thin">
        <color rgb="FFE5E7EB"/>
      </top>
      <bottom style="thin">
        <color rgb="FFE5E7EB"/>
      </bottom>
    </border>
    <border>
      <left style="thin">
        <color rgb="FFE5E7EB"/>
      </left>
      <top style="medium">
        <color rgb="FFF26B1D"/>
      </top>
      <bottom/>
    </border>
    <border>
      <right style="thin">
        <color rgb="FFE5E7EB"/>
      </right>
      <top style="medium">
        <color rgb="FFF26B1D"/>
      </top>
      <bottom/>
    </border>
    <border>
      <left style="thin">
        <color rgb="FFE5E7EB"/>
      </left>
      <top/>
      <bottom style="thin">
        <color rgb="FFE5E7EB"/>
      </bottom>
    </border>
    <border>
      <right style="thin">
        <color rgb="FFE5E7EB"/>
      </right>
      <top/>
      <bottom style="thin">
        <color rgb="FFE5E7EB"/>
      </bottom>
    </border>
    <border>
      <left style="thin">
        <color rgb="FFE5E7EB"/>
      </left>
      <top style="thin">
        <color rgb="FFE5E7EB"/>
      </top>
      <bottom style="thin">
        <color rgb="FFE5E7EB"/>
      </bottom>
    </border>
    <border>
      <right style="thin">
        <color rgb="FFE5E7EB"/>
      </right>
      <top style="thin">
        <color rgb="FFE5E7EB"/>
      </top>
      <bottom style="thin">
        <color rgb="FFE5E7EB"/>
      </bottom>
    </border>
    <border>
      <left/>
      <right/>
      <top/>
      <bottom/>
    </border>
    <border>
      <left style="thin">
        <color rgb="FF6B7280"/>
      </left>
      <right style="thin">
        <color rgb="FF6B7280"/>
      </right>
      <top/>
      <bottom/>
    </border>
    <border>
      <top style="thin">
        <color rgb="FFE5E7EB"/>
      </top>
      <bottom style="thin">
        <color rgb="FFE5E7EB"/>
      </bottom>
    </border>
    <border>
      <left style="medium">
        <color rgb="FFF26B1D"/>
      </left>
      <right style="medium">
        <color rgb="FFF26B1D"/>
      </right>
      <top style="medium">
        <color rgb="FFF26B1D"/>
      </top>
      <bottom style="medium">
        <color rgb="FFF26B1D"/>
      </bottom>
    </border>
  </borders>
  <cellStyleXfs count="1">
    <xf borderId="0" fillId="0" fontId="0" numFmtId="0" applyAlignment="1" applyFont="1"/>
  </cellStyleXfs>
  <cellXfs count="100">
    <xf borderId="0" fillId="0" fontId="0" numFmtId="0" xfId="0" applyAlignment="1" applyFont="1">
      <alignment readingOrder="0" shrinkToFit="0" vertical="bottom" wrapText="0"/>
    </xf>
    <xf borderId="1" fillId="2" fontId="1" numFmtId="0" xfId="0" applyAlignment="1" applyBorder="1" applyFill="1" applyFont="1">
      <alignment horizontal="left" shrinkToFit="0" vertical="center" wrapText="0"/>
    </xf>
    <xf borderId="2" fillId="0" fontId="2" numFmtId="0" xfId="0" applyBorder="1" applyFont="1"/>
    <xf borderId="3" fillId="0" fontId="2" numFmtId="0" xfId="0" applyBorder="1" applyFont="1"/>
    <xf borderId="0" fillId="0" fontId="3" numFmtId="0" xfId="0" applyAlignment="1" applyFont="1">
      <alignment shrinkToFit="0" vertical="bottom" wrapText="0"/>
    </xf>
    <xf borderId="1" fillId="3" fontId="4" numFmtId="0" xfId="0" applyAlignment="1" applyBorder="1" applyFill="1" applyFont="1">
      <alignment horizontal="left" shrinkToFit="0" vertical="center" wrapText="0"/>
    </xf>
    <xf borderId="4" fillId="4" fontId="5" numFmtId="0" xfId="0" applyAlignment="1" applyBorder="1" applyFill="1" applyFont="1">
      <alignment horizontal="left" shrinkToFit="0" vertical="center" wrapText="1"/>
    </xf>
    <xf borderId="4" fillId="3" fontId="6" numFmtId="0" xfId="0" applyAlignment="1" applyBorder="1" applyFill="1" applyFont="1">
      <alignment horizontal="center" shrinkToFit="0" vertical="center" wrapText="1"/>
    </xf>
    <xf borderId="4" fillId="5" fontId="7" numFmtId="0" xfId="0" applyAlignment="1" applyBorder="1" applyFill="1" applyFont="1">
      <alignment horizontal="left" shrinkToFit="0" vertical="center" wrapText="0"/>
    </xf>
    <xf borderId="0" fillId="0" fontId="3" numFmtId="0" xfId="0" applyAlignment="1" applyFont="1">
      <alignment horizontal="left" shrinkToFit="0" vertical="center" wrapText="1"/>
    </xf>
    <xf borderId="4" fillId="6" fontId="8" numFmtId="0" xfId="0" applyAlignment="1" applyBorder="1" applyFill="1" applyFont="1">
      <alignment horizontal="center" shrinkToFit="0" vertical="center" wrapText="1"/>
    </xf>
    <xf borderId="4" fillId="0" fontId="9" numFmtId="0" xfId="0" applyAlignment="1" applyBorder="1" applyFont="1">
      <alignment horizontal="center" shrinkToFit="0" vertical="center" wrapText="1"/>
    </xf>
    <xf borderId="4" fillId="5" fontId="7" numFmtId="3" xfId="0" applyAlignment="1" applyBorder="1" applyFill="1" applyFont="1" applyNumberFormat="1">
      <alignment horizontal="right" shrinkToFit="0" vertical="center" wrapText="0"/>
    </xf>
    <xf borderId="0" fillId="0" fontId="10" numFmtId="0" xfId="0" applyAlignment="1" applyFont="1">
      <alignment shrinkToFit="0" vertical="bottom" wrapText="0"/>
    </xf>
    <xf borderId="4" fillId="5" fontId="11" numFmtId="0" xfId="0" applyAlignment="1" applyBorder="1" applyFill="1" applyFont="1">
      <alignment horizontal="center" shrinkToFit="0" vertical="center" wrapText="1"/>
    </xf>
    <xf borderId="4" fillId="5" fontId="7" numFmtId="0" xfId="0" applyAlignment="1" applyBorder="1" applyFill="1" applyFont="1">
      <alignment horizontal="left" shrinkToFit="0" vertical="center" wrapText="1"/>
    </xf>
    <xf borderId="4" fillId="0" fontId="12" numFmtId="3" xfId="0" applyAlignment="1" applyBorder="1" applyFont="1" applyNumberFormat="1">
      <alignment horizontal="right" shrinkToFit="0" vertical="center" wrapText="0"/>
    </xf>
    <xf borderId="4" fillId="5" fontId="7" numFmtId="9" xfId="0" applyAlignment="1" applyBorder="1" applyFill="1" applyFont="1" applyNumberFormat="1">
      <alignment horizontal="center" shrinkToFit="0" vertical="center" wrapText="1"/>
    </xf>
    <xf borderId="4" fillId="5" fontId="7" numFmtId="164" xfId="0" applyAlignment="1" applyBorder="1" applyFill="1" applyFont="1" applyNumberFormat="1">
      <alignment horizontal="center" shrinkToFit="0" vertical="center" wrapText="1"/>
    </xf>
    <xf borderId="4" fillId="0" fontId="9" numFmtId="9" xfId="0" applyAlignment="1" applyBorder="1" applyFont="1" applyNumberFormat="1">
      <alignment horizontal="center" shrinkToFit="0" vertical="center" wrapText="1"/>
    </xf>
    <xf borderId="4" fillId="5" fontId="7" numFmtId="0" xfId="0" applyAlignment="1" applyBorder="1" applyFill="1" applyFont="1">
      <alignment horizontal="center" shrinkToFit="0" vertical="center" wrapText="1"/>
    </xf>
    <xf borderId="4" fillId="5" fontId="7" numFmtId="1" xfId="0" applyAlignment="1" applyBorder="1" applyFill="1" applyFont="1" applyNumberFormat="1">
      <alignment horizontal="left" shrinkToFit="0" vertical="center" wrapText="0"/>
    </xf>
    <xf borderId="4" fillId="0" fontId="12" numFmtId="0" xfId="0" applyAlignment="1" applyBorder="1" applyFont="1">
      <alignment horizontal="left" shrinkToFit="0" vertical="center" wrapText="1"/>
    </xf>
    <xf borderId="4" fillId="5" fontId="7" numFmtId="165" xfId="0" applyAlignment="1" applyBorder="1" applyFill="1" applyFont="1" applyNumberFormat="1">
      <alignment horizontal="center" shrinkToFit="0" vertical="center" wrapText="1"/>
    </xf>
    <xf borderId="4" fillId="0" fontId="13" numFmtId="164" xfId="0" applyAlignment="1" applyBorder="1" applyFont="1" applyNumberFormat="1">
      <alignment horizontal="left" shrinkToFit="0" vertical="center" wrapText="0"/>
    </xf>
    <xf borderId="4" fillId="0" fontId="13" numFmtId="49" xfId="0" applyAlignment="1" applyBorder="1" applyFont="1" applyNumberFormat="1">
      <alignment horizontal="left" shrinkToFit="0" vertical="center" wrapText="0"/>
    </xf>
    <xf borderId="4" fillId="5" fontId="7" numFmtId="166" xfId="0" applyAlignment="1" applyBorder="1" applyFill="1" applyFont="1" applyNumberFormat="1">
      <alignment horizontal="center" shrinkToFit="0" vertical="center" wrapText="1"/>
    </xf>
    <xf borderId="0" fillId="0" fontId="14" numFmtId="0" xfId="0" applyAlignment="1" applyFont="1">
      <alignment horizontal="left" shrinkToFit="0" vertical="top" wrapText="1"/>
    </xf>
    <xf borderId="4" fillId="0" fontId="13" numFmtId="1" xfId="0" applyAlignment="1" applyBorder="1" applyFont="1" applyNumberFormat="1">
      <alignment horizontal="left" shrinkToFit="0" vertical="center" wrapText="0"/>
    </xf>
    <xf borderId="4" fillId="5" fontId="7" numFmtId="166" xfId="0" applyAlignment="1" applyBorder="1" applyFill="1" applyFont="1" applyNumberFormat="1">
      <alignment horizontal="left" shrinkToFit="0" vertical="center" wrapText="0"/>
    </xf>
    <xf borderId="4" fillId="5" fontId="7" numFmtId="3" xfId="0" applyAlignment="1" applyBorder="1" applyFill="1" applyFont="1" applyNumberFormat="1">
      <alignment horizontal="left" shrinkToFit="0" vertical="center" wrapText="0"/>
    </xf>
    <xf borderId="4" fillId="0" fontId="13" numFmtId="3" xfId="0" applyAlignment="1" applyBorder="1" applyFont="1" applyNumberFormat="1">
      <alignment horizontal="left" shrinkToFit="0" vertical="center" wrapText="0"/>
    </xf>
    <xf borderId="1" fillId="2" fontId="15" numFmtId="0" xfId="0" applyAlignment="1" applyBorder="1" applyFill="1" applyFont="1">
      <alignment horizontal="center" shrinkToFit="0" vertical="center" wrapText="0"/>
    </xf>
    <xf borderId="0" fillId="0" fontId="16" numFmtId="0" xfId="0" applyAlignment="1" applyFont="1">
      <alignment horizontal="left" shrinkToFit="0" vertical="center" wrapText="0"/>
    </xf>
    <xf borderId="0" fillId="0" fontId="17" numFmtId="0" xfId="0" applyAlignment="1" applyFont="1">
      <alignment horizontal="left" shrinkToFit="0" vertical="center" wrapText="0"/>
    </xf>
    <xf borderId="5" fillId="4" fontId="18" numFmtId="0" xfId="0" applyAlignment="1" applyBorder="1" applyFill="1" applyFont="1">
      <alignment horizontal="center" shrinkToFit="0" vertical="center" wrapText="1"/>
    </xf>
    <xf borderId="6" fillId="0" fontId="2" numFmtId="0" xfId="0" applyBorder="1" applyFont="1"/>
    <xf borderId="7" fillId="7" fontId="19" numFmtId="1" xfId="0" applyAlignment="1" applyBorder="1" applyFill="1" applyFont="1" applyNumberFormat="1">
      <alignment horizontal="center" shrinkToFit="0" vertical="center" wrapText="1"/>
    </xf>
    <xf borderId="8" fillId="0" fontId="2" numFmtId="0" xfId="0" applyBorder="1" applyFont="1"/>
    <xf borderId="7" fillId="7" fontId="19" numFmtId="3" xfId="0" applyAlignment="1" applyBorder="1" applyFill="1" applyFont="1" applyNumberFormat="1">
      <alignment horizontal="center" shrinkToFit="0" vertical="center" wrapText="1"/>
    </xf>
    <xf borderId="7" fillId="7" fontId="20" numFmtId="166" xfId="0" applyAlignment="1" applyBorder="1" applyFill="1" applyFont="1" applyNumberFormat="1">
      <alignment horizontal="center" shrinkToFit="0" vertical="center" wrapText="1"/>
    </xf>
    <xf borderId="7" fillId="7" fontId="20" numFmtId="3" xfId="0" applyAlignment="1" applyBorder="1" applyFill="1" applyFont="1" applyNumberFormat="1">
      <alignment horizontal="center" shrinkToFit="0" vertical="center" wrapText="1"/>
    </xf>
    <xf borderId="1" fillId="2" fontId="21" numFmtId="0" xfId="0" applyAlignment="1" applyBorder="1" applyFill="1" applyFont="1">
      <alignment horizontal="left" shrinkToFit="0" vertical="center" wrapText="0"/>
    </xf>
    <xf borderId="0" fillId="0" fontId="22" numFmtId="0" xfId="0" applyAlignment="1" applyFont="1">
      <alignment shrinkToFit="0" vertical="bottom" wrapText="0"/>
    </xf>
    <xf borderId="1" fillId="8" fontId="6" numFmtId="0" xfId="0" applyAlignment="1" applyBorder="1" applyFill="1" applyFont="1">
      <alignment horizontal="center" shrinkToFit="0" vertical="center" wrapText="1"/>
    </xf>
    <xf borderId="1" fillId="3" fontId="6" numFmtId="0" xfId="0" applyAlignment="1" applyBorder="1" applyFill="1" applyFont="1">
      <alignment horizontal="center" shrinkToFit="0" vertical="center" wrapText="1"/>
    </xf>
    <xf borderId="9" fillId="6" fontId="8" numFmtId="0" xfId="0" applyAlignment="1" applyBorder="1" applyFill="1" applyFont="1">
      <alignment horizontal="center" shrinkToFit="0" vertical="center" wrapText="1"/>
    </xf>
    <xf borderId="10" fillId="0" fontId="2" numFmtId="0" xfId="0" applyBorder="1" applyFont="1"/>
    <xf borderId="11" fillId="8" fontId="23" numFmtId="0" xfId="0" applyAlignment="1" applyBorder="1" applyFill="1" applyFont="1">
      <alignment shrinkToFit="0" vertical="bottom" wrapText="0"/>
    </xf>
    <xf borderId="12" fillId="3" fontId="6" numFmtId="0" xfId="0" applyAlignment="1" applyBorder="1" applyFill="1" applyFont="1">
      <alignment horizontal="center" shrinkToFit="0" vertical="center" wrapText="1"/>
    </xf>
    <xf borderId="12" fillId="8" fontId="6" numFmtId="0" xfId="0" applyAlignment="1" applyBorder="1" applyFill="1" applyFont="1">
      <alignment horizontal="center" shrinkToFit="0" vertical="center" wrapText="1"/>
    </xf>
    <xf borderId="9" fillId="0" fontId="24" numFmtId="0" xfId="0" applyAlignment="1" applyBorder="1" applyFont="1">
      <alignment horizontal="left" shrinkToFit="0" vertical="center" wrapText="1"/>
    </xf>
    <xf borderId="4" fillId="0" fontId="12" numFmtId="1" xfId="0" applyAlignment="1" applyBorder="1" applyFont="1" applyNumberFormat="1">
      <alignment horizontal="center" shrinkToFit="0" vertical="center" wrapText="1"/>
    </xf>
    <xf borderId="9" fillId="3" fontId="25" numFmtId="0" xfId="0" applyAlignment="1" applyBorder="1" applyFill="1" applyFont="1">
      <alignment horizontal="left" shrinkToFit="0" vertical="center" wrapText="1"/>
    </xf>
    <xf borderId="13" fillId="0" fontId="2" numFmtId="0" xfId="0" applyBorder="1" applyFont="1"/>
    <xf borderId="4" fillId="3" fontId="4" numFmtId="3" xfId="0" applyAlignment="1" applyBorder="1" applyFill="1" applyFont="1" applyNumberFormat="1">
      <alignment horizontal="right" shrinkToFit="0" vertical="center" wrapText="0"/>
    </xf>
    <xf borderId="4" fillId="3" fontId="4" numFmtId="0" xfId="0" applyAlignment="1" applyBorder="1" applyFill="1" applyFont="1">
      <alignment shrinkToFit="0" vertical="bottom" wrapText="0"/>
    </xf>
    <xf borderId="4" fillId="3" fontId="4" numFmtId="9" xfId="0" applyAlignment="1" applyBorder="1" applyFill="1" applyFont="1" applyNumberFormat="1">
      <alignment horizontal="center" shrinkToFit="0" vertical="center" wrapText="1"/>
    </xf>
    <xf borderId="4" fillId="0" fontId="26" numFmtId="9" xfId="0" applyAlignment="1" applyBorder="1" applyFont="1" applyNumberFormat="1">
      <alignment horizontal="center" shrinkToFit="0" vertical="center" wrapText="1"/>
    </xf>
    <xf borderId="4" fillId="3" fontId="4" numFmtId="1" xfId="0" applyAlignment="1" applyBorder="1" applyFill="1" applyFont="1" applyNumberFormat="1">
      <alignment horizontal="right" shrinkToFit="0" vertical="center" wrapText="0"/>
    </xf>
    <xf borderId="4" fillId="8" fontId="4" numFmtId="3" xfId="0" applyAlignment="1" applyBorder="1" applyFill="1" applyFont="1" applyNumberFormat="1">
      <alignment horizontal="right" shrinkToFit="0" vertical="center" wrapText="0"/>
    </xf>
    <xf borderId="0" fillId="0" fontId="12" numFmtId="0" xfId="0" applyAlignment="1" applyFont="1">
      <alignment shrinkToFit="0" vertical="bottom" wrapText="0"/>
    </xf>
    <xf borderId="0" fillId="0" fontId="9" numFmtId="0" xfId="0" applyAlignment="1" applyFont="1">
      <alignment shrinkToFit="0" vertical="bottom" wrapText="0"/>
    </xf>
    <xf borderId="4" fillId="0" fontId="24" numFmtId="0" xfId="0" applyAlignment="1" applyBorder="1" applyFont="1">
      <alignment horizontal="center" shrinkToFit="0" vertical="center" wrapText="1"/>
    </xf>
    <xf borderId="0" fillId="0" fontId="26" numFmtId="0" xfId="0" applyAlignment="1" applyFont="1">
      <alignment horizontal="right" shrinkToFit="0" vertical="center" wrapText="0"/>
    </xf>
    <xf borderId="14" fillId="5" fontId="27" numFmtId="0" xfId="0" applyAlignment="1" applyBorder="1" applyFill="1" applyFont="1">
      <alignment horizontal="center" shrinkToFit="0" vertical="center" wrapText="1"/>
    </xf>
    <xf borderId="4" fillId="0" fontId="24" numFmtId="0" xfId="0" applyAlignment="1" applyBorder="1" applyFont="1">
      <alignment horizontal="left" shrinkToFit="0" vertical="center" wrapText="1"/>
    </xf>
    <xf borderId="4" fillId="0" fontId="12" numFmtId="165" xfId="0" applyAlignment="1" applyBorder="1" applyFont="1" applyNumberFormat="1">
      <alignment horizontal="center" shrinkToFit="0" vertical="center" wrapText="1"/>
    </xf>
    <xf borderId="4" fillId="0" fontId="24" numFmtId="1" xfId="0" applyAlignment="1" applyBorder="1" applyFont="1" applyNumberFormat="1">
      <alignment horizontal="left" shrinkToFit="0" vertical="center" wrapText="1"/>
    </xf>
    <xf borderId="4" fillId="0" fontId="24" numFmtId="165" xfId="0" applyAlignment="1" applyBorder="1" applyFont="1" applyNumberFormat="1">
      <alignment horizontal="left" shrinkToFit="0" vertical="center" wrapText="1"/>
    </xf>
    <xf borderId="1" fillId="8" fontId="4" numFmtId="0" xfId="0" applyAlignment="1" applyBorder="1" applyFill="1" applyFont="1">
      <alignment horizontal="left" shrinkToFit="0" vertical="center" wrapText="0"/>
    </xf>
    <xf borderId="4" fillId="0" fontId="12" numFmtId="9" xfId="0" applyAlignment="1" applyBorder="1" applyFont="1" applyNumberFormat="1">
      <alignment horizontal="center" shrinkToFit="0" vertical="center" wrapText="1"/>
    </xf>
    <xf borderId="4" fillId="0" fontId="12" numFmtId="166" xfId="0" applyAlignment="1" applyBorder="1" applyFont="1" applyNumberFormat="1">
      <alignment horizontal="center" shrinkToFit="0" vertical="center" wrapText="1"/>
    </xf>
    <xf borderId="4" fillId="5" fontId="26" numFmtId="0" xfId="0" applyAlignment="1" applyBorder="1" applyFill="1" applyFont="1">
      <alignment horizontal="left" shrinkToFit="0" vertical="center" wrapText="1"/>
    </xf>
    <xf borderId="4" fillId="0" fontId="12" numFmtId="0" xfId="0" applyAlignment="1" applyBorder="1" applyFont="1">
      <alignment shrinkToFit="0" vertical="bottom" wrapText="0"/>
    </xf>
    <xf borderId="11" fillId="8" fontId="4" numFmtId="0" xfId="0" applyAlignment="1" applyBorder="1" applyFill="1" applyFont="1">
      <alignment horizontal="left" shrinkToFit="0" vertical="center" wrapText="1"/>
    </xf>
    <xf borderId="11" fillId="8" fontId="4" numFmtId="3" xfId="0" applyAlignment="1" applyBorder="1" applyFill="1" applyFont="1" applyNumberFormat="1">
      <alignment horizontal="right" shrinkToFit="0" vertical="center" wrapText="0"/>
    </xf>
    <xf borderId="11" fillId="3" fontId="4" numFmtId="0" xfId="0" applyAlignment="1" applyBorder="1" applyFill="1" applyFont="1">
      <alignment horizontal="left" shrinkToFit="0" vertical="center" wrapText="1"/>
    </xf>
    <xf borderId="4" fillId="5" fontId="26" numFmtId="3" xfId="0" applyAlignment="1" applyBorder="1" applyFill="1" applyFont="1" applyNumberFormat="1">
      <alignment horizontal="right" shrinkToFit="0" vertical="center" wrapText="0"/>
    </xf>
    <xf borderId="11" fillId="3" fontId="4" numFmtId="3" xfId="0" applyAlignment="1" applyBorder="1" applyFill="1" applyFont="1" applyNumberFormat="1">
      <alignment horizontal="right" shrinkToFit="0" vertical="center" wrapText="0"/>
    </xf>
    <xf borderId="1" fillId="2" fontId="28" numFmtId="0" xfId="0" applyAlignment="1" applyBorder="1" applyFill="1" applyFont="1">
      <alignment horizontal="left" shrinkToFit="0" vertical="center" wrapText="0"/>
    </xf>
    <xf borderId="11" fillId="2" fontId="28" numFmtId="3" xfId="0" applyAlignment="1" applyBorder="1" applyFill="1" applyFont="1" applyNumberFormat="1">
      <alignment horizontal="right" shrinkToFit="0" vertical="center" wrapText="0"/>
    </xf>
    <xf borderId="4" fillId="0" fontId="26" numFmtId="3" xfId="0" applyAlignment="1" applyBorder="1" applyFont="1" applyNumberFormat="1">
      <alignment horizontal="right" shrinkToFit="0" vertical="center" wrapText="0"/>
    </xf>
    <xf borderId="4" fillId="0" fontId="26" numFmtId="9" xfId="0" applyAlignment="1" applyBorder="1" applyFont="1" applyNumberFormat="1">
      <alignment horizontal="right" shrinkToFit="0" vertical="center" wrapText="0"/>
    </xf>
    <xf borderId="4" fillId="0" fontId="26" numFmtId="166" xfId="0" applyAlignment="1" applyBorder="1" applyFont="1" applyNumberFormat="1">
      <alignment horizontal="right" shrinkToFit="0" vertical="center" wrapText="0"/>
    </xf>
    <xf borderId="4" fillId="0" fontId="26" numFmtId="1" xfId="0" applyAlignment="1" applyBorder="1" applyFont="1" applyNumberFormat="1">
      <alignment horizontal="right" shrinkToFit="0" vertical="center" wrapText="0"/>
    </xf>
    <xf borderId="0" fillId="0" fontId="5" numFmtId="0" xfId="0" applyAlignment="1" applyFont="1">
      <alignment horizontal="center" shrinkToFit="0" vertical="center" wrapText="1"/>
    </xf>
    <xf borderId="0" fillId="0" fontId="3" numFmtId="0" xfId="0" applyAlignment="1" applyFont="1">
      <alignment horizontal="center" shrinkToFit="0" vertical="center" wrapText="1"/>
    </xf>
    <xf borderId="9" fillId="3" fontId="4" numFmtId="0" xfId="0" applyAlignment="1" applyBorder="1" applyFill="1" applyFont="1">
      <alignment horizontal="left" shrinkToFit="0" vertical="center" wrapText="1"/>
    </xf>
    <xf borderId="4" fillId="3" fontId="4" numFmtId="1" xfId="0" applyAlignment="1" applyBorder="1" applyFill="1" applyFont="1" applyNumberFormat="1">
      <alignment horizontal="center" shrinkToFit="0" vertical="center" wrapText="1"/>
    </xf>
    <xf borderId="4" fillId="0" fontId="29" numFmtId="1" xfId="0" applyAlignment="1" applyBorder="1" applyFont="1" applyNumberFormat="1">
      <alignment horizontal="center" shrinkToFit="0" vertical="center" wrapText="1"/>
    </xf>
    <xf borderId="0" fillId="0" fontId="30" numFmtId="0" xfId="0" applyAlignment="1" applyFont="1">
      <alignment horizontal="right" shrinkToFit="0" vertical="center" wrapText="0"/>
    </xf>
    <xf borderId="4" fillId="0" fontId="24" numFmtId="3" xfId="0" applyAlignment="1" applyBorder="1" applyFont="1" applyNumberFormat="1">
      <alignment horizontal="right" shrinkToFit="0" vertical="center" wrapText="0"/>
    </xf>
    <xf borderId="0" fillId="0" fontId="30" numFmtId="3" xfId="0" applyAlignment="1" applyFont="1" applyNumberFormat="1">
      <alignment horizontal="right" shrinkToFit="0" vertical="center" wrapText="0"/>
    </xf>
    <xf borderId="9" fillId="0" fontId="12" numFmtId="3" xfId="0" applyAlignment="1" applyBorder="1" applyFont="1" applyNumberFormat="1">
      <alignment horizontal="right" shrinkToFit="0" vertical="center" wrapText="0"/>
    </xf>
    <xf borderId="0" fillId="0" fontId="31" numFmtId="0" xfId="0" applyAlignment="1" applyFont="1">
      <alignment shrinkToFit="0" vertical="bottom" wrapText="0"/>
    </xf>
    <xf borderId="9" fillId="4" fontId="5" numFmtId="0" xfId="0" applyAlignment="1" applyBorder="1" applyFill="1" applyFont="1">
      <alignment horizontal="left" shrinkToFit="0" vertical="center" wrapText="1"/>
    </xf>
    <xf borderId="9" fillId="8" fontId="4" numFmtId="0" xfId="0" applyAlignment="1" applyBorder="1" applyFill="1" applyFont="1">
      <alignment horizontal="left" shrinkToFit="0" vertical="center" wrapText="1"/>
    </xf>
    <xf borderId="9" fillId="8" fontId="4" numFmtId="3" xfId="0" applyAlignment="1" applyBorder="1" applyFill="1" applyFont="1" applyNumberFormat="1">
      <alignment horizontal="right" shrinkToFit="0" vertical="center" wrapText="0"/>
    </xf>
    <xf borderId="4" fillId="8" fontId="4" numFmtId="9" xfId="0" applyAlignment="1" applyBorder="1" applyFill="1" applyFont="1" applyNumberFormat="1">
      <alignment horizontal="center" shrinkToFit="0" vertical="center" wrapText="1"/>
    </xf>
  </cellXfs>
  <cellStyles count="1">
    <cellStyle xfId="0" name="Normal" builtinId="0"/>
  </cellStyles>
  <dxfs count="3">
    <dxf>
      <font>
        <b/>
        <color rgb="FFFF0000"/>
        <name val="Inter Tight"/>
      </font>
      <fill>
        <patternFill patternType="none"/>
      </fill>
      <border/>
    </dxf>
    <dxf>
      <font>
        <b/>
        <color rgb="FFC2410C"/>
        <name val="Inter Tight"/>
      </font>
      <fill>
        <patternFill patternType="solid">
          <fgColor rgb="FFFFD9BF"/>
          <bgColor rgb="FFFFD9BF"/>
        </patternFill>
      </fill>
      <border/>
    </dxf>
    <dxf>
      <font>
        <b/>
        <color rgb="FF374151"/>
        <name val="Inter Tight"/>
      </font>
      <fill>
        <patternFill patternType="solid">
          <fgColor rgb="FFE5E7EB"/>
          <bgColor rgb="FFE5E7EB"/>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customschemas.google.com/relationships/workbookmetadata" Target="metadata"/><Relationship Id="rId10" Type="http://schemas.openxmlformats.org/officeDocument/2006/relationships/worksheet" Target="worksheets/sheet7.xml"/><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800">
                <a:solidFill>
                  <a:srgbClr val="000000"/>
                </a:solidFill>
                <a:latin typeface="Calibri"/>
              </a:defRPr>
            </a:pPr>
            <a:r>
              <a:rPr b="1" i="0" sz="1800">
                <a:solidFill>
                  <a:srgbClr val="000000"/>
                </a:solidFill>
                <a:latin typeface="Calibri"/>
              </a:rPr>
              <a:t>Top 10: chỉ tiêu và doanh số thực hiện (VNĐ)</a:t>
            </a:r>
          </a:p>
        </c:rich>
      </c:tx>
      <c:overlay val="0"/>
    </c:title>
    <c:plotArea>
      <c:layout/>
      <c:barChart>
        <c:barDir val="col"/>
        <c:ser>
          <c:idx val="0"/>
          <c:order val="0"/>
          <c:tx>
            <c:v>Chỉ tiêu</c:v>
          </c:tx>
          <c:spPr>
            <a:solidFill>
              <a:srgbClr val="9CA3AF"/>
            </a:solidFill>
            <a:ln cmpd="sng">
              <a:noFill/>
            </a:ln>
          </c:spPr>
          <c:invertIfNegative val="0"/>
          <c:cat>
            <c:strRef>
              <c:f>'Tổng hợp'!$C$22:$C$31</c:f>
            </c:strRef>
          </c:cat>
          <c:val>
            <c:numRef>
              <c:f>'Tổng hợp'!$F$22:$F$31</c:f>
              <c:numCache/>
            </c:numRef>
          </c:val>
        </c:ser>
        <c:ser>
          <c:idx val="1"/>
          <c:order val="1"/>
          <c:tx>
            <c:v>Doanh số</c:v>
          </c:tx>
          <c:spPr>
            <a:solidFill>
              <a:srgbClr val="F26B1D"/>
            </a:solidFill>
            <a:ln cmpd="sng">
              <a:noFill/>
            </a:ln>
          </c:spPr>
          <c:invertIfNegative val="0"/>
          <c:cat>
            <c:strRef>
              <c:f>'Tổng hợp'!$C$22:$C$31</c:f>
            </c:strRef>
          </c:cat>
          <c:val>
            <c:numRef>
              <c:f>'Tổng hợp'!$G$22:$G$31</c:f>
              <c:numCache/>
            </c:numRef>
          </c:val>
        </c:ser>
        <c:axId val="386053845"/>
        <c:axId val="2002531361"/>
      </c:barChart>
      <c:catAx>
        <c:axId val="386053845"/>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i="0" sz="1000">
                <a:solidFill>
                  <a:srgbClr val="000000"/>
                </a:solidFill>
                <a:latin typeface="Calibri"/>
              </a:defRPr>
            </a:pPr>
          </a:p>
        </c:txPr>
        <c:crossAx val="2002531361"/>
      </c:catAx>
      <c:valAx>
        <c:axId val="2002531361"/>
        <c:scaling>
          <c:orientation val="minMax"/>
        </c:scaling>
        <c:delete val="0"/>
        <c:axPos val="l"/>
        <c:majorGridlines>
          <c:spPr>
            <a:ln>
              <a:solidFill>
                <a:srgbClr val="B7B7B7"/>
              </a:solidFill>
            </a:ln>
          </c:spPr>
        </c:maj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0,,&quot;tr&quot;" sourceLinked="0"/>
        <c:majorTickMark val="none"/>
        <c:minorTickMark val="none"/>
        <c:tickLblPos val="nextTo"/>
        <c:spPr>
          <a:ln>
            <a:noFill/>
          </a:ln>
        </c:spPr>
        <c:txPr>
          <a:bodyPr/>
          <a:lstStyle/>
          <a:p>
            <a:pPr lvl="0">
              <a:defRPr b="0" i="0" sz="1000">
                <a:solidFill>
                  <a:srgbClr val="000000"/>
                </a:solidFill>
                <a:latin typeface="Calibri"/>
              </a:defRPr>
            </a:pPr>
          </a:p>
        </c:txPr>
        <c:crossAx val="386053845"/>
      </c:valAx>
    </c:plotArea>
    <c:legend>
      <c:legendPos val="b"/>
      <c:overlay val="0"/>
      <c:txPr>
        <a:bodyPr/>
        <a:lstStyle/>
        <a:p>
          <a:pPr lvl="0">
            <a:defRPr b="0" i="0" sz="1000">
              <a:solidFill>
                <a:srgbClr val="000000"/>
              </a:solidFill>
              <a:latin typeface="Calibri"/>
            </a:defRPr>
          </a:pPr>
        </a:p>
      </c:txPr>
    </c:legend>
    <c:plotVisOnly val="1"/>
  </c:chart>
  <c:spPr>
    <a:solidFill>
      <a:srgbClr val="FFFFFF"/>
    </a:solidFill>
  </c:spPr>
</c:chartSpace>
</file>

<file path=xl/charts/chart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1" i="0" sz="1800">
                <a:solidFill>
                  <a:srgbClr val="000000"/>
                </a:solidFill>
                <a:latin typeface="Calibri"/>
              </a:defRPr>
            </a:pPr>
            <a:r>
              <a:rPr b="1" i="0" sz="1800">
                <a:solidFill>
                  <a:srgbClr val="000000"/>
                </a:solidFill>
                <a:latin typeface="Calibri"/>
              </a:rPr>
              <a:t>Cơ cấu thu nhập</a:t>
            </a:r>
          </a:p>
        </c:rich>
      </c:tx>
      <c:overlay val="0"/>
    </c:title>
    <c:plotArea>
      <c:layout/>
      <c:pieChart>
        <c:varyColors val="1"/>
        <c:ser>
          <c:idx val="0"/>
          <c:order val="0"/>
          <c:dPt>
            <c:idx val="0"/>
            <c:spPr>
              <a:solidFill>
                <a:srgbClr val="374151"/>
              </a:solidFill>
            </c:spPr>
          </c:dPt>
          <c:dPt>
            <c:idx val="1"/>
            <c:spPr>
              <a:solidFill>
                <a:srgbClr val="F26B1D"/>
              </a:solidFill>
            </c:spPr>
          </c:dPt>
          <c:dPt>
            <c:idx val="2"/>
            <c:spPr>
              <a:solidFill>
                <a:srgbClr val="FDBA74"/>
              </a:solidFill>
            </c:spPr>
          </c:dPt>
          <c:dPt>
            <c:idx val="3"/>
            <c:spPr>
              <a:solidFill>
                <a:srgbClr val="9CA3AF"/>
              </a:solidFill>
            </c:spPr>
          </c:dPt>
          <c:dLbls>
            <c:dLbl>
              <c:idx val="0"/>
              <c:txPr>
                <a:bodyPr/>
                <a:lstStyle/>
                <a:p>
                  <a:pPr lvl="0">
                    <a:defRPr b="0" i="0" sz="1000">
                      <a:latin typeface="Arial"/>
                    </a:defRPr>
                  </a:pPr>
                </a:p>
              </c:txPr>
              <c:showLegendKey val="0"/>
              <c:showVal val="0"/>
              <c:showCatName val="0"/>
              <c:showSerName val="0"/>
              <c:showPercent val="0"/>
              <c:showBubbleSize val="0"/>
            </c:dLbl>
            <c:dLbl>
              <c:idx val="1"/>
              <c:txPr>
                <a:bodyPr/>
                <a:lstStyle/>
                <a:p>
                  <a:pPr lvl="0">
                    <a:defRPr b="0" i="0" sz="1000">
                      <a:latin typeface="Arial"/>
                    </a:defRPr>
                  </a:pPr>
                </a:p>
              </c:txPr>
              <c:showLegendKey val="0"/>
              <c:showVal val="0"/>
              <c:showCatName val="0"/>
              <c:showSerName val="0"/>
              <c:showPercent val="0"/>
              <c:showBubbleSize val="0"/>
            </c:dLbl>
            <c:dLbl>
              <c:idx val="2"/>
              <c:txPr>
                <a:bodyPr/>
                <a:lstStyle/>
                <a:p>
                  <a:pPr lvl="0">
                    <a:defRPr b="0" i="0" sz="1000">
                      <a:latin typeface="Arial"/>
                    </a:defRPr>
                  </a:pPr>
                </a:p>
              </c:txPr>
              <c:showLegendKey val="0"/>
              <c:showVal val="0"/>
              <c:showCatName val="0"/>
              <c:showSerName val="0"/>
              <c:showPercent val="0"/>
              <c:showBubbleSize val="0"/>
            </c:dLbl>
            <c:dLbl>
              <c:idx val="3"/>
              <c:txPr>
                <a:bodyPr/>
                <a:lstStyle/>
                <a:p>
                  <a:pPr lvl="0">
                    <a:defRPr b="0" i="0" sz="1000">
                      <a:latin typeface="Arial"/>
                    </a:defRPr>
                  </a:pPr>
                </a:p>
              </c:txPr>
              <c:showLegendKey val="0"/>
              <c:showVal val="0"/>
              <c:showCatName val="0"/>
              <c:showSerName val="0"/>
              <c:showPercent val="0"/>
              <c:showBubbleSize val="0"/>
            </c:dLbl>
            <c:showLegendKey val="0"/>
            <c:showVal val="0"/>
            <c:showCatName val="0"/>
            <c:showSerName val="0"/>
            <c:showPercent val="0"/>
            <c:showBubbleSize val="0"/>
            <c:showLeaderLines val="1"/>
          </c:dLbls>
          <c:cat>
            <c:strRef>
              <c:f>'Tổng hợp'!$B$35:$B$38</c:f>
            </c:strRef>
          </c:cat>
          <c:val>
            <c:numRef>
              <c:f>'Tổng hợp'!$E$35:$E$38</c:f>
              <c:numCache/>
            </c:numRef>
          </c:val>
        </c:ser>
        <c:dLbls>
          <c:showLegendKey val="0"/>
          <c:showVal val="0"/>
          <c:showCatName val="0"/>
          <c:showSerName val="0"/>
          <c:showPercent val="0"/>
          <c:showBubbleSize val="0"/>
        </c:dLbls>
        <c:firstSliceAng val="0"/>
      </c:pieChart>
    </c:plotArea>
    <c:legend>
      <c:legendPos val="r"/>
      <c:overlay val="0"/>
      <c:txPr>
        <a:bodyPr/>
        <a:lstStyle/>
        <a:p>
          <a:pPr lvl="0">
            <a:defRPr b="0" i="0" sz="1000">
              <a:solidFill>
                <a:srgbClr val="000000"/>
              </a:solidFill>
              <a:latin typeface="Calibri"/>
            </a:defRPr>
          </a:pPr>
        </a:p>
      </c:txPr>
    </c:legend>
    <c:plotVisOnly val="1"/>
  </c:chart>
  <c:spPr>
    <a:solidFill>
      <a:srgbClr val="FFFFFF"/>
    </a:solidFill>
  </c:spPr>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12</xdr:col>
      <xdr:colOff>0</xdr:colOff>
      <xdr:row>1</xdr:row>
      <xdr:rowOff>180975</xdr:rowOff>
    </xdr:from>
    <xdr:ext cx="7181850" cy="3267075"/>
    <xdr:graphicFrame>
      <xdr:nvGraphicFramePr>
        <xdr:cNvPr id="1204903463" name="Chart 1"/>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12</xdr:col>
      <xdr:colOff>0</xdr:colOff>
      <xdr:row>20</xdr:row>
      <xdr:rowOff>361950</xdr:rowOff>
    </xdr:from>
    <xdr:ext cx="4181475" cy="2895600"/>
    <xdr:graphicFrame>
      <xdr:nvGraphicFramePr>
        <xdr:cNvPr id="2097297750" name="Chart 2"/>
        <xdr:cNvGraphicFramePr/>
      </xdr:nvGraphicFramePr>
      <xdr:xfrm>
        <a:off x="0" y="0"/>
        <a:ext cx="0" cy="0"/>
      </xdr:xfrm>
      <a:graphic>
        <a:graphicData uri="http://schemas.openxmlformats.org/drawingml/2006/chart">
          <c:chart r:id="rId2"/>
        </a:graphicData>
      </a:graphic>
    </xdr:graphicFrame>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Inter Tight"/>
        <a:ea typeface="Inter Tight"/>
        <a:cs typeface="Inter Tight"/>
      </a:majorFont>
      <a:minorFont>
        <a:latin typeface="Inter Tight"/>
        <a:ea typeface="Inter Tight"/>
        <a:cs typeface="Inter Tight"/>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6B1D"/>
    <pageSetUpPr fitToPage="1"/>
  </sheetPr>
  <sheetViews>
    <sheetView showGridLines="0" workbookViewId="0">
      <pane ySplit="3.0" topLeftCell="A4" activePane="bottomLeft" state="frozen"/>
      <selection activeCell="B5" sqref="B5" pane="bottomLeft"/>
    </sheetView>
  </sheetViews>
  <sheetFormatPr customHeight="1" defaultColWidth="14.43" defaultRowHeight="15.0"/>
  <cols>
    <col customWidth="1" min="1" max="1" width="3.0"/>
    <col customWidth="1" min="2" max="11" width="15.0"/>
    <col customWidth="1" hidden="1" min="12" max="12" width="13.0"/>
    <col customWidth="1" min="13" max="26" width="8.57"/>
  </cols>
  <sheetData>
    <row r="1" ht="45.75" customHeight="1">
      <c r="B1" s="32" t="s">
        <v>154</v>
      </c>
      <c r="C1" s="2"/>
      <c r="D1" s="2"/>
      <c r="E1" s="2"/>
      <c r="F1" s="2"/>
      <c r="G1" s="2"/>
      <c r="H1" s="2"/>
      <c r="I1" s="2"/>
      <c r="J1" s="2"/>
      <c r="K1" s="2"/>
      <c r="L1" s="2"/>
      <c r="M1" s="2"/>
      <c r="N1" s="2"/>
      <c r="O1" s="2"/>
      <c r="P1" s="2"/>
      <c r="Q1" s="2"/>
      <c r="R1" s="2"/>
      <c r="S1" s="2"/>
      <c r="T1" s="2"/>
      <c r="U1" s="2"/>
      <c r="V1" s="2"/>
      <c r="W1" s="2"/>
      <c r="X1" s="2"/>
      <c r="Y1" s="2"/>
      <c r="Z1" s="3"/>
    </row>
    <row r="2">
      <c r="B2" s="33" t="str">
        <f>"Kỳ lương: Tháng "&amp;'Cài đặt'!C8&amp;"/"&amp;'Cài đặt'!C9&amp;"   |   "&amp;'Cài đặt'!C4</f>
        <v>Kỳ lương: Tháng 10/2026   |   Công ty CP Thương mại ABC</v>
      </c>
    </row>
    <row r="3">
      <c r="B3" s="34" t="str">
        <f>"Ngày công chuẩn: "&amp;Std_Days&amp;" ngày   |   Người lập: "&amp;'Cài đặt'!C6</f>
        <v>Ngày công chuẩn: 22 ngày   |   Người lập: Nguyễn Thị Lan – Kế toán</v>
      </c>
    </row>
    <row r="5" ht="19.5" customHeight="1">
      <c r="B5" s="35" t="s">
        <v>155</v>
      </c>
      <c r="C5" s="36"/>
      <c r="D5" s="35" t="s">
        <v>156</v>
      </c>
      <c r="E5" s="36"/>
      <c r="F5" s="35" t="s">
        <v>157</v>
      </c>
      <c r="G5" s="36"/>
      <c r="H5" s="35" t="s">
        <v>158</v>
      </c>
      <c r="I5" s="36"/>
      <c r="J5" s="35" t="s">
        <v>159</v>
      </c>
      <c r="K5" s="36"/>
    </row>
    <row r="6" ht="33.75" customHeight="1">
      <c r="B6" s="37">
        <f>COUNTIF('Bảng lương'!$B$7:$B$46,"?*")</f>
        <v>10</v>
      </c>
      <c r="C6" s="38"/>
      <c r="D6" s="39">
        <f>'Bảng lương'!K6</f>
        <v>2737000000</v>
      </c>
      <c r="E6" s="38"/>
      <c r="F6" s="40">
        <f>'Bảng lương'!L6</f>
        <v>1.086111111</v>
      </c>
      <c r="G6" s="38"/>
      <c r="H6" s="39">
        <f>'Bảng lương'!U6</f>
        <v>220461364</v>
      </c>
      <c r="I6" s="38"/>
      <c r="J6" s="41">
        <f>'Bảng lương'!AG6</f>
        <v>202985614</v>
      </c>
      <c r="K6" s="38"/>
    </row>
    <row r="8" ht="19.5" customHeight="1">
      <c r="B8" s="35" t="s">
        <v>161</v>
      </c>
      <c r="C8" s="36"/>
      <c r="D8" s="35" t="s">
        <v>162</v>
      </c>
      <c r="E8" s="36"/>
      <c r="F8" s="35" t="s">
        <v>163</v>
      </c>
      <c r="G8" s="36"/>
      <c r="H8" s="35" t="s">
        <v>164</v>
      </c>
      <c r="I8" s="36"/>
      <c r="J8" s="35" t="s">
        <v>165</v>
      </c>
      <c r="K8" s="36"/>
    </row>
    <row r="9" ht="33.75" customHeight="1">
      <c r="B9" s="39">
        <f>'Bảng lương'!N6+'Bảng lương'!O6+'Bảng lương'!Q6</f>
        <v>73420000</v>
      </c>
      <c r="C9" s="38"/>
      <c r="D9" s="39">
        <f>'Bảng lương'!Z6</f>
        <v>11970000</v>
      </c>
      <c r="E9" s="38"/>
      <c r="F9" s="39">
        <f>'Bảng lương'!AD6</f>
        <v>2305750</v>
      </c>
      <c r="G9" s="38"/>
      <c r="H9" s="41">
        <f>'Bảng lương'!AI6</f>
        <v>244971364</v>
      </c>
      <c r="I9" s="38"/>
      <c r="J9" s="39">
        <f>IF(B6=0,0,'Bảng lương'!AG6/B6)</f>
        <v>20298561.4</v>
      </c>
      <c r="K9" s="38"/>
    </row>
    <row r="11" ht="21.75" customHeight="1">
      <c r="B11" s="5" t="s">
        <v>169</v>
      </c>
      <c r="C11" s="2"/>
      <c r="D11" s="2"/>
      <c r="E11" s="2"/>
      <c r="F11" s="2"/>
      <c r="G11" s="2"/>
      <c r="H11" s="2"/>
      <c r="I11" s="2"/>
      <c r="J11" s="2"/>
      <c r="K11" s="3"/>
    </row>
    <row r="12" ht="24.0" customHeight="1">
      <c r="B12" s="46" t="s">
        <v>15</v>
      </c>
      <c r="C12" s="47"/>
      <c r="D12" s="10" t="s">
        <v>172</v>
      </c>
      <c r="E12" s="10" t="s">
        <v>174</v>
      </c>
      <c r="F12" s="10" t="s">
        <v>175</v>
      </c>
      <c r="G12" s="10" t="s">
        <v>176</v>
      </c>
      <c r="H12" s="10" t="s">
        <v>177</v>
      </c>
      <c r="I12" s="10" t="s">
        <v>178</v>
      </c>
      <c r="J12" s="10" t="s">
        <v>179</v>
      </c>
      <c r="K12" s="10" t="s">
        <v>181</v>
      </c>
    </row>
    <row r="13" ht="21.75" customHeight="1">
      <c r="B13" s="51" t="str">
        <f>IF('Cài đặt'!G21="","",'Cài đặt'!G21)</f>
        <v>Nhóm Miền Bắc</v>
      </c>
      <c r="C13" s="47"/>
      <c r="D13" s="52">
        <f>IF($B13="","",COUNTIF('Bảng lương'!$E$7:$E$46,$B13))</f>
        <v>4</v>
      </c>
      <c r="E13" s="16">
        <f>IF($B13="","",SUMIFS('Bảng lương'!$J$7:$J$46,'Bảng lương'!$E$7:$E$46,$B13))</f>
        <v>1200000000</v>
      </c>
      <c r="F13" s="16">
        <f>IF($B13="","",SUMIFS('Bảng lương'!$K$7:$K$46,'Bảng lương'!$E$7:$E$46,$B13))</f>
        <v>1287000000</v>
      </c>
      <c r="G13" s="58">
        <f t="shared" ref="G13:G17" si="1">IF($B13="","",IF(E13&gt;0,F13/E13,0))</f>
        <v>1.0725</v>
      </c>
      <c r="H13" s="16">
        <f>IF($B13="","",SUMIFS('Bảng lương'!$U$7:$U$46,'Bảng lương'!$E$7:$E$46,$B13))</f>
        <v>102380000</v>
      </c>
      <c r="I13" s="16">
        <f>IF($B13="","",SUMIFS('Bảng lương'!$AG$7:$AG$46,'Bảng lương'!$E$7:$E$46,$B13))</f>
        <v>93171250</v>
      </c>
      <c r="J13" s="16">
        <f>IF($B13="","",SUMIFS('Bảng lương'!$AD$7:$AD$46,'Bảng lương'!$E$7:$E$46,$B13))</f>
        <v>1118750</v>
      </c>
      <c r="K13" s="16">
        <f>IF($B13="","",SUMIFS('Bảng lương'!$Z$7:$Z$46,'Bảng lương'!$E$7:$E$46,$B13))</f>
        <v>6090000</v>
      </c>
    </row>
    <row r="14" ht="21.75" customHeight="1">
      <c r="B14" s="51" t="str">
        <f>IF('Cài đặt'!G22="","",'Cài đặt'!G22)</f>
        <v>Nhóm Miền Trung</v>
      </c>
      <c r="C14" s="47"/>
      <c r="D14" s="52">
        <f>IF($B14="","",COUNTIF('Bảng lương'!$E$7:$E$46,$B14))</f>
        <v>3</v>
      </c>
      <c r="E14" s="16">
        <f>IF($B14="","",SUMIFS('Bảng lương'!$J$7:$J$46,'Bảng lương'!$E$7:$E$46,$B14))</f>
        <v>640000000</v>
      </c>
      <c r="F14" s="16">
        <f>IF($B14="","",SUMIFS('Bảng lương'!$K$7:$K$46,'Bảng lương'!$E$7:$E$46,$B14))</f>
        <v>607000000</v>
      </c>
      <c r="G14" s="58">
        <f t="shared" si="1"/>
        <v>0.9484375</v>
      </c>
      <c r="H14" s="16">
        <f>IF($B14="","",SUMIFS('Bảng lương'!$U$7:$U$46,'Bảng lương'!$E$7:$E$46,$B14))</f>
        <v>48971364</v>
      </c>
      <c r="I14" s="16">
        <f>IF($B14="","",SUMIFS('Bảng lương'!$AG$7:$AG$46,'Bảng lương'!$E$7:$E$46,$B14))</f>
        <v>44516364</v>
      </c>
      <c r="J14" s="16">
        <f>IF($B14="","",SUMIFS('Bảng lương'!$AD$7:$AD$46,'Bảng lương'!$E$7:$E$46,$B14))</f>
        <v>0</v>
      </c>
      <c r="K14" s="16">
        <f>IF($B14="","",SUMIFS('Bảng lương'!$Z$7:$Z$46,'Bảng lương'!$E$7:$E$46,$B14))</f>
        <v>3255000</v>
      </c>
    </row>
    <row r="15" ht="21.75" customHeight="1">
      <c r="B15" s="51" t="str">
        <f>IF('Cài đặt'!G23="","",'Cài đặt'!G23)</f>
        <v>Nhóm Miền Nam</v>
      </c>
      <c r="C15" s="47"/>
      <c r="D15" s="52">
        <f>IF($B15="","",COUNTIF('Bảng lương'!$E$7:$E$46,$B15))</f>
        <v>3</v>
      </c>
      <c r="E15" s="16">
        <f>IF($B15="","",SUMIFS('Bảng lương'!$J$7:$J$46,'Bảng lương'!$E$7:$E$46,$B15))</f>
        <v>680000000</v>
      </c>
      <c r="F15" s="16">
        <f>IF($B15="","",SUMIFS('Bảng lương'!$K$7:$K$46,'Bảng lương'!$E$7:$E$46,$B15))</f>
        <v>843000000</v>
      </c>
      <c r="G15" s="58">
        <f t="shared" si="1"/>
        <v>1.239705882</v>
      </c>
      <c r="H15" s="16">
        <f>IF($B15="","",SUMIFS('Bảng lương'!$U$7:$U$46,'Bảng lương'!$E$7:$E$46,$B15))</f>
        <v>69110000</v>
      </c>
      <c r="I15" s="16">
        <f>IF($B15="","",SUMIFS('Bảng lương'!$AG$7:$AG$46,'Bảng lương'!$E$7:$E$46,$B15))</f>
        <v>65298000</v>
      </c>
      <c r="J15" s="16">
        <f>IF($B15="","",SUMIFS('Bảng lương'!$AD$7:$AD$46,'Bảng lương'!$E$7:$E$46,$B15))</f>
        <v>1187000</v>
      </c>
      <c r="K15" s="16">
        <f>IF($B15="","",SUMIFS('Bảng lương'!$Z$7:$Z$46,'Bảng lương'!$E$7:$E$46,$B15))</f>
        <v>2625000</v>
      </c>
    </row>
    <row r="16" ht="21.75" customHeight="1">
      <c r="B16" s="51" t="str">
        <f>IF('Cài đặt'!G24="","",'Cài đặt'!G24)</f>
        <v/>
      </c>
      <c r="C16" s="47"/>
      <c r="D16" s="52" t="str">
        <f>IF($B16="","",COUNTIF('Bảng lương'!$E$7:$E$46,$B16))</f>
        <v/>
      </c>
      <c r="E16" s="16" t="str">
        <f>IF($B16="","",SUMIFS('Bảng lương'!$J$7:$J$46,'Bảng lương'!$E$7:$E$46,$B16))</f>
        <v/>
      </c>
      <c r="F16" s="16" t="str">
        <f>IF($B16="","",SUMIFS('Bảng lương'!$K$7:$K$46,'Bảng lương'!$E$7:$E$46,$B16))</f>
        <v/>
      </c>
      <c r="G16" s="58" t="str">
        <f t="shared" si="1"/>
        <v/>
      </c>
      <c r="H16" s="16" t="str">
        <f>IF($B16="","",SUMIFS('Bảng lương'!$U$7:$U$46,'Bảng lương'!$E$7:$E$46,$B16))</f>
        <v/>
      </c>
      <c r="I16" s="16" t="str">
        <f>IF($B16="","",SUMIFS('Bảng lương'!$AG$7:$AG$46,'Bảng lương'!$E$7:$E$46,$B16))</f>
        <v/>
      </c>
      <c r="J16" s="16" t="str">
        <f>IF($B16="","",SUMIFS('Bảng lương'!$AD$7:$AD$46,'Bảng lương'!$E$7:$E$46,$B16))</f>
        <v/>
      </c>
      <c r="K16" s="16" t="str">
        <f>IF($B16="","",SUMIFS('Bảng lương'!$Z$7:$Z$46,'Bảng lương'!$E$7:$E$46,$B16))</f>
        <v/>
      </c>
    </row>
    <row r="17" ht="21.75" customHeight="1">
      <c r="B17" s="51" t="str">
        <f>IF('Cài đặt'!G25="","",'Cài đặt'!G25)</f>
        <v/>
      </c>
      <c r="C17" s="47"/>
      <c r="D17" s="52" t="str">
        <f>IF($B17="","",COUNTIF('Bảng lương'!$E$7:$E$46,$B17))</f>
        <v/>
      </c>
      <c r="E17" s="16" t="str">
        <f>IF($B17="","",SUMIFS('Bảng lương'!$J$7:$J$46,'Bảng lương'!$E$7:$E$46,$B17))</f>
        <v/>
      </c>
      <c r="F17" s="16" t="str">
        <f>IF($B17="","",SUMIFS('Bảng lương'!$K$7:$K$46,'Bảng lương'!$E$7:$E$46,$B17))</f>
        <v/>
      </c>
      <c r="G17" s="58" t="str">
        <f t="shared" si="1"/>
        <v/>
      </c>
      <c r="H17" s="16" t="str">
        <f>IF($B17="","",SUMIFS('Bảng lương'!$U$7:$U$46,'Bảng lương'!$E$7:$E$46,$B17))</f>
        <v/>
      </c>
      <c r="I17" s="16" t="str">
        <f>IF($B17="","",SUMIFS('Bảng lương'!$AG$7:$AG$46,'Bảng lương'!$E$7:$E$46,$B17))</f>
        <v/>
      </c>
      <c r="J17" s="16" t="str">
        <f>IF($B17="","",SUMIFS('Bảng lương'!$AD$7:$AD$46,'Bảng lương'!$E$7:$E$46,$B17))</f>
        <v/>
      </c>
      <c r="K17" s="16" t="str">
        <f>IF($B17="","",SUMIFS('Bảng lương'!$Z$7:$Z$46,'Bảng lương'!$E$7:$E$46,$B17))</f>
        <v/>
      </c>
    </row>
    <row r="18" ht="24.0" customHeight="1">
      <c r="B18" s="88" t="s">
        <v>211</v>
      </c>
      <c r="C18" s="47"/>
      <c r="D18" s="89">
        <f>B6</f>
        <v>10</v>
      </c>
      <c r="E18" s="55">
        <f>'Bảng lương'!J6</f>
        <v>2520000000</v>
      </c>
      <c r="F18" s="55">
        <f>'Bảng lương'!K6</f>
        <v>2737000000</v>
      </c>
      <c r="G18" s="57">
        <f>'Bảng lương'!L6</f>
        <v>1.086111111</v>
      </c>
      <c r="H18" s="55">
        <f>'Bảng lương'!U6</f>
        <v>220461364</v>
      </c>
      <c r="I18" s="55">
        <f>'Bảng lương'!AG6</f>
        <v>202985614</v>
      </c>
      <c r="J18" s="55">
        <f>'Bảng lương'!AD6</f>
        <v>2305750</v>
      </c>
      <c r="K18" s="55">
        <f>'Bảng lương'!Z6</f>
        <v>11970000</v>
      </c>
    </row>
    <row r="20" ht="21.75" customHeight="1">
      <c r="B20" s="5" t="s">
        <v>267</v>
      </c>
      <c r="C20" s="2"/>
      <c r="D20" s="2"/>
      <c r="E20" s="2"/>
      <c r="F20" s="2"/>
      <c r="G20" s="2"/>
      <c r="H20" s="2"/>
      <c r="I20" s="2"/>
      <c r="J20" s="2"/>
      <c r="K20" s="3"/>
    </row>
    <row r="21" ht="30.0" customHeight="1">
      <c r="B21" s="10" t="s">
        <v>268</v>
      </c>
      <c r="C21" s="46" t="s">
        <v>12</v>
      </c>
      <c r="D21" s="47"/>
      <c r="E21" s="10" t="s">
        <v>15</v>
      </c>
      <c r="F21" s="10" t="s">
        <v>174</v>
      </c>
      <c r="G21" s="10" t="s">
        <v>175</v>
      </c>
      <c r="H21" s="10" t="s">
        <v>176</v>
      </c>
      <c r="I21" s="10" t="s">
        <v>269</v>
      </c>
      <c r="J21" s="46" t="s">
        <v>178</v>
      </c>
      <c r="K21" s="47"/>
    </row>
    <row r="22" ht="21.0" customHeight="1">
      <c r="B22" s="90">
        <v>1.0</v>
      </c>
      <c r="C22" s="51" t="str">
        <f t="array" ref="C22">IF($L22="","",INDEX('Bảng lương'!$C$7:$C$46,$L22))</f>
        <v>Nguyễn Minh Tuấn</v>
      </c>
      <c r="D22" s="47"/>
      <c r="E22" s="22" t="str">
        <f t="array" ref="E22">IF($L22="","",INDEX('Bảng lương'!$E$7:$E$46,$L22))</f>
        <v>Nhóm Miền Bắc</v>
      </c>
      <c r="F22" s="16">
        <f t="array" ref="F22">IF($L22="","",INDEX('Bảng lương'!$J$7:$J$46,$L22))</f>
        <v>500000000</v>
      </c>
      <c r="G22" s="92">
        <f t="array" ref="G22">IF($L22="","",INDEX('Bảng lương'!$K$7:$K$46,$L22))</f>
        <v>560000000</v>
      </c>
      <c r="H22" s="58">
        <f t="array" ref="H22">IF($L22="","",INDEX('Bảng lương'!$L$7:$L$46,$L22))</f>
        <v>1.12</v>
      </c>
      <c r="I22" s="16">
        <f t="array" ref="I22">IF($L22="","",INDEX('Bảng lương'!$N$7:$N$46,$L22)+INDEX('Bảng lương'!$O$7:$O$46,$L22)+INDEX('Bảng lương'!$Q$7:$Q$46,$L22))</f>
        <v>13400000</v>
      </c>
      <c r="J22" s="94">
        <f t="array" ref="J22">IF($L22="","",INDEX('Bảng lương'!$AG$7:$AG$46,$L22))</f>
        <v>42517500</v>
      </c>
      <c r="K22" s="47"/>
      <c r="L22" s="95">
        <f>IFERROR(MATCH(LARGE('Bảng lương'!$AL$7:$AL$46,1),'Bảng lương'!$AL$7:$AL$46,0),"")</f>
        <v>1</v>
      </c>
    </row>
    <row r="23" ht="21.0" customHeight="1">
      <c r="B23" s="90">
        <v>2.0</v>
      </c>
      <c r="C23" s="51" t="str">
        <f t="array" ref="C23">IF($L23="","",INDEX('Bảng lương'!$C$7:$C$46,$L23))</f>
        <v>Bùi Thanh Hằng</v>
      </c>
      <c r="D23" s="47"/>
      <c r="E23" s="22" t="str">
        <f t="array" ref="E23">IF($L23="","",INDEX('Bảng lương'!$E$7:$E$46,$L23))</f>
        <v>Nhóm Miền Nam</v>
      </c>
      <c r="F23" s="16">
        <f t="array" ref="F23">IF($L23="","",INDEX('Bảng lương'!$J$7:$J$46,$L23))</f>
        <v>320000000</v>
      </c>
      <c r="G23" s="92">
        <f t="array" ref="G23">IF($L23="","",INDEX('Bảng lương'!$K$7:$K$46,$L23))</f>
        <v>505000000</v>
      </c>
      <c r="H23" s="58">
        <f t="array" ref="H23">IF($L23="","",INDEX('Bảng lương'!$L$7:$L$46,$L23))</f>
        <v>1.578125</v>
      </c>
      <c r="I23" s="16">
        <f t="array" ref="I23">IF($L23="","",INDEX('Bảng lương'!$N$7:$N$46,$L23)+INDEX('Bảng lương'!$O$7:$O$46,$L23)+INDEX('Bảng lương'!$Q$7:$Q$46,$L23))</f>
        <v>21750000</v>
      </c>
      <c r="J23" s="94">
        <f t="array" ref="J23">IF($L23="","",INDEX('Bảng lương'!$AG$7:$AG$46,$L23))</f>
        <v>38113000</v>
      </c>
      <c r="K23" s="47"/>
      <c r="L23" s="95">
        <f>IFERROR(MATCH(LARGE('Bảng lương'!$AL$7:$AL$46,2),'Bảng lương'!$AL$7:$AL$46,0),"")</f>
        <v>8</v>
      </c>
    </row>
    <row r="24" ht="21.0" customHeight="1">
      <c r="B24" s="90">
        <v>3.0</v>
      </c>
      <c r="C24" s="51" t="str">
        <f t="array" ref="C24">IF($L24="","",INDEX('Bảng lương'!$C$7:$C$46,$L24))</f>
        <v>Trần Thị Hồng Nhung</v>
      </c>
      <c r="D24" s="47"/>
      <c r="E24" s="22" t="str">
        <f t="array" ref="E24">IF($L24="","",INDEX('Bảng lương'!$E$7:$E$46,$L24))</f>
        <v>Nhóm Miền Bắc</v>
      </c>
      <c r="F24" s="16">
        <f t="array" ref="F24">IF($L24="","",INDEX('Bảng lương'!$J$7:$J$46,$L24))</f>
        <v>300000000</v>
      </c>
      <c r="G24" s="92">
        <f t="array" ref="G24">IF($L24="","",INDEX('Bảng lương'!$K$7:$K$46,$L24))</f>
        <v>345000000</v>
      </c>
      <c r="H24" s="58">
        <f t="array" ref="H24">IF($L24="","",INDEX('Bảng lương'!$L$7:$L$46,$L24))</f>
        <v>1.15</v>
      </c>
      <c r="I24" s="16">
        <f t="array" ref="I24">IF($L24="","",INDEX('Bảng lương'!$N$7:$N$46,$L24)+INDEX('Bảng lương'!$O$7:$O$46,$L24)+INDEX('Bảng lương'!$Q$7:$Q$46,$L24))</f>
        <v>8900000</v>
      </c>
      <c r="J24" s="94">
        <f t="array" ref="J24">IF($L24="","",INDEX('Bảng lương'!$AG$7:$AG$46,$L24))</f>
        <v>24923750</v>
      </c>
      <c r="K24" s="47"/>
      <c r="L24" s="95">
        <f>IFERROR(MATCH(LARGE('Bảng lương'!$AL$7:$AL$46,3),'Bảng lương'!$AL$7:$AL$46,0),"")</f>
        <v>2</v>
      </c>
    </row>
    <row r="25" ht="21.0" customHeight="1">
      <c r="B25" s="90">
        <v>4.0</v>
      </c>
      <c r="C25" s="51" t="str">
        <f t="array" ref="C25">IF($L25="","",INDEX('Bảng lương'!$C$7:$C$46,$L25))</f>
        <v>Hoàng Đức Anh</v>
      </c>
      <c r="D25" s="47"/>
      <c r="E25" s="22" t="str">
        <f t="array" ref="E25">IF($L25="","",INDEX('Bảng lương'!$E$7:$E$46,$L25))</f>
        <v>Nhóm Miền Trung</v>
      </c>
      <c r="F25" s="16">
        <f t="array" ref="F25">IF($L25="","",INDEX('Bảng lương'!$J$7:$J$46,$L25))</f>
        <v>280000000</v>
      </c>
      <c r="G25" s="92">
        <f t="array" ref="G25">IF($L25="","",INDEX('Bảng lương'!$K$7:$K$46,$L25))</f>
        <v>292000000</v>
      </c>
      <c r="H25" s="58">
        <f t="array" ref="H25">IF($L25="","",INDEX('Bảng lương'!$L$7:$L$46,$L25))</f>
        <v>1.042857143</v>
      </c>
      <c r="I25" s="16">
        <f t="array" ref="I25">IF($L25="","",INDEX('Bảng lương'!$N$7:$N$46,$L25)+INDEX('Bảng lương'!$O$7:$O$46,$L25)+INDEX('Bảng lương'!$Q$7:$Q$46,$L25))</f>
        <v>7440000</v>
      </c>
      <c r="J25" s="94">
        <f t="array" ref="J25">IF($L25="","",INDEX('Bảng lương'!$AG$7:$AG$46,$L25))</f>
        <v>22200000</v>
      </c>
      <c r="K25" s="47"/>
      <c r="L25" s="95">
        <f>IFERROR(MATCH(LARGE('Bảng lương'!$AL$7:$AL$46,4),'Bảng lương'!$AL$7:$AL$46,0),"")</f>
        <v>5</v>
      </c>
    </row>
    <row r="26" ht="21.0" customHeight="1">
      <c r="B26" s="90">
        <v>5.0</v>
      </c>
      <c r="C26" s="51" t="str">
        <f t="array" ref="C26">IF($L26="","",INDEX('Bảng lương'!$C$7:$C$46,$L26))</f>
        <v>Lê Quốc Bảo</v>
      </c>
      <c r="D26" s="47"/>
      <c r="E26" s="22" t="str">
        <f t="array" ref="E26">IF($L26="","",INDEX('Bảng lương'!$E$7:$E$46,$L26))</f>
        <v>Nhóm Miền Bắc</v>
      </c>
      <c r="F26" s="16">
        <f t="array" ref="F26">IF($L26="","",INDEX('Bảng lương'!$J$7:$J$46,$L26))</f>
        <v>200000000</v>
      </c>
      <c r="G26" s="92">
        <f t="array" ref="G26">IF($L26="","",INDEX('Bảng lương'!$K$7:$K$46,$L26))</f>
        <v>214000000</v>
      </c>
      <c r="H26" s="58">
        <f t="array" ref="H26">IF($L26="","",INDEX('Bảng lương'!$L$7:$L$46,$L26))</f>
        <v>1.07</v>
      </c>
      <c r="I26" s="16">
        <f t="array" ref="I26">IF($L26="","",INDEX('Bảng lương'!$N$7:$N$46,$L26)+INDEX('Bảng lương'!$O$7:$O$46,$L26)+INDEX('Bảng lương'!$Q$7:$Q$46,$L26))</f>
        <v>6080000</v>
      </c>
      <c r="J26" s="94">
        <f t="array" ref="J26">IF($L26="","",INDEX('Bảng lương'!$AG$7:$AG$46,$L26))</f>
        <v>13865000</v>
      </c>
      <c r="K26" s="47"/>
      <c r="L26" s="95">
        <f>IFERROR(MATCH(LARGE('Bảng lương'!$AL$7:$AL$46,5),'Bảng lương'!$AL$7:$AL$46,0),"")</f>
        <v>3</v>
      </c>
    </row>
    <row r="27" ht="21.0" customHeight="1">
      <c r="B27" s="90">
        <v>6.0</v>
      </c>
      <c r="C27" s="51" t="str">
        <f t="array" ref="C27">IF($L27="","",INDEX('Bảng lương'!$C$7:$C$46,$L27))</f>
        <v>Đặng Văn Khoa</v>
      </c>
      <c r="D27" s="47"/>
      <c r="E27" s="22" t="str">
        <f t="array" ref="E27">IF($L27="","",INDEX('Bảng lương'!$E$7:$E$46,$L27))</f>
        <v>Nhóm Miền Trung</v>
      </c>
      <c r="F27" s="16">
        <f t="array" ref="F27">IF($L27="","",INDEX('Bảng lương'!$J$7:$J$46,$L27))</f>
        <v>180000000</v>
      </c>
      <c r="G27" s="92">
        <f t="array" ref="G27">IF($L27="","",INDEX('Bảng lương'!$K$7:$K$46,$L27))</f>
        <v>205000000</v>
      </c>
      <c r="H27" s="58">
        <f t="array" ref="H27">IF($L27="","",INDEX('Bảng lương'!$L$7:$L$46,$L27))</f>
        <v>1.138888889</v>
      </c>
      <c r="I27" s="16">
        <f t="array" ref="I27">IF($L27="","",INDEX('Bảng lương'!$N$7:$N$46,$L27)+INDEX('Bảng lương'!$O$7:$O$46,$L27)+INDEX('Bảng lương'!$Q$7:$Q$46,$L27))</f>
        <v>5900000</v>
      </c>
      <c r="J27" s="94">
        <f t="array" ref="J27">IF($L27="","",INDEX('Bảng lương'!$AG$7:$AG$46,$L27))</f>
        <v>12978864</v>
      </c>
      <c r="K27" s="47"/>
      <c r="L27" s="95">
        <f>IFERROR(MATCH(LARGE('Bảng lương'!$AL$7:$AL$46,6),'Bảng lương'!$AL$7:$AL$46,0),"")</f>
        <v>7</v>
      </c>
    </row>
    <row r="28" ht="21.0" customHeight="1">
      <c r="B28" s="90">
        <v>7.0</v>
      </c>
      <c r="C28" s="51" t="str">
        <f t="array" ref="C28">IF($L28="","",INDEX('Bảng lương'!$C$7:$C$46,$L28))</f>
        <v>Ngô Gia Huy</v>
      </c>
      <c r="D28" s="47"/>
      <c r="E28" s="22" t="str">
        <f t="array" ref="E28">IF($L28="","",INDEX('Bảng lương'!$E$7:$E$46,$L28))</f>
        <v>Nhóm Miền Nam</v>
      </c>
      <c r="F28" s="16">
        <f t="array" ref="F28">IF($L28="","",INDEX('Bảng lương'!$J$7:$J$46,$L28))</f>
        <v>200000000</v>
      </c>
      <c r="G28" s="92">
        <f t="array" ref="G28">IF($L28="","",INDEX('Bảng lương'!$K$7:$K$46,$L28))</f>
        <v>188000000</v>
      </c>
      <c r="H28" s="58">
        <f t="array" ref="H28">IF($L28="","",INDEX('Bảng lương'!$L$7:$L$46,$L28))</f>
        <v>0.94</v>
      </c>
      <c r="I28" s="16">
        <f t="array" ref="I28">IF($L28="","",INDEX('Bảng lương'!$N$7:$N$46,$L28)+INDEX('Bảng lương'!$O$7:$O$46,$L28)+INDEX('Bảng lương'!$Q$7:$Q$46,$L28))</f>
        <v>3920000</v>
      </c>
      <c r="J28" s="94">
        <f t="array" ref="J28">IF($L28="","",INDEX('Bảng lương'!$AG$7:$AG$46,$L28))</f>
        <v>13705000</v>
      </c>
      <c r="K28" s="47"/>
      <c r="L28" s="95">
        <f>IFERROR(MATCH(LARGE('Bảng lương'!$AL$7:$AL$46,7),'Bảng lương'!$AL$7:$AL$46,0),"")</f>
        <v>9</v>
      </c>
    </row>
    <row r="29" ht="21.0" customHeight="1">
      <c r="B29" s="90">
        <v>8.0</v>
      </c>
      <c r="C29" s="51" t="str">
        <f t="array" ref="C29">IF($L29="","",INDEX('Bảng lương'!$C$7:$C$46,$L29))</f>
        <v>Phạm Thu Hà</v>
      </c>
      <c r="D29" s="47"/>
      <c r="E29" s="22" t="str">
        <f t="array" ref="E29">IF($L29="","",INDEX('Bảng lương'!$E$7:$E$46,$L29))</f>
        <v>Nhóm Miền Bắc</v>
      </c>
      <c r="F29" s="16">
        <f t="array" ref="F29">IF($L29="","",INDEX('Bảng lương'!$J$7:$J$46,$L29))</f>
        <v>200000000</v>
      </c>
      <c r="G29" s="92">
        <f t="array" ref="G29">IF($L29="","",INDEX('Bảng lương'!$K$7:$K$46,$L29))</f>
        <v>168000000</v>
      </c>
      <c r="H29" s="58">
        <f t="array" ref="H29">IF($L29="","",INDEX('Bảng lương'!$L$7:$L$46,$L29))</f>
        <v>0.84</v>
      </c>
      <c r="I29" s="16">
        <f t="array" ref="I29">IF($L29="","",INDEX('Bảng lương'!$N$7:$N$46,$L29)+INDEX('Bảng lương'!$O$7:$O$46,$L29)+INDEX('Bảng lương'!$Q$7:$Q$46,$L29))</f>
        <v>2080000</v>
      </c>
      <c r="J29" s="94">
        <f t="array" ref="J29">IF($L29="","",INDEX('Bảng lương'!$AG$7:$AG$46,$L29))</f>
        <v>11865000</v>
      </c>
      <c r="K29" s="47"/>
      <c r="L29" s="95">
        <f>IFERROR(MATCH(LARGE('Bảng lương'!$AL$7:$AL$46,8),'Bảng lương'!$AL$7:$AL$46,0),"")</f>
        <v>4</v>
      </c>
    </row>
    <row r="30" ht="21.0" customHeight="1">
      <c r="B30" s="90">
        <v>9.0</v>
      </c>
      <c r="C30" s="51" t="str">
        <f t="array" ref="C30">IF($L30="","",INDEX('Bảng lương'!$C$7:$C$46,$L30))</f>
        <v>Đỗ Khánh Linh</v>
      </c>
      <c r="D30" s="47"/>
      <c r="E30" s="22" t="str">
        <f t="array" ref="E30">IF($L30="","",INDEX('Bảng lương'!$E$7:$E$46,$L30))</f>
        <v>Nhóm Miền Nam</v>
      </c>
      <c r="F30" s="16">
        <f t="array" ref="F30">IF($L30="","",INDEX('Bảng lương'!$J$7:$J$46,$L30))</f>
        <v>160000000</v>
      </c>
      <c r="G30" s="92">
        <f t="array" ref="G30">IF($L30="","",INDEX('Bảng lương'!$K$7:$K$46,$L30))</f>
        <v>150000000</v>
      </c>
      <c r="H30" s="58">
        <f t="array" ref="H30">IF($L30="","",INDEX('Bảng lương'!$L$7:$L$46,$L30))</f>
        <v>0.9375</v>
      </c>
      <c r="I30" s="16">
        <f t="array" ref="I30">IF($L30="","",INDEX('Bảng lương'!$N$7:$N$46,$L30)+INDEX('Bảng lương'!$O$7:$O$46,$L30)+INDEX('Bảng lương'!$Q$7:$Q$46,$L30))</f>
        <v>3750000</v>
      </c>
      <c r="J30" s="94">
        <f t="array" ref="J30">IF($L30="","",INDEX('Bảng lương'!$AG$7:$AG$46,$L30))</f>
        <v>13480000</v>
      </c>
      <c r="K30" s="47"/>
      <c r="L30" s="95">
        <f>IFERROR(MATCH(LARGE('Bảng lương'!$AL$7:$AL$46,9),'Bảng lương'!$AL$7:$AL$46,0),"")</f>
        <v>10</v>
      </c>
    </row>
    <row r="31" ht="21.0" customHeight="1">
      <c r="B31" s="90">
        <v>10.0</v>
      </c>
      <c r="C31" s="51" t="str">
        <f t="array" ref="C31">IF($L31="","",INDEX('Bảng lương'!$C$7:$C$46,$L31))</f>
        <v>Võ Thị Mai Anh</v>
      </c>
      <c r="D31" s="47"/>
      <c r="E31" s="22" t="str">
        <f t="array" ref="E31">IF($L31="","",INDEX('Bảng lương'!$E$7:$E$46,$L31))</f>
        <v>Nhóm Miền Trung</v>
      </c>
      <c r="F31" s="16">
        <f t="array" ref="F31">IF($L31="","",INDEX('Bảng lương'!$J$7:$J$46,$L31))</f>
        <v>180000000</v>
      </c>
      <c r="G31" s="92">
        <f t="array" ref="G31">IF($L31="","",INDEX('Bảng lương'!$K$7:$K$46,$L31))</f>
        <v>110000000</v>
      </c>
      <c r="H31" s="58">
        <f t="array" ref="H31">IF($L31="","",INDEX('Bảng lương'!$L$7:$L$46,$L31))</f>
        <v>0.6111111111</v>
      </c>
      <c r="I31" s="16">
        <f t="array" ref="I31">IF($L31="","",INDEX('Bảng lương'!$N$7:$N$46,$L31)+INDEX('Bảng lương'!$O$7:$O$46,$L31)+INDEX('Bảng lương'!$Q$7:$Q$46,$L31))</f>
        <v>200000</v>
      </c>
      <c r="J31" s="94">
        <f t="array" ref="J31">IF($L31="","",INDEX('Bảng lương'!$AG$7:$AG$46,$L31))</f>
        <v>9337500</v>
      </c>
      <c r="K31" s="47"/>
      <c r="L31" s="95">
        <f>IFERROR(MATCH(LARGE('Bảng lương'!$AL$7:$AL$46,10),'Bảng lương'!$AL$7:$AL$46,0),"")</f>
        <v>6</v>
      </c>
    </row>
    <row r="32" ht="15.75" customHeight="1"/>
    <row r="33" ht="21.75" customHeight="1">
      <c r="B33" s="5" t="s">
        <v>270</v>
      </c>
      <c r="C33" s="2"/>
      <c r="D33" s="2"/>
      <c r="E33" s="2"/>
      <c r="F33" s="2"/>
      <c r="G33" s="2"/>
      <c r="H33" s="2"/>
      <c r="I33" s="2"/>
      <c r="J33" s="2"/>
      <c r="K33" s="3"/>
    </row>
    <row r="34" ht="15.0" customHeight="1">
      <c r="B34" s="46" t="s">
        <v>271</v>
      </c>
      <c r="C34" s="54"/>
      <c r="D34" s="47"/>
      <c r="E34" s="46" t="s">
        <v>272</v>
      </c>
      <c r="F34" s="47"/>
      <c r="G34" s="10" t="s">
        <v>273</v>
      </c>
    </row>
    <row r="35" ht="15.0" customHeight="1">
      <c r="B35" s="96" t="s">
        <v>186</v>
      </c>
      <c r="C35" s="54"/>
      <c r="D35" s="47"/>
      <c r="E35" s="94">
        <f>'Bảng lương'!I6</f>
        <v>125840909</v>
      </c>
      <c r="F35" s="47"/>
      <c r="G35" s="58">
        <f t="shared" ref="G35:G38" si="2">IF($E$39=0,0,E35/$E$39)</f>
        <v>0.5708070871</v>
      </c>
    </row>
    <row r="36" ht="15.0" customHeight="1">
      <c r="B36" s="96" t="s">
        <v>218</v>
      </c>
      <c r="C36" s="54"/>
      <c r="D36" s="47"/>
      <c r="E36" s="94">
        <f>'Bảng lương'!N6</f>
        <v>54220000</v>
      </c>
      <c r="F36" s="47"/>
      <c r="G36" s="58">
        <f t="shared" si="2"/>
        <v>0.245938785</v>
      </c>
    </row>
    <row r="37" ht="15.0" customHeight="1">
      <c r="B37" s="96" t="s">
        <v>274</v>
      </c>
      <c r="C37" s="54"/>
      <c r="D37" s="47"/>
      <c r="E37" s="94">
        <f>'Bảng lương'!O6+'Bảng lương'!Q6+'Bảng lương'!T6</f>
        <v>20700000</v>
      </c>
      <c r="F37" s="47"/>
      <c r="G37" s="58">
        <f t="shared" si="2"/>
        <v>0.09389400312</v>
      </c>
    </row>
    <row r="38" ht="15.0" customHeight="1">
      <c r="B38" s="96" t="s">
        <v>275</v>
      </c>
      <c r="C38" s="54"/>
      <c r="D38" s="47"/>
      <c r="E38" s="94">
        <f>'Bảng lương'!R6+'Bảng lương'!S6</f>
        <v>19700455</v>
      </c>
      <c r="F38" s="47"/>
      <c r="G38" s="58">
        <f t="shared" si="2"/>
        <v>0.0893601248</v>
      </c>
    </row>
    <row r="39" ht="15.0" customHeight="1">
      <c r="B39" s="97" t="s">
        <v>197</v>
      </c>
      <c r="C39" s="54"/>
      <c r="D39" s="47"/>
      <c r="E39" s="98">
        <f>SUM(E35:E38)</f>
        <v>220461364</v>
      </c>
      <c r="F39" s="47"/>
      <c r="G39" s="99">
        <f>IF(E39=0,0,1)</f>
        <v>1</v>
      </c>
    </row>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C24:D24"/>
    <mergeCell ref="C25:D25"/>
    <mergeCell ref="C26:D26"/>
    <mergeCell ref="C27:D27"/>
    <mergeCell ref="C28:D28"/>
    <mergeCell ref="C29:D29"/>
    <mergeCell ref="C30:D30"/>
    <mergeCell ref="C31:D31"/>
    <mergeCell ref="J25:K25"/>
    <mergeCell ref="J26:K26"/>
    <mergeCell ref="J27:K27"/>
    <mergeCell ref="J28:K28"/>
    <mergeCell ref="J29:K29"/>
    <mergeCell ref="J30:K30"/>
    <mergeCell ref="J31:K31"/>
    <mergeCell ref="B2:K2"/>
    <mergeCell ref="B3:K3"/>
    <mergeCell ref="D5:E5"/>
    <mergeCell ref="F5:G5"/>
    <mergeCell ref="H5:I5"/>
    <mergeCell ref="J5:K5"/>
    <mergeCell ref="B1:Z1"/>
    <mergeCell ref="H8:I8"/>
    <mergeCell ref="J8:K8"/>
    <mergeCell ref="H9:I9"/>
    <mergeCell ref="J9:K9"/>
    <mergeCell ref="B5:C5"/>
    <mergeCell ref="B6:C6"/>
    <mergeCell ref="D6:E6"/>
    <mergeCell ref="F6:G6"/>
    <mergeCell ref="H6:I6"/>
    <mergeCell ref="J6:K6"/>
    <mergeCell ref="B8:C8"/>
    <mergeCell ref="D8:E8"/>
    <mergeCell ref="F8:G8"/>
    <mergeCell ref="B9:C9"/>
    <mergeCell ref="D9:E9"/>
    <mergeCell ref="F9:G9"/>
    <mergeCell ref="B11:K11"/>
    <mergeCell ref="B12:C12"/>
    <mergeCell ref="B13:C13"/>
    <mergeCell ref="B14:C14"/>
    <mergeCell ref="B15:C15"/>
    <mergeCell ref="B16:C16"/>
    <mergeCell ref="B17:C17"/>
    <mergeCell ref="B18:C18"/>
    <mergeCell ref="B20:K20"/>
    <mergeCell ref="C21:D21"/>
    <mergeCell ref="J21:K21"/>
    <mergeCell ref="C22:D22"/>
    <mergeCell ref="J22:K22"/>
    <mergeCell ref="C23:D23"/>
    <mergeCell ref="J23:K23"/>
    <mergeCell ref="J24:K24"/>
    <mergeCell ref="B37:D37"/>
    <mergeCell ref="E37:F37"/>
    <mergeCell ref="B38:D38"/>
    <mergeCell ref="E38:F38"/>
    <mergeCell ref="B39:D39"/>
    <mergeCell ref="E39:F39"/>
    <mergeCell ref="B33:K33"/>
    <mergeCell ref="B34:D34"/>
    <mergeCell ref="E34:F34"/>
    <mergeCell ref="B35:D35"/>
    <mergeCell ref="E35:F35"/>
    <mergeCell ref="B36:D36"/>
    <mergeCell ref="E36:F36"/>
  </mergeCells>
  <conditionalFormatting sqref="H22:H31">
    <cfRule type="expression" dxfId="1" priority="1">
      <formula>AND(ISNUMBER($H22),$H22&lt;1)</formula>
    </cfRule>
  </conditionalFormatting>
  <conditionalFormatting sqref="H22:H31">
    <cfRule type="expression" dxfId="2" priority="2">
      <formula>AND(ISNUMBER($H22),$H22&gt;=1)</formula>
    </cfRule>
  </conditionalFormatting>
  <printOptions/>
  <pageMargins bottom="1.0" footer="0.0" header="0.0" left="0.75" right="0.75" top="1.0"/>
  <pageSetup fitToHeight="0" paperSize="9"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B7280"/>
    <pageSetUpPr/>
  </sheetPr>
  <sheetViews>
    <sheetView showGridLines="0" workbookViewId="0"/>
  </sheetViews>
  <sheetFormatPr customHeight="1" defaultColWidth="14.43" defaultRowHeight="15.0"/>
  <cols>
    <col customWidth="1" min="1" max="1" width="3.0"/>
    <col customWidth="1" min="2" max="2" width="38.0"/>
    <col customWidth="1" min="3" max="3" width="26.0"/>
    <col customWidth="1" min="4" max="4" width="50.0"/>
    <col customWidth="1" min="5" max="5" width="3.0"/>
    <col customWidth="1" min="6" max="6" width="8.0"/>
    <col customWidth="1" min="7" max="8" width="24.0"/>
    <col customWidth="1" min="9" max="9" width="22.0"/>
    <col customWidth="1" min="10" max="10" width="16.0"/>
    <col customWidth="1" min="11" max="26" width="8.57"/>
  </cols>
  <sheetData>
    <row r="1" ht="37.5" customHeight="1">
      <c r="B1" s="1" t="s">
        <v>1</v>
      </c>
      <c r="C1" s="2"/>
      <c r="D1" s="2"/>
      <c r="E1" s="2"/>
      <c r="F1" s="2"/>
      <c r="G1" s="2"/>
      <c r="H1" s="2"/>
      <c r="I1" s="2"/>
      <c r="J1" s="3"/>
    </row>
    <row r="2">
      <c r="B2" s="4" t="s">
        <v>3</v>
      </c>
    </row>
    <row r="3" ht="21.75" customHeight="1">
      <c r="B3" s="5" t="s">
        <v>4</v>
      </c>
      <c r="C3" s="2"/>
      <c r="D3" s="3"/>
      <c r="F3" s="5" t="s">
        <v>6</v>
      </c>
      <c r="G3" s="2"/>
      <c r="H3" s="2"/>
      <c r="I3" s="2"/>
      <c r="J3" s="3"/>
    </row>
    <row r="4" ht="39.75" customHeight="1">
      <c r="B4" s="6" t="s">
        <v>8</v>
      </c>
      <c r="C4" s="8" t="s">
        <v>10</v>
      </c>
      <c r="D4" s="9"/>
      <c r="F4" s="10" t="s">
        <v>14</v>
      </c>
      <c r="G4" s="10" t="s">
        <v>17</v>
      </c>
      <c r="H4" s="10" t="s">
        <v>20</v>
      </c>
      <c r="I4" s="10" t="s">
        <v>21</v>
      </c>
      <c r="J4" s="10" t="s">
        <v>23</v>
      </c>
    </row>
    <row r="5" ht="21.75" customHeight="1">
      <c r="B5" s="6" t="s">
        <v>25</v>
      </c>
      <c r="C5" s="8" t="s">
        <v>27</v>
      </c>
      <c r="D5" s="9"/>
      <c r="F5" s="11">
        <v>1.0</v>
      </c>
      <c r="G5" s="12">
        <v>0.0</v>
      </c>
      <c r="H5" s="16">
        <f t="shared" ref="H5:H8" si="1">G6</f>
        <v>10000000</v>
      </c>
      <c r="I5" s="17">
        <v>0.05</v>
      </c>
      <c r="J5" s="19">
        <f>I5</f>
        <v>0.05</v>
      </c>
    </row>
    <row r="6" ht="21.75" customHeight="1">
      <c r="B6" s="6" t="s">
        <v>42</v>
      </c>
      <c r="C6" s="8" t="s">
        <v>44</v>
      </c>
      <c r="D6" s="9"/>
      <c r="F6" s="11">
        <v>2.0</v>
      </c>
      <c r="G6" s="12">
        <v>1.0E7</v>
      </c>
      <c r="H6" s="16">
        <f t="shared" si="1"/>
        <v>30000000</v>
      </c>
      <c r="I6" s="17">
        <v>0.1</v>
      </c>
      <c r="J6" s="19">
        <f t="shared" ref="J6:J9" si="2">I6-I5</f>
        <v>0.05</v>
      </c>
    </row>
    <row r="7" ht="21.75" customHeight="1">
      <c r="B7" s="5" t="s">
        <v>53</v>
      </c>
      <c r="C7" s="2"/>
      <c r="D7" s="3"/>
      <c r="F7" s="11">
        <v>3.0</v>
      </c>
      <c r="G7" s="12">
        <v>3.0E7</v>
      </c>
      <c r="H7" s="16">
        <f t="shared" si="1"/>
        <v>60000000</v>
      </c>
      <c r="I7" s="17">
        <v>0.2</v>
      </c>
      <c r="J7" s="19">
        <f t="shared" si="2"/>
        <v>0.1</v>
      </c>
    </row>
    <row r="8" ht="21.75" customHeight="1">
      <c r="B8" s="6" t="s">
        <v>57</v>
      </c>
      <c r="C8" s="21">
        <v>10.0</v>
      </c>
      <c r="D8" s="9" t="s">
        <v>63</v>
      </c>
      <c r="F8" s="11">
        <v>4.0</v>
      </c>
      <c r="G8" s="12">
        <v>6.0E7</v>
      </c>
      <c r="H8" s="16">
        <f t="shared" si="1"/>
        <v>100000000</v>
      </c>
      <c r="I8" s="17">
        <v>0.3</v>
      </c>
      <c r="J8" s="19">
        <f t="shared" si="2"/>
        <v>0.1</v>
      </c>
    </row>
    <row r="9" ht="21.75" customHeight="1">
      <c r="B9" s="6" t="s">
        <v>65</v>
      </c>
      <c r="C9" s="21">
        <v>2026.0</v>
      </c>
      <c r="D9" s="9"/>
      <c r="F9" s="11">
        <v>5.0</v>
      </c>
      <c r="G9" s="12">
        <v>1.0E8</v>
      </c>
      <c r="H9" s="16" t="s">
        <v>70</v>
      </c>
      <c r="I9" s="17">
        <v>0.35</v>
      </c>
      <c r="J9" s="19">
        <f t="shared" si="2"/>
        <v>0.05</v>
      </c>
    </row>
    <row r="10" ht="21.75" customHeight="1">
      <c r="B10" s="6" t="s">
        <v>72</v>
      </c>
      <c r="C10" s="24">
        <f>DATE(C9,C8,1)</f>
        <v>46296</v>
      </c>
      <c r="D10" s="9"/>
    </row>
    <row r="11" ht="21.75" customHeight="1">
      <c r="B11" s="6" t="s">
        <v>83</v>
      </c>
      <c r="C11" s="8" t="s">
        <v>84</v>
      </c>
      <c r="D11" s="9" t="s">
        <v>85</v>
      </c>
      <c r="F11" s="5" t="s">
        <v>86</v>
      </c>
      <c r="G11" s="2"/>
      <c r="H11" s="2"/>
      <c r="I11" s="2"/>
      <c r="J11" s="3"/>
    </row>
    <row r="12" ht="39.75" customHeight="1">
      <c r="B12" s="6" t="s">
        <v>92</v>
      </c>
      <c r="C12" s="25" t="str">
        <f>IF(C11="Chỉ Chủ nhật","0000001",IF(C11="Không nghỉ","0000000","0000011"))</f>
        <v>0000011</v>
      </c>
      <c r="D12" s="9"/>
      <c r="F12" s="10" t="s">
        <v>103</v>
      </c>
      <c r="G12" s="10" t="s">
        <v>104</v>
      </c>
      <c r="H12" s="10" t="s">
        <v>105</v>
      </c>
      <c r="I12" s="10" t="s">
        <v>106</v>
      </c>
      <c r="J12" s="10"/>
    </row>
    <row r="13" ht="21.75" customHeight="1">
      <c r="B13" s="6" t="s">
        <v>107</v>
      </c>
      <c r="C13" s="21">
        <v>0.0</v>
      </c>
      <c r="D13" s="9" t="s">
        <v>108</v>
      </c>
      <c r="F13" s="11">
        <v>1.0</v>
      </c>
      <c r="G13" s="17">
        <v>0.0</v>
      </c>
      <c r="H13" s="26">
        <v>0.0</v>
      </c>
      <c r="I13" s="12">
        <v>0.0</v>
      </c>
      <c r="J13" s="27" t="s">
        <v>114</v>
      </c>
    </row>
    <row r="14" ht="21.75" customHeight="1">
      <c r="B14" s="6" t="s">
        <v>115</v>
      </c>
      <c r="C14" s="28">
        <f>_xlfn.NETWORKDAYS.INTL(C10,EOMONTH(C10,0),C12)-C13</f>
        <v>22</v>
      </c>
      <c r="D14" s="9" t="s">
        <v>120</v>
      </c>
      <c r="F14" s="11">
        <v>2.0</v>
      </c>
      <c r="G14" s="17">
        <v>0.7</v>
      </c>
      <c r="H14" s="26">
        <v>0.01</v>
      </c>
      <c r="I14" s="12">
        <v>0.0</v>
      </c>
    </row>
    <row r="15" ht="21.75" customHeight="1">
      <c r="B15" s="6" t="s">
        <v>121</v>
      </c>
      <c r="C15" s="21"/>
      <c r="D15" s="9" t="s">
        <v>122</v>
      </c>
      <c r="F15" s="11">
        <v>3.0</v>
      </c>
      <c r="G15" s="17">
        <v>0.9</v>
      </c>
      <c r="H15" s="26">
        <v>0.015</v>
      </c>
      <c r="I15" s="12">
        <v>500000.0</v>
      </c>
    </row>
    <row r="16" ht="21.75" customHeight="1">
      <c r="B16" s="6" t="s">
        <v>123</v>
      </c>
      <c r="C16" s="28">
        <f>IF(C15="",C14,C15)</f>
        <v>22</v>
      </c>
      <c r="D16" s="9" t="s">
        <v>124</v>
      </c>
      <c r="F16" s="11">
        <v>4.0</v>
      </c>
      <c r="G16" s="17">
        <v>1.0</v>
      </c>
      <c r="H16" s="26">
        <v>0.02</v>
      </c>
      <c r="I16" s="12">
        <v>1000000.0</v>
      </c>
    </row>
    <row r="17" ht="21.75" customHeight="1">
      <c r="B17" s="5" t="s">
        <v>125</v>
      </c>
      <c r="C17" s="2"/>
      <c r="D17" s="3"/>
      <c r="F17" s="11">
        <v>5.0</v>
      </c>
      <c r="G17" s="17">
        <v>1.2</v>
      </c>
      <c r="H17" s="26">
        <v>0.025</v>
      </c>
      <c r="I17" s="12">
        <v>2500000.0</v>
      </c>
    </row>
    <row r="18" ht="21.75" customHeight="1">
      <c r="B18" s="6" t="s">
        <v>126</v>
      </c>
      <c r="C18" s="29">
        <v>0.08</v>
      </c>
      <c r="D18" s="9"/>
      <c r="F18" s="11">
        <v>6.0</v>
      </c>
      <c r="G18" s="17">
        <v>1.5</v>
      </c>
      <c r="H18" s="26">
        <v>0.03</v>
      </c>
      <c r="I18" s="12">
        <v>5000000.0</v>
      </c>
    </row>
    <row r="19" ht="21.75" customHeight="1">
      <c r="B19" s="6" t="s">
        <v>127</v>
      </c>
      <c r="C19" s="29">
        <v>0.015</v>
      </c>
      <c r="D19" s="9"/>
    </row>
    <row r="20" ht="21.75" customHeight="1">
      <c r="B20" s="6" t="s">
        <v>128</v>
      </c>
      <c r="C20" s="29">
        <v>0.01</v>
      </c>
      <c r="D20" s="9"/>
      <c r="F20" s="5" t="s">
        <v>129</v>
      </c>
      <c r="G20" s="2"/>
      <c r="H20" s="2"/>
      <c r="I20" s="2"/>
      <c r="J20" s="3"/>
    </row>
    <row r="21" ht="21.75" customHeight="1">
      <c r="B21" s="6" t="s">
        <v>130</v>
      </c>
      <c r="C21" s="29">
        <v>0.175</v>
      </c>
      <c r="D21" s="9" t="s">
        <v>131</v>
      </c>
      <c r="F21" s="11">
        <v>1.0</v>
      </c>
      <c r="G21" s="15" t="s">
        <v>37</v>
      </c>
    </row>
    <row r="22" ht="21.75" customHeight="1">
      <c r="B22" s="6" t="s">
        <v>132</v>
      </c>
      <c r="C22" s="29">
        <v>0.03</v>
      </c>
      <c r="D22" s="9"/>
      <c r="F22" s="11">
        <v>2.0</v>
      </c>
      <c r="G22" s="15" t="s">
        <v>78</v>
      </c>
    </row>
    <row r="23" ht="21.75" customHeight="1">
      <c r="B23" s="6" t="s">
        <v>133</v>
      </c>
      <c r="C23" s="29">
        <v>0.01</v>
      </c>
      <c r="D23" s="9"/>
      <c r="F23" s="11">
        <v>3.0</v>
      </c>
      <c r="G23" s="15" t="s">
        <v>97</v>
      </c>
    </row>
    <row r="24" ht="21.75" customHeight="1">
      <c r="B24" s="6" t="s">
        <v>134</v>
      </c>
      <c r="C24" s="30">
        <v>2530000.0</v>
      </c>
      <c r="D24" s="9" t="s">
        <v>135</v>
      </c>
      <c r="F24" s="11">
        <v>4.0</v>
      </c>
      <c r="G24" s="15"/>
    </row>
    <row r="25" ht="21.75" customHeight="1">
      <c r="B25" s="6" t="s">
        <v>136</v>
      </c>
      <c r="C25" s="30">
        <v>5310000.0</v>
      </c>
      <c r="D25" s="9" t="s">
        <v>137</v>
      </c>
      <c r="F25" s="11">
        <v>5.0</v>
      </c>
      <c r="G25" s="15"/>
    </row>
    <row r="26" ht="21.75" customHeight="1">
      <c r="B26" s="6" t="s">
        <v>138</v>
      </c>
      <c r="C26" s="31">
        <f t="shared" ref="C26:C27" si="3">20*C24</f>
        <v>50600000</v>
      </c>
      <c r="D26" s="9" t="s">
        <v>139</v>
      </c>
    </row>
    <row r="27" ht="21.75" customHeight="1">
      <c r="B27" s="6" t="s">
        <v>141</v>
      </c>
      <c r="C27" s="31">
        <f t="shared" si="3"/>
        <v>106200000</v>
      </c>
      <c r="D27" s="9" t="s">
        <v>142</v>
      </c>
      <c r="F27" s="5" t="s">
        <v>143</v>
      </c>
      <c r="G27" s="2"/>
      <c r="H27" s="2"/>
      <c r="I27" s="2"/>
      <c r="J27" s="3"/>
    </row>
    <row r="28" ht="21.75" customHeight="1">
      <c r="B28" s="5" t="s">
        <v>144</v>
      </c>
      <c r="C28" s="2"/>
      <c r="D28" s="3"/>
      <c r="F28" s="11">
        <v>1.0</v>
      </c>
      <c r="G28" s="15" t="s">
        <v>36</v>
      </c>
    </row>
    <row r="29" ht="21.75" customHeight="1">
      <c r="B29" s="6" t="s">
        <v>145</v>
      </c>
      <c r="C29" s="30">
        <v>1.55E7</v>
      </c>
      <c r="D29" s="9" t="s">
        <v>146</v>
      </c>
      <c r="F29" s="11">
        <v>2.0</v>
      </c>
      <c r="G29" s="15" t="s">
        <v>56</v>
      </c>
    </row>
    <row r="30" ht="21.75" customHeight="1">
      <c r="B30" s="6" t="s">
        <v>147</v>
      </c>
      <c r="C30" s="30">
        <v>6200000.0</v>
      </c>
      <c r="D30" s="9"/>
      <c r="F30" s="11">
        <v>3.0</v>
      </c>
      <c r="G30" s="15" t="s">
        <v>64</v>
      </c>
    </row>
    <row r="31" ht="21.75" customHeight="1">
      <c r="B31" s="6" t="s">
        <v>148</v>
      </c>
      <c r="C31" s="30">
        <v>730000.0</v>
      </c>
      <c r="D31" s="9" t="s">
        <v>149</v>
      </c>
      <c r="F31" s="11">
        <v>4.0</v>
      </c>
      <c r="G31" s="15"/>
    </row>
    <row r="32" ht="21.75" customHeight="1">
      <c r="B32" s="6" t="s">
        <v>150</v>
      </c>
      <c r="C32" s="30">
        <v>200000.0</v>
      </c>
      <c r="D32" s="9" t="s">
        <v>151</v>
      </c>
      <c r="F32" s="11">
        <v>5.0</v>
      </c>
      <c r="G32" s="15"/>
    </row>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F20:J20"/>
    <mergeCell ref="F27:J27"/>
    <mergeCell ref="B28:D28"/>
    <mergeCell ref="B1:J1"/>
    <mergeCell ref="B3:D3"/>
    <mergeCell ref="F3:J3"/>
    <mergeCell ref="B7:D7"/>
    <mergeCell ref="F11:J11"/>
    <mergeCell ref="J13:J18"/>
    <mergeCell ref="B17:D17"/>
  </mergeCells>
  <dataValidations>
    <dataValidation type="decimal" allowBlank="1" showInputMessage="1" showErrorMessage="1" prompt="Nhập tháng từ 1 đến 12" sqref="C8">
      <formula1>1.0</formula1>
      <formula2>12.0</formula2>
    </dataValidation>
    <dataValidation type="list" allowBlank="1" sqref="C11">
      <formula1>"Thứ 7 + Chủ nhật,Chỉ Chủ nhật,Không nghỉ"</formula1>
    </dataValidation>
  </dataValidations>
  <printOptions/>
  <pageMargins bottom="1.0" footer="0.0" header="0.0" left="0.75" right="0.75" top="1.0"/>
  <pageSetup paperSize="9"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B7280"/>
    <pageSetUpPr/>
  </sheetPr>
  <sheetViews>
    <sheetView showGridLines="0" workbookViewId="0">
      <pane xSplit="3.0" ySplit="5.0" topLeftCell="D6" activePane="bottomRight" state="frozen"/>
      <selection activeCell="D1" sqref="D1" pane="topRight"/>
      <selection activeCell="A6" sqref="A6" pane="bottomLeft"/>
      <selection activeCell="D6" sqref="D6" pane="bottomRight"/>
    </sheetView>
  </sheetViews>
  <sheetFormatPr customHeight="1" defaultColWidth="14.43" defaultRowHeight="15.0"/>
  <cols>
    <col customWidth="1" min="1" max="1" width="5.0"/>
    <col customWidth="1" min="2" max="2" width="9.0"/>
    <col customWidth="1" min="3" max="4" width="24.0"/>
    <col customWidth="1" min="5" max="5" width="18.0"/>
    <col customWidth="1" min="6" max="6" width="12.0"/>
    <col customWidth="1" min="7" max="7" width="15.0"/>
    <col customWidth="1" min="8" max="8" width="10.0"/>
    <col customWidth="1" min="9" max="9" width="18.0"/>
    <col customWidth="1" min="10" max="10" width="14.0"/>
    <col customWidth="1" min="11" max="11" width="17.0"/>
    <col customWidth="1" min="12" max="12" width="11.0"/>
    <col customWidth="1" min="13" max="13" width="17.0"/>
    <col customWidth="1" min="14" max="14" width="14.0"/>
    <col customWidth="1" min="15" max="16" width="16.0"/>
    <col customWidth="1" min="17" max="26" width="8.57"/>
  </cols>
  <sheetData>
    <row r="1" ht="37.5" customHeight="1">
      <c r="A1" s="1" t="s">
        <v>0</v>
      </c>
      <c r="B1" s="2"/>
      <c r="C1" s="2"/>
      <c r="D1" s="2"/>
      <c r="E1" s="2"/>
      <c r="F1" s="2"/>
      <c r="G1" s="2"/>
      <c r="H1" s="2"/>
      <c r="I1" s="2"/>
      <c r="J1" s="2"/>
      <c r="K1" s="2"/>
      <c r="L1" s="2"/>
      <c r="M1" s="2"/>
      <c r="N1" s="2"/>
      <c r="O1" s="2"/>
      <c r="P1" s="3"/>
    </row>
    <row r="2">
      <c r="A2" s="4" t="s">
        <v>5</v>
      </c>
    </row>
    <row r="3">
      <c r="A3" s="4" t="s">
        <v>7</v>
      </c>
    </row>
    <row r="5" ht="61.5" customHeight="1">
      <c r="A5" s="7" t="s">
        <v>9</v>
      </c>
      <c r="B5" s="7" t="s">
        <v>11</v>
      </c>
      <c r="C5" s="7" t="s">
        <v>12</v>
      </c>
      <c r="D5" s="7" t="s">
        <v>13</v>
      </c>
      <c r="E5" s="7" t="s">
        <v>15</v>
      </c>
      <c r="F5" s="7" t="s">
        <v>16</v>
      </c>
      <c r="G5" s="7" t="s">
        <v>18</v>
      </c>
      <c r="H5" s="7" t="s">
        <v>19</v>
      </c>
      <c r="I5" s="7" t="s">
        <v>22</v>
      </c>
      <c r="J5" s="7" t="s">
        <v>24</v>
      </c>
      <c r="K5" s="7" t="s">
        <v>26</v>
      </c>
      <c r="L5" s="7" t="s">
        <v>28</v>
      </c>
      <c r="M5" s="7" t="s">
        <v>29</v>
      </c>
      <c r="N5" s="7" t="s">
        <v>30</v>
      </c>
      <c r="O5" s="7" t="s">
        <v>31</v>
      </c>
      <c r="P5" s="7" t="s">
        <v>32</v>
      </c>
    </row>
    <row r="6">
      <c r="A6" s="11">
        <v>1.0</v>
      </c>
      <c r="B6" s="14" t="s">
        <v>33</v>
      </c>
      <c r="C6" s="15" t="s">
        <v>34</v>
      </c>
      <c r="D6" s="15" t="s">
        <v>36</v>
      </c>
      <c r="E6" s="15" t="s">
        <v>37</v>
      </c>
      <c r="F6" s="18">
        <v>44256.0</v>
      </c>
      <c r="G6" s="12">
        <v>3.0E7</v>
      </c>
      <c r="H6" s="20" t="s">
        <v>45</v>
      </c>
      <c r="I6" s="12">
        <v>2.5E7</v>
      </c>
      <c r="J6" s="12">
        <v>730000.0</v>
      </c>
      <c r="K6" s="12">
        <v>2000000.0</v>
      </c>
      <c r="L6" s="20">
        <v>2.0</v>
      </c>
      <c r="M6" s="12">
        <v>5.0E8</v>
      </c>
      <c r="N6" s="20" t="s">
        <v>50</v>
      </c>
      <c r="O6" s="15" t="s">
        <v>51</v>
      </c>
      <c r="P6" s="15" t="s">
        <v>52</v>
      </c>
    </row>
    <row r="7">
      <c r="A7" s="11">
        <v>2.0</v>
      </c>
      <c r="B7" s="14" t="s">
        <v>54</v>
      </c>
      <c r="C7" s="15" t="s">
        <v>55</v>
      </c>
      <c r="D7" s="15" t="s">
        <v>56</v>
      </c>
      <c r="E7" s="15" t="s">
        <v>37</v>
      </c>
      <c r="F7" s="18">
        <v>44727.0</v>
      </c>
      <c r="G7" s="12">
        <v>1.5E7</v>
      </c>
      <c r="H7" s="20" t="s">
        <v>45</v>
      </c>
      <c r="I7" s="12">
        <v>1.5E7</v>
      </c>
      <c r="J7" s="12">
        <v>730000.0</v>
      </c>
      <c r="K7" s="12">
        <v>1500000.0</v>
      </c>
      <c r="L7" s="20">
        <v>1.0</v>
      </c>
      <c r="M7" s="12">
        <v>3.0E8</v>
      </c>
      <c r="N7" s="20" t="s">
        <v>58</v>
      </c>
      <c r="O7" s="15" t="s">
        <v>59</v>
      </c>
      <c r="P7" s="15" t="s">
        <v>60</v>
      </c>
    </row>
    <row r="8">
      <c r="A8" s="11">
        <v>3.0</v>
      </c>
      <c r="B8" s="14" t="s">
        <v>61</v>
      </c>
      <c r="C8" s="15" t="s">
        <v>62</v>
      </c>
      <c r="D8" s="15" t="s">
        <v>64</v>
      </c>
      <c r="E8" s="15" t="s">
        <v>37</v>
      </c>
      <c r="F8" s="18">
        <v>44958.0</v>
      </c>
      <c r="G8" s="12">
        <v>9000000.0</v>
      </c>
      <c r="H8" s="20" t="s">
        <v>45</v>
      </c>
      <c r="I8" s="12">
        <v>9000000.0</v>
      </c>
      <c r="J8" s="12">
        <v>730000.0</v>
      </c>
      <c r="K8" s="12">
        <v>1000000.0</v>
      </c>
      <c r="L8" s="20">
        <v>0.0</v>
      </c>
      <c r="M8" s="12">
        <v>2.0E8</v>
      </c>
      <c r="N8" s="20" t="s">
        <v>66</v>
      </c>
      <c r="O8" s="15" t="s">
        <v>67</v>
      </c>
      <c r="P8" s="15" t="s">
        <v>68</v>
      </c>
    </row>
    <row r="9">
      <c r="A9" s="11">
        <v>4.0</v>
      </c>
      <c r="B9" s="14" t="s">
        <v>69</v>
      </c>
      <c r="C9" s="15" t="s">
        <v>71</v>
      </c>
      <c r="D9" s="15" t="s">
        <v>64</v>
      </c>
      <c r="E9" s="15" t="s">
        <v>37</v>
      </c>
      <c r="F9" s="18">
        <v>45179.0</v>
      </c>
      <c r="G9" s="12">
        <v>9000000.0</v>
      </c>
      <c r="H9" s="20" t="s">
        <v>45</v>
      </c>
      <c r="I9" s="12">
        <v>9000000.0</v>
      </c>
      <c r="J9" s="12">
        <v>730000.0</v>
      </c>
      <c r="K9" s="12">
        <v>1000000.0</v>
      </c>
      <c r="L9" s="20">
        <v>0.0</v>
      </c>
      <c r="M9" s="12">
        <v>2.0E8</v>
      </c>
      <c r="N9" s="20" t="s">
        <v>73</v>
      </c>
      <c r="O9" s="15" t="s">
        <v>74</v>
      </c>
      <c r="P9" s="15" t="s">
        <v>75</v>
      </c>
    </row>
    <row r="10">
      <c r="A10" s="11">
        <v>5.0</v>
      </c>
      <c r="B10" s="14" t="s">
        <v>76</v>
      </c>
      <c r="C10" s="15" t="s">
        <v>77</v>
      </c>
      <c r="D10" s="15" t="s">
        <v>56</v>
      </c>
      <c r="E10" s="15" t="s">
        <v>78</v>
      </c>
      <c r="F10" s="18">
        <v>44571.0</v>
      </c>
      <c r="G10" s="12">
        <v>1.4E7</v>
      </c>
      <c r="H10" s="20" t="s">
        <v>45</v>
      </c>
      <c r="I10" s="12">
        <v>1.4E7</v>
      </c>
      <c r="J10" s="12">
        <v>730000.0</v>
      </c>
      <c r="K10" s="12">
        <v>1500000.0</v>
      </c>
      <c r="L10" s="20">
        <v>2.0</v>
      </c>
      <c r="M10" s="12">
        <v>2.8E8</v>
      </c>
      <c r="N10" s="20" t="s">
        <v>79</v>
      </c>
      <c r="O10" s="15" t="s">
        <v>80</v>
      </c>
      <c r="P10" s="15" t="s">
        <v>52</v>
      </c>
    </row>
    <row r="11">
      <c r="A11" s="11">
        <v>6.0</v>
      </c>
      <c r="B11" s="14" t="s">
        <v>81</v>
      </c>
      <c r="C11" s="15" t="s">
        <v>82</v>
      </c>
      <c r="D11" s="15" t="s">
        <v>64</v>
      </c>
      <c r="E11" s="15" t="s">
        <v>78</v>
      </c>
      <c r="F11" s="18">
        <v>45355.0</v>
      </c>
      <c r="G11" s="12">
        <v>8500000.0</v>
      </c>
      <c r="H11" s="20" t="s">
        <v>45</v>
      </c>
      <c r="I11" s="12">
        <v>8500000.0</v>
      </c>
      <c r="J11" s="12">
        <v>730000.0</v>
      </c>
      <c r="K11" s="12">
        <v>1000000.0</v>
      </c>
      <c r="L11" s="20">
        <v>0.0</v>
      </c>
      <c r="M11" s="12">
        <v>1.8E8</v>
      </c>
      <c r="N11" s="20" t="s">
        <v>87</v>
      </c>
      <c r="O11" s="15" t="s">
        <v>88</v>
      </c>
      <c r="P11" s="15" t="s">
        <v>89</v>
      </c>
    </row>
    <row r="12">
      <c r="A12" s="11">
        <v>7.0</v>
      </c>
      <c r="B12" s="14" t="s">
        <v>90</v>
      </c>
      <c r="C12" s="15" t="s">
        <v>91</v>
      </c>
      <c r="D12" s="15" t="s">
        <v>64</v>
      </c>
      <c r="E12" s="15" t="s">
        <v>78</v>
      </c>
      <c r="F12" s="18">
        <v>45474.0</v>
      </c>
      <c r="G12" s="12">
        <v>8500000.0</v>
      </c>
      <c r="H12" s="20" t="s">
        <v>45</v>
      </c>
      <c r="I12" s="12">
        <v>8500000.0</v>
      </c>
      <c r="J12" s="12">
        <v>730000.0</v>
      </c>
      <c r="K12" s="12">
        <v>1000000.0</v>
      </c>
      <c r="L12" s="20">
        <v>0.0</v>
      </c>
      <c r="M12" s="12">
        <v>1.8E8</v>
      </c>
      <c r="N12" s="20" t="s">
        <v>93</v>
      </c>
      <c r="O12" s="15" t="s">
        <v>94</v>
      </c>
      <c r="P12" s="15" t="s">
        <v>60</v>
      </c>
    </row>
    <row r="13">
      <c r="A13" s="11">
        <v>8.0</v>
      </c>
      <c r="B13" s="14" t="s">
        <v>95</v>
      </c>
      <c r="C13" s="15" t="s">
        <v>96</v>
      </c>
      <c r="D13" s="15" t="s">
        <v>56</v>
      </c>
      <c r="E13" s="15" t="s">
        <v>97</v>
      </c>
      <c r="F13" s="18">
        <v>44520.0</v>
      </c>
      <c r="G13" s="12">
        <v>1.6E7</v>
      </c>
      <c r="H13" s="20" t="s">
        <v>45</v>
      </c>
      <c r="I13" s="12">
        <v>1.6E7</v>
      </c>
      <c r="J13" s="12">
        <v>730000.0</v>
      </c>
      <c r="K13" s="12">
        <v>1500000.0</v>
      </c>
      <c r="L13" s="20">
        <v>1.0</v>
      </c>
      <c r="M13" s="12">
        <v>3.2E8</v>
      </c>
      <c r="N13" s="20" t="s">
        <v>98</v>
      </c>
      <c r="O13" s="15" t="s">
        <v>99</v>
      </c>
      <c r="P13" s="15" t="s">
        <v>100</v>
      </c>
    </row>
    <row r="14">
      <c r="A14" s="11">
        <v>9.0</v>
      </c>
      <c r="B14" s="14" t="s">
        <v>101</v>
      </c>
      <c r="C14" s="15" t="s">
        <v>102</v>
      </c>
      <c r="D14" s="15" t="s">
        <v>64</v>
      </c>
      <c r="E14" s="15" t="s">
        <v>97</v>
      </c>
      <c r="F14" s="18">
        <v>45663.0</v>
      </c>
      <c r="G14" s="12">
        <v>9000000.0</v>
      </c>
      <c r="H14" s="20" t="s">
        <v>45</v>
      </c>
      <c r="I14" s="12">
        <v>9000000.0</v>
      </c>
      <c r="J14" s="12">
        <v>730000.0</v>
      </c>
      <c r="K14" s="12">
        <v>1000000.0</v>
      </c>
      <c r="L14" s="20">
        <v>0.0</v>
      </c>
      <c r="M14" s="12">
        <v>2.0E8</v>
      </c>
      <c r="N14" s="20" t="s">
        <v>110</v>
      </c>
      <c r="O14" s="15" t="s">
        <v>111</v>
      </c>
      <c r="P14" s="15" t="s">
        <v>52</v>
      </c>
    </row>
    <row r="15">
      <c r="A15" s="11">
        <v>10.0</v>
      </c>
      <c r="B15" s="14" t="s">
        <v>112</v>
      </c>
      <c r="C15" s="15" t="s">
        <v>113</v>
      </c>
      <c r="D15" s="15" t="s">
        <v>64</v>
      </c>
      <c r="E15" s="15" t="s">
        <v>97</v>
      </c>
      <c r="F15" s="18">
        <v>45887.0</v>
      </c>
      <c r="G15" s="12">
        <v>8000000.0</v>
      </c>
      <c r="H15" s="20" t="s">
        <v>116</v>
      </c>
      <c r="I15" s="12"/>
      <c r="J15" s="12">
        <v>730000.0</v>
      </c>
      <c r="K15" s="12">
        <v>1000000.0</v>
      </c>
      <c r="L15" s="20">
        <v>0.0</v>
      </c>
      <c r="M15" s="12">
        <v>1.6E8</v>
      </c>
      <c r="N15" s="20" t="s">
        <v>117</v>
      </c>
      <c r="O15" s="15" t="s">
        <v>118</v>
      </c>
      <c r="P15" s="15" t="s">
        <v>119</v>
      </c>
    </row>
    <row r="16">
      <c r="A16" s="11">
        <v>11.0</v>
      </c>
      <c r="B16" s="14"/>
      <c r="C16" s="15"/>
      <c r="D16" s="15"/>
      <c r="E16" s="15"/>
      <c r="F16" s="18"/>
      <c r="G16" s="12"/>
      <c r="H16" s="20"/>
      <c r="I16" s="12"/>
      <c r="J16" s="12"/>
      <c r="K16" s="12"/>
      <c r="L16" s="20"/>
      <c r="M16" s="12"/>
      <c r="N16" s="20"/>
      <c r="O16" s="15"/>
      <c r="P16" s="15"/>
    </row>
    <row r="17">
      <c r="A17" s="11">
        <v>12.0</v>
      </c>
      <c r="B17" s="14"/>
      <c r="C17" s="15"/>
      <c r="D17" s="15"/>
      <c r="E17" s="15"/>
      <c r="F17" s="18"/>
      <c r="G17" s="12"/>
      <c r="H17" s="20"/>
      <c r="I17" s="12"/>
      <c r="J17" s="12"/>
      <c r="K17" s="12"/>
      <c r="L17" s="20"/>
      <c r="M17" s="12"/>
      <c r="N17" s="20"/>
      <c r="O17" s="15"/>
      <c r="P17" s="15"/>
    </row>
    <row r="18">
      <c r="A18" s="11">
        <v>13.0</v>
      </c>
      <c r="B18" s="14"/>
      <c r="C18" s="15"/>
      <c r="D18" s="15"/>
      <c r="E18" s="15"/>
      <c r="F18" s="18"/>
      <c r="G18" s="12"/>
      <c r="H18" s="20"/>
      <c r="I18" s="12"/>
      <c r="J18" s="12"/>
      <c r="K18" s="12"/>
      <c r="L18" s="20"/>
      <c r="M18" s="12"/>
      <c r="N18" s="20"/>
      <c r="O18" s="15"/>
      <c r="P18" s="15"/>
    </row>
    <row r="19">
      <c r="A19" s="11">
        <v>14.0</v>
      </c>
      <c r="B19" s="14"/>
      <c r="C19" s="15"/>
      <c r="D19" s="15"/>
      <c r="E19" s="15"/>
      <c r="F19" s="18"/>
      <c r="G19" s="12"/>
      <c r="H19" s="20"/>
      <c r="I19" s="12"/>
      <c r="J19" s="12"/>
      <c r="K19" s="12"/>
      <c r="L19" s="20"/>
      <c r="M19" s="12"/>
      <c r="N19" s="20"/>
      <c r="O19" s="15"/>
      <c r="P19" s="15"/>
    </row>
    <row r="20">
      <c r="A20" s="11">
        <v>15.0</v>
      </c>
      <c r="B20" s="14"/>
      <c r="C20" s="15"/>
      <c r="D20" s="15"/>
      <c r="E20" s="15"/>
      <c r="F20" s="18"/>
      <c r="G20" s="12"/>
      <c r="H20" s="20"/>
      <c r="I20" s="12"/>
      <c r="J20" s="12"/>
      <c r="K20" s="12"/>
      <c r="L20" s="20"/>
      <c r="M20" s="12"/>
      <c r="N20" s="20"/>
      <c r="O20" s="15"/>
      <c r="P20" s="15"/>
    </row>
    <row r="21" ht="15.75" customHeight="1">
      <c r="A21" s="11">
        <v>16.0</v>
      </c>
      <c r="B21" s="14"/>
      <c r="C21" s="15"/>
      <c r="D21" s="15"/>
      <c r="E21" s="15"/>
      <c r="F21" s="18"/>
      <c r="G21" s="12"/>
      <c r="H21" s="20"/>
      <c r="I21" s="12"/>
      <c r="J21" s="12"/>
      <c r="K21" s="12"/>
      <c r="L21" s="20"/>
      <c r="M21" s="12"/>
      <c r="N21" s="20"/>
      <c r="O21" s="15"/>
      <c r="P21" s="15"/>
    </row>
    <row r="22" ht="15.75" customHeight="1">
      <c r="A22" s="11">
        <v>17.0</v>
      </c>
      <c r="B22" s="14"/>
      <c r="C22" s="15"/>
      <c r="D22" s="15"/>
      <c r="E22" s="15"/>
      <c r="F22" s="18"/>
      <c r="G22" s="12"/>
      <c r="H22" s="20"/>
      <c r="I22" s="12"/>
      <c r="J22" s="12"/>
      <c r="K22" s="12"/>
      <c r="L22" s="20"/>
      <c r="M22" s="12"/>
      <c r="N22" s="20"/>
      <c r="O22" s="15"/>
      <c r="P22" s="15"/>
    </row>
    <row r="23" ht="15.75" customHeight="1">
      <c r="A23" s="11">
        <v>18.0</v>
      </c>
      <c r="B23" s="14"/>
      <c r="C23" s="15"/>
      <c r="D23" s="15"/>
      <c r="E23" s="15"/>
      <c r="F23" s="18"/>
      <c r="G23" s="12"/>
      <c r="H23" s="20"/>
      <c r="I23" s="12"/>
      <c r="J23" s="12"/>
      <c r="K23" s="12"/>
      <c r="L23" s="20"/>
      <c r="M23" s="12"/>
      <c r="N23" s="20"/>
      <c r="O23" s="15"/>
      <c r="P23" s="15"/>
    </row>
    <row r="24" ht="15.75" customHeight="1">
      <c r="A24" s="11">
        <v>19.0</v>
      </c>
      <c r="B24" s="14"/>
      <c r="C24" s="15"/>
      <c r="D24" s="15"/>
      <c r="E24" s="15"/>
      <c r="F24" s="18"/>
      <c r="G24" s="12"/>
      <c r="H24" s="20"/>
      <c r="I24" s="12"/>
      <c r="J24" s="12"/>
      <c r="K24" s="12"/>
      <c r="L24" s="20"/>
      <c r="M24" s="12"/>
      <c r="N24" s="20"/>
      <c r="O24" s="15"/>
      <c r="P24" s="15"/>
    </row>
    <row r="25" ht="15.75" customHeight="1">
      <c r="A25" s="11">
        <v>20.0</v>
      </c>
      <c r="B25" s="14"/>
      <c r="C25" s="15"/>
      <c r="D25" s="15"/>
      <c r="E25" s="15"/>
      <c r="F25" s="18"/>
      <c r="G25" s="12"/>
      <c r="H25" s="20"/>
      <c r="I25" s="12"/>
      <c r="J25" s="12"/>
      <c r="K25" s="12"/>
      <c r="L25" s="20"/>
      <c r="M25" s="12"/>
      <c r="N25" s="20"/>
      <c r="O25" s="15"/>
      <c r="P25" s="15"/>
    </row>
    <row r="26" ht="15.75" customHeight="1">
      <c r="A26" s="11">
        <v>21.0</v>
      </c>
      <c r="B26" s="14"/>
      <c r="C26" s="15"/>
      <c r="D26" s="15"/>
      <c r="E26" s="15"/>
      <c r="F26" s="18"/>
      <c r="G26" s="12"/>
      <c r="H26" s="20"/>
      <c r="I26" s="12"/>
      <c r="J26" s="12"/>
      <c r="K26" s="12"/>
      <c r="L26" s="20"/>
      <c r="M26" s="12"/>
      <c r="N26" s="20"/>
      <c r="O26" s="15"/>
      <c r="P26" s="15"/>
    </row>
    <row r="27" ht="15.75" customHeight="1">
      <c r="A27" s="11">
        <v>22.0</v>
      </c>
      <c r="B27" s="14"/>
      <c r="C27" s="15"/>
      <c r="D27" s="15"/>
      <c r="E27" s="15"/>
      <c r="F27" s="18"/>
      <c r="G27" s="12"/>
      <c r="H27" s="20"/>
      <c r="I27" s="12"/>
      <c r="J27" s="12"/>
      <c r="K27" s="12"/>
      <c r="L27" s="20"/>
      <c r="M27" s="12"/>
      <c r="N27" s="20"/>
      <c r="O27" s="15"/>
      <c r="P27" s="15"/>
    </row>
    <row r="28" ht="15.75" customHeight="1">
      <c r="A28" s="11">
        <v>23.0</v>
      </c>
      <c r="B28" s="14"/>
      <c r="C28" s="15"/>
      <c r="D28" s="15"/>
      <c r="E28" s="15"/>
      <c r="F28" s="18"/>
      <c r="G28" s="12"/>
      <c r="H28" s="20"/>
      <c r="I28" s="12"/>
      <c r="J28" s="12"/>
      <c r="K28" s="12"/>
      <c r="L28" s="20"/>
      <c r="M28" s="12"/>
      <c r="N28" s="20"/>
      <c r="O28" s="15"/>
      <c r="P28" s="15"/>
    </row>
    <row r="29" ht="15.75" customHeight="1">
      <c r="A29" s="11">
        <v>24.0</v>
      </c>
      <c r="B29" s="14"/>
      <c r="C29" s="15"/>
      <c r="D29" s="15"/>
      <c r="E29" s="15"/>
      <c r="F29" s="18"/>
      <c r="G29" s="12"/>
      <c r="H29" s="20"/>
      <c r="I29" s="12"/>
      <c r="J29" s="12"/>
      <c r="K29" s="12"/>
      <c r="L29" s="20"/>
      <c r="M29" s="12"/>
      <c r="N29" s="20"/>
      <c r="O29" s="15"/>
      <c r="P29" s="15"/>
    </row>
    <row r="30" ht="15.75" customHeight="1">
      <c r="A30" s="11">
        <v>25.0</v>
      </c>
      <c r="B30" s="14"/>
      <c r="C30" s="15"/>
      <c r="D30" s="15"/>
      <c r="E30" s="15"/>
      <c r="F30" s="18"/>
      <c r="G30" s="12"/>
      <c r="H30" s="20"/>
      <c r="I30" s="12"/>
      <c r="J30" s="12"/>
      <c r="K30" s="12"/>
      <c r="L30" s="20"/>
      <c r="M30" s="12"/>
      <c r="N30" s="20"/>
      <c r="O30" s="15"/>
      <c r="P30" s="15"/>
    </row>
    <row r="31" ht="15.75" customHeight="1">
      <c r="A31" s="11">
        <v>26.0</v>
      </c>
      <c r="B31" s="14"/>
      <c r="C31" s="15"/>
      <c r="D31" s="15"/>
      <c r="E31" s="15"/>
      <c r="F31" s="18"/>
      <c r="G31" s="12"/>
      <c r="H31" s="20"/>
      <c r="I31" s="12"/>
      <c r="J31" s="12"/>
      <c r="K31" s="12"/>
      <c r="L31" s="20"/>
      <c r="M31" s="12"/>
      <c r="N31" s="20"/>
      <c r="O31" s="15"/>
      <c r="P31" s="15"/>
    </row>
    <row r="32" ht="15.75" customHeight="1">
      <c r="A32" s="11">
        <v>27.0</v>
      </c>
      <c r="B32" s="14"/>
      <c r="C32" s="15"/>
      <c r="D32" s="15"/>
      <c r="E32" s="15"/>
      <c r="F32" s="18"/>
      <c r="G32" s="12"/>
      <c r="H32" s="20"/>
      <c r="I32" s="12"/>
      <c r="J32" s="12"/>
      <c r="K32" s="12"/>
      <c r="L32" s="20"/>
      <c r="M32" s="12"/>
      <c r="N32" s="20"/>
      <c r="O32" s="15"/>
      <c r="P32" s="15"/>
    </row>
    <row r="33" ht="15.75" customHeight="1">
      <c r="A33" s="11">
        <v>28.0</v>
      </c>
      <c r="B33" s="14"/>
      <c r="C33" s="15"/>
      <c r="D33" s="15"/>
      <c r="E33" s="15"/>
      <c r="F33" s="18"/>
      <c r="G33" s="12"/>
      <c r="H33" s="20"/>
      <c r="I33" s="12"/>
      <c r="J33" s="12"/>
      <c r="K33" s="12"/>
      <c r="L33" s="20"/>
      <c r="M33" s="12"/>
      <c r="N33" s="20"/>
      <c r="O33" s="15"/>
      <c r="P33" s="15"/>
    </row>
    <row r="34" ht="15.75" customHeight="1">
      <c r="A34" s="11">
        <v>29.0</v>
      </c>
      <c r="B34" s="14"/>
      <c r="C34" s="15"/>
      <c r="D34" s="15"/>
      <c r="E34" s="15"/>
      <c r="F34" s="18"/>
      <c r="G34" s="12"/>
      <c r="H34" s="20"/>
      <c r="I34" s="12"/>
      <c r="J34" s="12"/>
      <c r="K34" s="12"/>
      <c r="L34" s="20"/>
      <c r="M34" s="12"/>
      <c r="N34" s="20"/>
      <c r="O34" s="15"/>
      <c r="P34" s="15"/>
    </row>
    <row r="35" ht="15.75" customHeight="1">
      <c r="A35" s="11">
        <v>30.0</v>
      </c>
      <c r="B35" s="14"/>
      <c r="C35" s="15"/>
      <c r="D35" s="15"/>
      <c r="E35" s="15"/>
      <c r="F35" s="18"/>
      <c r="G35" s="12"/>
      <c r="H35" s="20"/>
      <c r="I35" s="12"/>
      <c r="J35" s="12"/>
      <c r="K35" s="12"/>
      <c r="L35" s="20"/>
      <c r="M35" s="12"/>
      <c r="N35" s="20"/>
      <c r="O35" s="15"/>
      <c r="P35" s="15"/>
    </row>
    <row r="36" ht="15.75" customHeight="1">
      <c r="A36" s="11">
        <v>31.0</v>
      </c>
      <c r="B36" s="14"/>
      <c r="C36" s="15"/>
      <c r="D36" s="15"/>
      <c r="E36" s="15"/>
      <c r="F36" s="18"/>
      <c r="G36" s="12"/>
      <c r="H36" s="20"/>
      <c r="I36" s="12"/>
      <c r="J36" s="12"/>
      <c r="K36" s="12"/>
      <c r="L36" s="20"/>
      <c r="M36" s="12"/>
      <c r="N36" s="20"/>
      <c r="O36" s="15"/>
      <c r="P36" s="15"/>
    </row>
    <row r="37" ht="15.75" customHeight="1">
      <c r="A37" s="11">
        <v>32.0</v>
      </c>
      <c r="B37" s="14"/>
      <c r="C37" s="15"/>
      <c r="D37" s="15"/>
      <c r="E37" s="15"/>
      <c r="F37" s="18"/>
      <c r="G37" s="12"/>
      <c r="H37" s="20"/>
      <c r="I37" s="12"/>
      <c r="J37" s="12"/>
      <c r="K37" s="12"/>
      <c r="L37" s="20"/>
      <c r="M37" s="12"/>
      <c r="N37" s="20"/>
      <c r="O37" s="15"/>
      <c r="P37" s="15"/>
    </row>
    <row r="38" ht="15.75" customHeight="1">
      <c r="A38" s="11">
        <v>33.0</v>
      </c>
      <c r="B38" s="14"/>
      <c r="C38" s="15"/>
      <c r="D38" s="15"/>
      <c r="E38" s="15"/>
      <c r="F38" s="18"/>
      <c r="G38" s="12"/>
      <c r="H38" s="20"/>
      <c r="I38" s="12"/>
      <c r="J38" s="12"/>
      <c r="K38" s="12"/>
      <c r="L38" s="20"/>
      <c r="M38" s="12"/>
      <c r="N38" s="20"/>
      <c r="O38" s="15"/>
      <c r="P38" s="15"/>
    </row>
    <row r="39" ht="15.75" customHeight="1">
      <c r="A39" s="11">
        <v>34.0</v>
      </c>
      <c r="B39" s="14"/>
      <c r="C39" s="15"/>
      <c r="D39" s="15"/>
      <c r="E39" s="15"/>
      <c r="F39" s="18"/>
      <c r="G39" s="12"/>
      <c r="H39" s="20"/>
      <c r="I39" s="12"/>
      <c r="J39" s="12"/>
      <c r="K39" s="12"/>
      <c r="L39" s="20"/>
      <c r="M39" s="12"/>
      <c r="N39" s="20"/>
      <c r="O39" s="15"/>
      <c r="P39" s="15"/>
    </row>
    <row r="40" ht="15.75" customHeight="1">
      <c r="A40" s="11">
        <v>35.0</v>
      </c>
      <c r="B40" s="14"/>
      <c r="C40" s="15"/>
      <c r="D40" s="15"/>
      <c r="E40" s="15"/>
      <c r="F40" s="18"/>
      <c r="G40" s="12"/>
      <c r="H40" s="20"/>
      <c r="I40" s="12"/>
      <c r="J40" s="12"/>
      <c r="K40" s="12"/>
      <c r="L40" s="20"/>
      <c r="M40" s="12"/>
      <c r="N40" s="20"/>
      <c r="O40" s="15"/>
      <c r="P40" s="15"/>
    </row>
    <row r="41" ht="15.75" customHeight="1">
      <c r="A41" s="11">
        <v>36.0</v>
      </c>
      <c r="B41" s="14"/>
      <c r="C41" s="15"/>
      <c r="D41" s="15"/>
      <c r="E41" s="15"/>
      <c r="F41" s="18"/>
      <c r="G41" s="12"/>
      <c r="H41" s="20"/>
      <c r="I41" s="12"/>
      <c r="J41" s="12"/>
      <c r="K41" s="12"/>
      <c r="L41" s="20"/>
      <c r="M41" s="12"/>
      <c r="N41" s="20"/>
      <c r="O41" s="15"/>
      <c r="P41" s="15"/>
    </row>
    <row r="42" ht="15.75" customHeight="1">
      <c r="A42" s="11">
        <v>37.0</v>
      </c>
      <c r="B42" s="14"/>
      <c r="C42" s="15"/>
      <c r="D42" s="15"/>
      <c r="E42" s="15"/>
      <c r="F42" s="18"/>
      <c r="G42" s="12"/>
      <c r="H42" s="20"/>
      <c r="I42" s="12"/>
      <c r="J42" s="12"/>
      <c r="K42" s="12"/>
      <c r="L42" s="20"/>
      <c r="M42" s="12"/>
      <c r="N42" s="20"/>
      <c r="O42" s="15"/>
      <c r="P42" s="15"/>
    </row>
    <row r="43" ht="15.75" customHeight="1">
      <c r="A43" s="11">
        <v>38.0</v>
      </c>
      <c r="B43" s="14"/>
      <c r="C43" s="15"/>
      <c r="D43" s="15"/>
      <c r="E43" s="15"/>
      <c r="F43" s="18"/>
      <c r="G43" s="12"/>
      <c r="H43" s="20"/>
      <c r="I43" s="12"/>
      <c r="J43" s="12"/>
      <c r="K43" s="12"/>
      <c r="L43" s="20"/>
      <c r="M43" s="12"/>
      <c r="N43" s="20"/>
      <c r="O43" s="15"/>
      <c r="P43" s="15"/>
    </row>
    <row r="44" ht="15.75" customHeight="1">
      <c r="A44" s="11">
        <v>39.0</v>
      </c>
      <c r="B44" s="14"/>
      <c r="C44" s="15"/>
      <c r="D44" s="15"/>
      <c r="E44" s="15"/>
      <c r="F44" s="18"/>
      <c r="G44" s="12"/>
      <c r="H44" s="20"/>
      <c r="I44" s="12"/>
      <c r="J44" s="12"/>
      <c r="K44" s="12"/>
      <c r="L44" s="20"/>
      <c r="M44" s="12"/>
      <c r="N44" s="20"/>
      <c r="O44" s="15"/>
      <c r="P44" s="15"/>
    </row>
    <row r="45" ht="15.75" customHeight="1">
      <c r="A45" s="11">
        <v>40.0</v>
      </c>
      <c r="B45" s="14"/>
      <c r="C45" s="15"/>
      <c r="D45" s="15"/>
      <c r="E45" s="15"/>
      <c r="F45" s="18"/>
      <c r="G45" s="12"/>
      <c r="H45" s="20"/>
      <c r="I45" s="12"/>
      <c r="J45" s="12"/>
      <c r="K45" s="12"/>
      <c r="L45" s="20"/>
      <c r="M45" s="12"/>
      <c r="N45" s="20"/>
      <c r="O45" s="15"/>
      <c r="P45" s="15"/>
    </row>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P1"/>
  </mergeCells>
  <dataValidations>
    <dataValidation type="decimal" operator="greaterThanOrEqual" allowBlank="1" showInputMessage="1" showErrorMessage="1" prompt="Nhập số nguyên ≥ 0" sqref="L6:L45">
      <formula1>0.0</formula1>
    </dataValidation>
    <dataValidation type="list" allowBlank="1" sqref="E6:E45">
      <formula1>Groups</formula1>
    </dataValidation>
    <dataValidation type="list" allowBlank="1" sqref="D6:D45">
      <formula1>Titles</formula1>
    </dataValidation>
    <dataValidation type="list" allowBlank="1" sqref="H6:H45">
      <formula1>"Có,Không"</formula1>
    </dataValidation>
  </dataValidations>
  <printOptions/>
  <pageMargins bottom="1.0" footer="0.0" header="0.0" left="0.75" right="0.75" top="1.0"/>
  <pageSetup paperSize="9" orientation="portrait"/>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6B1D"/>
    <pageSetUpPr/>
  </sheetPr>
  <sheetViews>
    <sheetView showGridLines="0" workbookViewId="0">
      <pane xSplit="3.0" ySplit="5.0" topLeftCell="D6" activePane="bottomRight" state="frozen"/>
      <selection activeCell="D1" sqref="D1" pane="topRight"/>
      <selection activeCell="A6" sqref="A6" pane="bottomLeft"/>
      <selection activeCell="D6" sqref="D6" pane="bottomRight"/>
    </sheetView>
  </sheetViews>
  <sheetFormatPr customHeight="1" defaultColWidth="14.43" defaultRowHeight="15.0"/>
  <cols>
    <col customWidth="1" min="1" max="1" width="5.0"/>
    <col customWidth="1" min="2" max="2" width="10.0"/>
    <col customWidth="1" min="3" max="3" width="26.0"/>
    <col customWidth="1" min="4" max="4" width="12.0"/>
    <col customWidth="1" min="5" max="5" width="14.0"/>
    <col customWidth="1" min="6" max="6" width="18.0"/>
    <col customWidth="1" min="7" max="7" width="11.0"/>
    <col customWidth="1" min="8" max="10" width="14.0"/>
    <col customWidth="1" min="11" max="11" width="32.0"/>
    <col customWidth="1" min="12" max="26" width="8.57"/>
  </cols>
  <sheetData>
    <row r="1" ht="37.5" customHeight="1">
      <c r="A1" s="1" t="s">
        <v>2</v>
      </c>
      <c r="B1" s="2"/>
      <c r="C1" s="2"/>
      <c r="D1" s="2"/>
      <c r="E1" s="2"/>
      <c r="F1" s="2"/>
      <c r="G1" s="2"/>
      <c r="H1" s="2"/>
      <c r="I1" s="2"/>
      <c r="J1" s="2"/>
      <c r="K1" s="3"/>
    </row>
    <row r="2">
      <c r="A2" s="13" t="str">
        <f>"Kỳ lương: Tháng "&amp;'Cài đặt'!C8&amp;"/"&amp;'Cài đặt'!C9&amp;"   |   Ngày công chuẩn: "&amp;Std_Days</f>
        <v>Kỳ lương: Tháng 10/2026   |   Ngày công chuẩn: 22</v>
      </c>
    </row>
    <row r="3">
      <c r="A3" s="4" t="s">
        <v>35</v>
      </c>
    </row>
    <row r="5" ht="48.0" customHeight="1">
      <c r="A5" s="7" t="s">
        <v>9</v>
      </c>
      <c r="B5" s="7" t="s">
        <v>11</v>
      </c>
      <c r="C5" s="7" t="s">
        <v>38</v>
      </c>
      <c r="D5" s="7" t="s">
        <v>39</v>
      </c>
      <c r="E5" s="7" t="s">
        <v>40</v>
      </c>
      <c r="F5" s="7" t="s">
        <v>41</v>
      </c>
      <c r="G5" s="7" t="s">
        <v>43</v>
      </c>
      <c r="H5" s="7" t="s">
        <v>46</v>
      </c>
      <c r="I5" s="7" t="s">
        <v>47</v>
      </c>
      <c r="J5" s="7" t="s">
        <v>48</v>
      </c>
      <c r="K5" s="7" t="s">
        <v>49</v>
      </c>
    </row>
    <row r="6">
      <c r="A6" s="11">
        <v>1.0</v>
      </c>
      <c r="B6" s="14" t="s">
        <v>33</v>
      </c>
      <c r="C6" s="22" t="str">
        <f t="array" ref="C6">IF(B6="","",IFERROR(INDEX('Nhân viên'!$C$6:$C$45,MATCH(B6,'Nhân viên'!$B$6:$B$45,0)),"⚠ Mã NV không tồn tại"))</f>
        <v>Nguyễn Minh Tuấn</v>
      </c>
      <c r="D6" s="23">
        <v>22.0</v>
      </c>
      <c r="E6" s="23">
        <v>0.0</v>
      </c>
      <c r="F6" s="12">
        <v>5.6E8</v>
      </c>
      <c r="G6" s="20">
        <v>6.0</v>
      </c>
      <c r="H6" s="12">
        <v>0.0</v>
      </c>
      <c r="I6" s="12">
        <v>0.0</v>
      </c>
      <c r="J6" s="12">
        <v>0.0</v>
      </c>
      <c r="K6" s="15"/>
    </row>
    <row r="7">
      <c r="A7" s="11">
        <v>2.0</v>
      </c>
      <c r="B7" s="14" t="s">
        <v>54</v>
      </c>
      <c r="C7" s="22" t="str">
        <f t="array" ref="C7">IF(B7="","",IFERROR(INDEX('Nhân viên'!$C$6:$C$45,MATCH(B7,'Nhân viên'!$B$6:$B$45,0)),"⚠ Mã NV không tồn tại"))</f>
        <v>Trần Thị Hồng Nhung</v>
      </c>
      <c r="D7" s="23">
        <v>22.0</v>
      </c>
      <c r="E7" s="23">
        <v>0.0</v>
      </c>
      <c r="F7" s="12">
        <v>3.45E8</v>
      </c>
      <c r="G7" s="20">
        <v>5.0</v>
      </c>
      <c r="H7" s="12">
        <v>500000.0</v>
      </c>
      <c r="I7" s="12">
        <v>0.0</v>
      </c>
      <c r="J7" s="12">
        <v>0.0</v>
      </c>
      <c r="K7" s="15" t="s">
        <v>109</v>
      </c>
    </row>
    <row r="8">
      <c r="A8" s="11">
        <v>3.0</v>
      </c>
      <c r="B8" s="14" t="s">
        <v>61</v>
      </c>
      <c r="C8" s="22" t="str">
        <f t="array" ref="C8">IF(B8="","",IFERROR(INDEX('Nhân viên'!$C$6:$C$45,MATCH(B8,'Nhân viên'!$B$6:$B$45,0)),"⚠ Mã NV không tồn tại"))</f>
        <v>Lê Quốc Bảo</v>
      </c>
      <c r="D8" s="23">
        <v>21.0</v>
      </c>
      <c r="E8" s="23">
        <v>1.0</v>
      </c>
      <c r="F8" s="12">
        <v>2.14E8</v>
      </c>
      <c r="G8" s="20">
        <v>4.0</v>
      </c>
      <c r="H8" s="12">
        <v>0.0</v>
      </c>
      <c r="I8" s="12">
        <v>2000000.0</v>
      </c>
      <c r="J8" s="12">
        <v>0.0</v>
      </c>
      <c r="K8" s="15"/>
    </row>
    <row r="9">
      <c r="A9" s="11">
        <v>4.0</v>
      </c>
      <c r="B9" s="14" t="s">
        <v>69</v>
      </c>
      <c r="C9" s="22" t="str">
        <f t="array" ref="C9">IF(B9="","",IFERROR(INDEX('Nhân viên'!$C$6:$C$45,MATCH(B9,'Nhân viên'!$B$6:$B$45,0)),"⚠ Mã NV không tồn tại"))</f>
        <v>Phạm Thu Hà</v>
      </c>
      <c r="D9" s="23">
        <v>22.0</v>
      </c>
      <c r="E9" s="23">
        <v>0.0</v>
      </c>
      <c r="F9" s="12">
        <v>1.68E8</v>
      </c>
      <c r="G9" s="20">
        <v>2.0</v>
      </c>
      <c r="H9" s="12">
        <v>0.0</v>
      </c>
      <c r="I9" s="12">
        <v>0.0</v>
      </c>
      <c r="J9" s="12">
        <v>0.0</v>
      </c>
      <c r="K9" s="15"/>
    </row>
    <row r="10">
      <c r="A10" s="11">
        <v>5.0</v>
      </c>
      <c r="B10" s="14" t="s">
        <v>76</v>
      </c>
      <c r="C10" s="22" t="str">
        <f t="array" ref="C10">IF(B10="","",IFERROR(INDEX('Nhân viên'!$C$6:$C$45,MATCH(B10,'Nhân viên'!$B$6:$B$45,0)),"⚠ Mã NV không tồn tại"))</f>
        <v>Hoàng Đức Anh</v>
      </c>
      <c r="D10" s="23">
        <v>20.0</v>
      </c>
      <c r="E10" s="23">
        <v>2.0</v>
      </c>
      <c r="F10" s="12">
        <v>2.92E8</v>
      </c>
      <c r="G10" s="20">
        <v>3.0</v>
      </c>
      <c r="H10" s="12">
        <v>0.0</v>
      </c>
      <c r="I10" s="12">
        <v>0.0</v>
      </c>
      <c r="J10" s="12">
        <v>0.0</v>
      </c>
      <c r="K10" s="15"/>
    </row>
    <row r="11">
      <c r="A11" s="11">
        <v>6.0</v>
      </c>
      <c r="B11" s="14" t="s">
        <v>81</v>
      </c>
      <c r="C11" s="22" t="str">
        <f t="array" ref="C11">IF(B11="","",IFERROR(INDEX('Nhân viên'!$C$6:$C$45,MATCH(B11,'Nhân viên'!$B$6:$B$45,0)),"⚠ Mã NV không tồn tại"))</f>
        <v>Võ Thị Mai Anh</v>
      </c>
      <c r="D11" s="23">
        <v>22.0</v>
      </c>
      <c r="E11" s="23">
        <v>0.0</v>
      </c>
      <c r="F11" s="12">
        <v>1.1E8</v>
      </c>
      <c r="G11" s="20">
        <v>1.0</v>
      </c>
      <c r="H11" s="12">
        <v>0.0</v>
      </c>
      <c r="I11" s="12">
        <v>0.0</v>
      </c>
      <c r="J11" s="12">
        <v>200000.0</v>
      </c>
      <c r="K11" s="15" t="s">
        <v>140</v>
      </c>
    </row>
    <row r="12">
      <c r="A12" s="11">
        <v>7.0</v>
      </c>
      <c r="B12" s="14" t="s">
        <v>90</v>
      </c>
      <c r="C12" s="22" t="str">
        <f t="array" ref="C12">IF(B12="","",IFERROR(INDEX('Nhân viên'!$C$6:$C$45,MATCH(B12,'Nhân viên'!$B$6:$B$45,0)),"⚠ Mã NV không tồn tại"))</f>
        <v>Đặng Văn Khoa</v>
      </c>
      <c r="D12" s="23">
        <v>19.0</v>
      </c>
      <c r="E12" s="23">
        <v>0.0</v>
      </c>
      <c r="F12" s="12">
        <v>2.05E8</v>
      </c>
      <c r="G12" s="20">
        <v>4.0</v>
      </c>
      <c r="H12" s="12">
        <v>0.0</v>
      </c>
      <c r="I12" s="12">
        <v>1000000.0</v>
      </c>
      <c r="J12" s="12">
        <v>0.0</v>
      </c>
      <c r="K12" s="15" t="s">
        <v>152</v>
      </c>
    </row>
    <row r="13">
      <c r="A13" s="11">
        <v>8.0</v>
      </c>
      <c r="B13" s="14" t="s">
        <v>95</v>
      </c>
      <c r="C13" s="22" t="str">
        <f t="array" ref="C13">IF(B13="","",IFERROR(INDEX('Nhân viên'!$C$6:$C$45,MATCH(B13,'Nhân viên'!$B$6:$B$45,0)),"⚠ Mã NV không tồn tại"))</f>
        <v>Bùi Thanh Hằng</v>
      </c>
      <c r="D13" s="23">
        <v>22.0</v>
      </c>
      <c r="E13" s="23">
        <v>0.0</v>
      </c>
      <c r="F13" s="12">
        <v>5.05E8</v>
      </c>
      <c r="G13" s="20">
        <v>8.0</v>
      </c>
      <c r="H13" s="12">
        <v>1000000.0</v>
      </c>
      <c r="I13" s="12">
        <v>0.0</v>
      </c>
      <c r="J13" s="12">
        <v>0.0</v>
      </c>
      <c r="K13" s="15"/>
    </row>
    <row r="14">
      <c r="A14" s="11">
        <v>9.0</v>
      </c>
      <c r="B14" s="14" t="s">
        <v>101</v>
      </c>
      <c r="C14" s="22" t="str">
        <f t="array" ref="C14">IF(B14="","",IFERROR(INDEX('Nhân viên'!$C$6:$C$45,MATCH(B14,'Nhân viên'!$B$6:$B$45,0)),"⚠ Mã NV không tồn tại"))</f>
        <v>Ngô Gia Huy</v>
      </c>
      <c r="D14" s="23">
        <v>22.0</v>
      </c>
      <c r="E14" s="23">
        <v>0.0</v>
      </c>
      <c r="F14" s="12">
        <v>1.88E8</v>
      </c>
      <c r="G14" s="20">
        <v>3.0</v>
      </c>
      <c r="H14" s="12">
        <v>0.0</v>
      </c>
      <c r="I14" s="12">
        <v>0.0</v>
      </c>
      <c r="J14" s="12">
        <v>0.0</v>
      </c>
      <c r="K14" s="15"/>
    </row>
    <row r="15">
      <c r="A15" s="11">
        <v>10.0</v>
      </c>
      <c r="B15" s="14" t="s">
        <v>112</v>
      </c>
      <c r="C15" s="22" t="str">
        <f t="array" ref="C15">IF(B15="","",IFERROR(INDEX('Nhân viên'!$C$6:$C$45,MATCH(B15,'Nhân viên'!$B$6:$B$45,0)),"⚠ Mã NV không tồn tại"))</f>
        <v>Đỗ Khánh Linh</v>
      </c>
      <c r="D15" s="23">
        <v>22.0</v>
      </c>
      <c r="E15" s="23">
        <v>0.0</v>
      </c>
      <c r="F15" s="12">
        <v>1.5E8</v>
      </c>
      <c r="G15" s="20">
        <v>5.0</v>
      </c>
      <c r="H15" s="12">
        <v>0.0</v>
      </c>
      <c r="I15" s="12">
        <v>0.0</v>
      </c>
      <c r="J15" s="12">
        <v>0.0</v>
      </c>
      <c r="K15" s="15" t="s">
        <v>153</v>
      </c>
    </row>
    <row r="16">
      <c r="A16" s="11">
        <v>11.0</v>
      </c>
      <c r="B16" s="14"/>
      <c r="C16" s="22" t="str">
        <f t="array" ref="C16">IF(B16="","",IFERROR(INDEX('Nhân viên'!$C$6:$C$45,MATCH(B16,'Nhân viên'!$B$6:$B$45,0)),"⚠ Mã NV không tồn tại"))</f>
        <v/>
      </c>
      <c r="D16" s="23"/>
      <c r="E16" s="23"/>
      <c r="F16" s="12"/>
      <c r="G16" s="20"/>
      <c r="H16" s="12"/>
      <c r="I16" s="12"/>
      <c r="J16" s="12"/>
      <c r="K16" s="15"/>
    </row>
    <row r="17">
      <c r="A17" s="11">
        <v>12.0</v>
      </c>
      <c r="B17" s="14"/>
      <c r="C17" s="22" t="str">
        <f t="array" ref="C17">IF(B17="","",IFERROR(INDEX('Nhân viên'!$C$6:$C$45,MATCH(B17,'Nhân viên'!$B$6:$B$45,0)),"⚠ Mã NV không tồn tại"))</f>
        <v/>
      </c>
      <c r="D17" s="23"/>
      <c r="E17" s="23"/>
      <c r="F17" s="12"/>
      <c r="G17" s="20"/>
      <c r="H17" s="12"/>
      <c r="I17" s="12"/>
      <c r="J17" s="12"/>
      <c r="K17" s="15"/>
    </row>
    <row r="18">
      <c r="A18" s="11">
        <v>13.0</v>
      </c>
      <c r="B18" s="14"/>
      <c r="C18" s="22" t="str">
        <f t="array" ref="C18">IF(B18="","",IFERROR(INDEX('Nhân viên'!$C$6:$C$45,MATCH(B18,'Nhân viên'!$B$6:$B$45,0)),"⚠ Mã NV không tồn tại"))</f>
        <v/>
      </c>
      <c r="D18" s="23"/>
      <c r="E18" s="23"/>
      <c r="F18" s="12"/>
      <c r="G18" s="20"/>
      <c r="H18" s="12"/>
      <c r="I18" s="12"/>
      <c r="J18" s="12"/>
      <c r="K18" s="15"/>
    </row>
    <row r="19">
      <c r="A19" s="11">
        <v>14.0</v>
      </c>
      <c r="B19" s="14"/>
      <c r="C19" s="22" t="str">
        <f t="array" ref="C19">IF(B19="","",IFERROR(INDEX('Nhân viên'!$C$6:$C$45,MATCH(B19,'Nhân viên'!$B$6:$B$45,0)),"⚠ Mã NV không tồn tại"))</f>
        <v/>
      </c>
      <c r="D19" s="23"/>
      <c r="E19" s="23"/>
      <c r="F19" s="12"/>
      <c r="G19" s="20"/>
      <c r="H19" s="12"/>
      <c r="I19" s="12"/>
      <c r="J19" s="12"/>
      <c r="K19" s="15"/>
    </row>
    <row r="20">
      <c r="A20" s="11">
        <v>15.0</v>
      </c>
      <c r="B20" s="14"/>
      <c r="C20" s="22" t="str">
        <f t="array" ref="C20">IF(B20="","",IFERROR(INDEX('Nhân viên'!$C$6:$C$45,MATCH(B20,'Nhân viên'!$B$6:$B$45,0)),"⚠ Mã NV không tồn tại"))</f>
        <v/>
      </c>
      <c r="D20" s="23"/>
      <c r="E20" s="23"/>
      <c r="F20" s="12"/>
      <c r="G20" s="20"/>
      <c r="H20" s="12"/>
      <c r="I20" s="12"/>
      <c r="J20" s="12"/>
      <c r="K20" s="15"/>
    </row>
    <row r="21" ht="15.75" customHeight="1">
      <c r="A21" s="11">
        <v>16.0</v>
      </c>
      <c r="B21" s="14"/>
      <c r="C21" s="22" t="str">
        <f t="array" ref="C21">IF(B21="","",IFERROR(INDEX('Nhân viên'!$C$6:$C$45,MATCH(B21,'Nhân viên'!$B$6:$B$45,0)),"⚠ Mã NV không tồn tại"))</f>
        <v/>
      </c>
      <c r="D21" s="23"/>
      <c r="E21" s="23"/>
      <c r="F21" s="12"/>
      <c r="G21" s="20"/>
      <c r="H21" s="12"/>
      <c r="I21" s="12"/>
      <c r="J21" s="12"/>
      <c r="K21" s="15"/>
    </row>
    <row r="22" ht="15.75" customHeight="1">
      <c r="A22" s="11">
        <v>17.0</v>
      </c>
      <c r="B22" s="14"/>
      <c r="C22" s="22" t="str">
        <f t="array" ref="C22">IF(B22="","",IFERROR(INDEX('Nhân viên'!$C$6:$C$45,MATCH(B22,'Nhân viên'!$B$6:$B$45,0)),"⚠ Mã NV không tồn tại"))</f>
        <v/>
      </c>
      <c r="D22" s="23"/>
      <c r="E22" s="23"/>
      <c r="F22" s="12"/>
      <c r="G22" s="20"/>
      <c r="H22" s="12"/>
      <c r="I22" s="12"/>
      <c r="J22" s="12"/>
      <c r="K22" s="15"/>
    </row>
    <row r="23" ht="15.75" customHeight="1">
      <c r="A23" s="11">
        <v>18.0</v>
      </c>
      <c r="B23" s="14"/>
      <c r="C23" s="22" t="str">
        <f t="array" ref="C23">IF(B23="","",IFERROR(INDEX('Nhân viên'!$C$6:$C$45,MATCH(B23,'Nhân viên'!$B$6:$B$45,0)),"⚠ Mã NV không tồn tại"))</f>
        <v/>
      </c>
      <c r="D23" s="23"/>
      <c r="E23" s="23"/>
      <c r="F23" s="12"/>
      <c r="G23" s="20"/>
      <c r="H23" s="12"/>
      <c r="I23" s="12"/>
      <c r="J23" s="12"/>
      <c r="K23" s="15"/>
    </row>
    <row r="24" ht="15.75" customHeight="1">
      <c r="A24" s="11">
        <v>19.0</v>
      </c>
      <c r="B24" s="14"/>
      <c r="C24" s="22" t="str">
        <f t="array" ref="C24">IF(B24="","",IFERROR(INDEX('Nhân viên'!$C$6:$C$45,MATCH(B24,'Nhân viên'!$B$6:$B$45,0)),"⚠ Mã NV không tồn tại"))</f>
        <v/>
      </c>
      <c r="D24" s="23"/>
      <c r="E24" s="23"/>
      <c r="F24" s="12"/>
      <c r="G24" s="20"/>
      <c r="H24" s="12"/>
      <c r="I24" s="12"/>
      <c r="J24" s="12"/>
      <c r="K24" s="15"/>
    </row>
    <row r="25" ht="15.75" customHeight="1">
      <c r="A25" s="11">
        <v>20.0</v>
      </c>
      <c r="B25" s="14"/>
      <c r="C25" s="22" t="str">
        <f t="array" ref="C25">IF(B25="","",IFERROR(INDEX('Nhân viên'!$C$6:$C$45,MATCH(B25,'Nhân viên'!$B$6:$B$45,0)),"⚠ Mã NV không tồn tại"))</f>
        <v/>
      </c>
      <c r="D25" s="23"/>
      <c r="E25" s="23"/>
      <c r="F25" s="12"/>
      <c r="G25" s="20"/>
      <c r="H25" s="12"/>
      <c r="I25" s="12"/>
      <c r="J25" s="12"/>
      <c r="K25" s="15"/>
    </row>
    <row r="26" ht="15.75" customHeight="1">
      <c r="A26" s="11">
        <v>21.0</v>
      </c>
      <c r="B26" s="14"/>
      <c r="C26" s="22" t="str">
        <f t="array" ref="C26">IF(B26="","",IFERROR(INDEX('Nhân viên'!$C$6:$C$45,MATCH(B26,'Nhân viên'!$B$6:$B$45,0)),"⚠ Mã NV không tồn tại"))</f>
        <v/>
      </c>
      <c r="D26" s="23"/>
      <c r="E26" s="23"/>
      <c r="F26" s="12"/>
      <c r="G26" s="20"/>
      <c r="H26" s="12"/>
      <c r="I26" s="12"/>
      <c r="J26" s="12"/>
      <c r="K26" s="15"/>
    </row>
    <row r="27" ht="15.75" customHeight="1">
      <c r="A27" s="11">
        <v>22.0</v>
      </c>
      <c r="B27" s="14"/>
      <c r="C27" s="22" t="str">
        <f t="array" ref="C27">IF(B27="","",IFERROR(INDEX('Nhân viên'!$C$6:$C$45,MATCH(B27,'Nhân viên'!$B$6:$B$45,0)),"⚠ Mã NV không tồn tại"))</f>
        <v/>
      </c>
      <c r="D27" s="23"/>
      <c r="E27" s="23"/>
      <c r="F27" s="12"/>
      <c r="G27" s="20"/>
      <c r="H27" s="12"/>
      <c r="I27" s="12"/>
      <c r="J27" s="12"/>
      <c r="K27" s="15"/>
    </row>
    <row r="28" ht="15.75" customHeight="1">
      <c r="A28" s="11">
        <v>23.0</v>
      </c>
      <c r="B28" s="14"/>
      <c r="C28" s="22" t="str">
        <f t="array" ref="C28">IF(B28="","",IFERROR(INDEX('Nhân viên'!$C$6:$C$45,MATCH(B28,'Nhân viên'!$B$6:$B$45,0)),"⚠ Mã NV không tồn tại"))</f>
        <v/>
      </c>
      <c r="D28" s="23"/>
      <c r="E28" s="23"/>
      <c r="F28" s="12"/>
      <c r="G28" s="20"/>
      <c r="H28" s="12"/>
      <c r="I28" s="12"/>
      <c r="J28" s="12"/>
      <c r="K28" s="15"/>
    </row>
    <row r="29" ht="15.75" customHeight="1">
      <c r="A29" s="11">
        <v>24.0</v>
      </c>
      <c r="B29" s="14"/>
      <c r="C29" s="22" t="str">
        <f t="array" ref="C29">IF(B29="","",IFERROR(INDEX('Nhân viên'!$C$6:$C$45,MATCH(B29,'Nhân viên'!$B$6:$B$45,0)),"⚠ Mã NV không tồn tại"))</f>
        <v/>
      </c>
      <c r="D29" s="23"/>
      <c r="E29" s="23"/>
      <c r="F29" s="12"/>
      <c r="G29" s="20"/>
      <c r="H29" s="12"/>
      <c r="I29" s="12"/>
      <c r="J29" s="12"/>
      <c r="K29" s="15"/>
    </row>
    <row r="30" ht="15.75" customHeight="1">
      <c r="A30" s="11">
        <v>25.0</v>
      </c>
      <c r="B30" s="14"/>
      <c r="C30" s="22" t="str">
        <f t="array" ref="C30">IF(B30="","",IFERROR(INDEX('Nhân viên'!$C$6:$C$45,MATCH(B30,'Nhân viên'!$B$6:$B$45,0)),"⚠ Mã NV không tồn tại"))</f>
        <v/>
      </c>
      <c r="D30" s="23"/>
      <c r="E30" s="23"/>
      <c r="F30" s="12"/>
      <c r="G30" s="20"/>
      <c r="H30" s="12"/>
      <c r="I30" s="12"/>
      <c r="J30" s="12"/>
      <c r="K30" s="15"/>
    </row>
    <row r="31" ht="15.75" customHeight="1">
      <c r="A31" s="11">
        <v>26.0</v>
      </c>
      <c r="B31" s="14"/>
      <c r="C31" s="22" t="str">
        <f t="array" ref="C31">IF(B31="","",IFERROR(INDEX('Nhân viên'!$C$6:$C$45,MATCH(B31,'Nhân viên'!$B$6:$B$45,0)),"⚠ Mã NV không tồn tại"))</f>
        <v/>
      </c>
      <c r="D31" s="23"/>
      <c r="E31" s="23"/>
      <c r="F31" s="12"/>
      <c r="G31" s="20"/>
      <c r="H31" s="12"/>
      <c r="I31" s="12"/>
      <c r="J31" s="12"/>
      <c r="K31" s="15"/>
    </row>
    <row r="32" ht="15.75" customHeight="1">
      <c r="A32" s="11">
        <v>27.0</v>
      </c>
      <c r="B32" s="14"/>
      <c r="C32" s="22" t="str">
        <f t="array" ref="C32">IF(B32="","",IFERROR(INDEX('Nhân viên'!$C$6:$C$45,MATCH(B32,'Nhân viên'!$B$6:$B$45,0)),"⚠ Mã NV không tồn tại"))</f>
        <v/>
      </c>
      <c r="D32" s="23"/>
      <c r="E32" s="23"/>
      <c r="F32" s="12"/>
      <c r="G32" s="20"/>
      <c r="H32" s="12"/>
      <c r="I32" s="12"/>
      <c r="J32" s="12"/>
      <c r="K32" s="15"/>
    </row>
    <row r="33" ht="15.75" customHeight="1">
      <c r="A33" s="11">
        <v>28.0</v>
      </c>
      <c r="B33" s="14"/>
      <c r="C33" s="22" t="str">
        <f t="array" ref="C33">IF(B33="","",IFERROR(INDEX('Nhân viên'!$C$6:$C$45,MATCH(B33,'Nhân viên'!$B$6:$B$45,0)),"⚠ Mã NV không tồn tại"))</f>
        <v/>
      </c>
      <c r="D33" s="23"/>
      <c r="E33" s="23"/>
      <c r="F33" s="12"/>
      <c r="G33" s="20"/>
      <c r="H33" s="12"/>
      <c r="I33" s="12"/>
      <c r="J33" s="12"/>
      <c r="K33" s="15"/>
    </row>
    <row r="34" ht="15.75" customHeight="1">
      <c r="A34" s="11">
        <v>29.0</v>
      </c>
      <c r="B34" s="14"/>
      <c r="C34" s="22" t="str">
        <f t="array" ref="C34">IF(B34="","",IFERROR(INDEX('Nhân viên'!$C$6:$C$45,MATCH(B34,'Nhân viên'!$B$6:$B$45,0)),"⚠ Mã NV không tồn tại"))</f>
        <v/>
      </c>
      <c r="D34" s="23"/>
      <c r="E34" s="23"/>
      <c r="F34" s="12"/>
      <c r="G34" s="20"/>
      <c r="H34" s="12"/>
      <c r="I34" s="12"/>
      <c r="J34" s="12"/>
      <c r="K34" s="15"/>
    </row>
    <row r="35" ht="15.75" customHeight="1">
      <c r="A35" s="11">
        <v>30.0</v>
      </c>
      <c r="B35" s="14"/>
      <c r="C35" s="22" t="str">
        <f t="array" ref="C35">IF(B35="","",IFERROR(INDEX('Nhân viên'!$C$6:$C$45,MATCH(B35,'Nhân viên'!$B$6:$B$45,0)),"⚠ Mã NV không tồn tại"))</f>
        <v/>
      </c>
      <c r="D35" s="23"/>
      <c r="E35" s="23"/>
      <c r="F35" s="12"/>
      <c r="G35" s="20"/>
      <c r="H35" s="12"/>
      <c r="I35" s="12"/>
      <c r="J35" s="12"/>
      <c r="K35" s="15"/>
    </row>
    <row r="36" ht="15.75" customHeight="1">
      <c r="A36" s="11">
        <v>31.0</v>
      </c>
      <c r="B36" s="14"/>
      <c r="C36" s="22" t="str">
        <f t="array" ref="C36">IF(B36="","",IFERROR(INDEX('Nhân viên'!$C$6:$C$45,MATCH(B36,'Nhân viên'!$B$6:$B$45,0)),"⚠ Mã NV không tồn tại"))</f>
        <v/>
      </c>
      <c r="D36" s="23"/>
      <c r="E36" s="23"/>
      <c r="F36" s="12"/>
      <c r="G36" s="20"/>
      <c r="H36" s="12"/>
      <c r="I36" s="12"/>
      <c r="J36" s="12"/>
      <c r="K36" s="15"/>
    </row>
    <row r="37" ht="15.75" customHeight="1">
      <c r="A37" s="11">
        <v>32.0</v>
      </c>
      <c r="B37" s="14"/>
      <c r="C37" s="22" t="str">
        <f t="array" ref="C37">IF(B37="","",IFERROR(INDEX('Nhân viên'!$C$6:$C$45,MATCH(B37,'Nhân viên'!$B$6:$B$45,0)),"⚠ Mã NV không tồn tại"))</f>
        <v/>
      </c>
      <c r="D37" s="23"/>
      <c r="E37" s="23"/>
      <c r="F37" s="12"/>
      <c r="G37" s="20"/>
      <c r="H37" s="12"/>
      <c r="I37" s="12"/>
      <c r="J37" s="12"/>
      <c r="K37" s="15"/>
    </row>
    <row r="38" ht="15.75" customHeight="1">
      <c r="A38" s="11">
        <v>33.0</v>
      </c>
      <c r="B38" s="14"/>
      <c r="C38" s="22" t="str">
        <f t="array" ref="C38">IF(B38="","",IFERROR(INDEX('Nhân viên'!$C$6:$C$45,MATCH(B38,'Nhân viên'!$B$6:$B$45,0)),"⚠ Mã NV không tồn tại"))</f>
        <v/>
      </c>
      <c r="D38" s="23"/>
      <c r="E38" s="23"/>
      <c r="F38" s="12"/>
      <c r="G38" s="20"/>
      <c r="H38" s="12"/>
      <c r="I38" s="12"/>
      <c r="J38" s="12"/>
      <c r="K38" s="15"/>
    </row>
    <row r="39" ht="15.75" customHeight="1">
      <c r="A39" s="11">
        <v>34.0</v>
      </c>
      <c r="B39" s="14"/>
      <c r="C39" s="22" t="str">
        <f t="array" ref="C39">IF(B39="","",IFERROR(INDEX('Nhân viên'!$C$6:$C$45,MATCH(B39,'Nhân viên'!$B$6:$B$45,0)),"⚠ Mã NV không tồn tại"))</f>
        <v/>
      </c>
      <c r="D39" s="23"/>
      <c r="E39" s="23"/>
      <c r="F39" s="12"/>
      <c r="G39" s="20"/>
      <c r="H39" s="12"/>
      <c r="I39" s="12"/>
      <c r="J39" s="12"/>
      <c r="K39" s="15"/>
    </row>
    <row r="40" ht="15.75" customHeight="1">
      <c r="A40" s="11">
        <v>35.0</v>
      </c>
      <c r="B40" s="14"/>
      <c r="C40" s="22" t="str">
        <f t="array" ref="C40">IF(B40="","",IFERROR(INDEX('Nhân viên'!$C$6:$C$45,MATCH(B40,'Nhân viên'!$B$6:$B$45,0)),"⚠ Mã NV không tồn tại"))</f>
        <v/>
      </c>
      <c r="D40" s="23"/>
      <c r="E40" s="23"/>
      <c r="F40" s="12"/>
      <c r="G40" s="20"/>
      <c r="H40" s="12"/>
      <c r="I40" s="12"/>
      <c r="J40" s="12"/>
      <c r="K40" s="15"/>
    </row>
    <row r="41" ht="15.75" customHeight="1">
      <c r="A41" s="11">
        <v>36.0</v>
      </c>
      <c r="B41" s="14"/>
      <c r="C41" s="22" t="str">
        <f t="array" ref="C41">IF(B41="","",IFERROR(INDEX('Nhân viên'!$C$6:$C$45,MATCH(B41,'Nhân viên'!$B$6:$B$45,0)),"⚠ Mã NV không tồn tại"))</f>
        <v/>
      </c>
      <c r="D41" s="23"/>
      <c r="E41" s="23"/>
      <c r="F41" s="12"/>
      <c r="G41" s="20"/>
      <c r="H41" s="12"/>
      <c r="I41" s="12"/>
      <c r="J41" s="12"/>
      <c r="K41" s="15"/>
    </row>
    <row r="42" ht="15.75" customHeight="1">
      <c r="A42" s="11">
        <v>37.0</v>
      </c>
      <c r="B42" s="14"/>
      <c r="C42" s="22" t="str">
        <f t="array" ref="C42">IF(B42="","",IFERROR(INDEX('Nhân viên'!$C$6:$C$45,MATCH(B42,'Nhân viên'!$B$6:$B$45,0)),"⚠ Mã NV không tồn tại"))</f>
        <v/>
      </c>
      <c r="D42" s="23"/>
      <c r="E42" s="23"/>
      <c r="F42" s="12"/>
      <c r="G42" s="20"/>
      <c r="H42" s="12"/>
      <c r="I42" s="12"/>
      <c r="J42" s="12"/>
      <c r="K42" s="15"/>
    </row>
    <row r="43" ht="15.75" customHeight="1">
      <c r="A43" s="11">
        <v>38.0</v>
      </c>
      <c r="B43" s="14"/>
      <c r="C43" s="22" t="str">
        <f t="array" ref="C43">IF(B43="","",IFERROR(INDEX('Nhân viên'!$C$6:$C$45,MATCH(B43,'Nhân viên'!$B$6:$B$45,0)),"⚠ Mã NV không tồn tại"))</f>
        <v/>
      </c>
      <c r="D43" s="23"/>
      <c r="E43" s="23"/>
      <c r="F43" s="12"/>
      <c r="G43" s="20"/>
      <c r="H43" s="12"/>
      <c r="I43" s="12"/>
      <c r="J43" s="12"/>
      <c r="K43" s="15"/>
    </row>
    <row r="44" ht="15.75" customHeight="1">
      <c r="A44" s="11">
        <v>39.0</v>
      </c>
      <c r="B44" s="14"/>
      <c r="C44" s="22" t="str">
        <f t="array" ref="C44">IF(B44="","",IFERROR(INDEX('Nhân viên'!$C$6:$C$45,MATCH(B44,'Nhân viên'!$B$6:$B$45,0)),"⚠ Mã NV không tồn tại"))</f>
        <v/>
      </c>
      <c r="D44" s="23"/>
      <c r="E44" s="23"/>
      <c r="F44" s="12"/>
      <c r="G44" s="20"/>
      <c r="H44" s="12"/>
      <c r="I44" s="12"/>
      <c r="J44" s="12"/>
      <c r="K44" s="15"/>
    </row>
    <row r="45" ht="15.75" customHeight="1">
      <c r="A45" s="11">
        <v>40.0</v>
      </c>
      <c r="B45" s="14"/>
      <c r="C45" s="22" t="str">
        <f t="array" ref="C45">IF(B45="","",IFERROR(INDEX('Nhân viên'!$C$6:$C$45,MATCH(B45,'Nhân viên'!$B$6:$B$45,0)),"⚠ Mã NV không tồn tại"))</f>
        <v/>
      </c>
      <c r="D45" s="23"/>
      <c r="E45" s="23"/>
      <c r="F45" s="12"/>
      <c r="G45" s="20"/>
      <c r="H45" s="12"/>
      <c r="I45" s="12"/>
      <c r="J45" s="12"/>
      <c r="K45" s="15"/>
    </row>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
    <mergeCell ref="A1:K1"/>
  </mergeCells>
  <conditionalFormatting sqref="C6:C45">
    <cfRule type="expression" dxfId="0" priority="1">
      <formula>LEFT($C6,1)="⚠"</formula>
    </cfRule>
  </conditionalFormatting>
  <dataValidations>
    <dataValidation type="list" allowBlank="1" showInputMessage="1" showErrorMessage="1" prompt="Sai mã - Chọn mã nhân viên có trong sheet Nhân viên" sqref="B6:B45">
      <formula1>'Nhân viên'!$B$6:$B$45</formula1>
    </dataValidation>
    <dataValidation type="decimal" allowBlank="1" showInputMessage="1" showErrorMessage="1" prompt="Nhập từ 0 đến 31 ngày" sqref="D6:E45">
      <formula1>0.0</formula1>
      <formula2>31.0</formula2>
    </dataValidation>
  </dataValidations>
  <printOptions/>
  <pageMargins bottom="1.0" footer="0.0" header="0.0" left="0.75" right="0.75" top="1.0"/>
  <pageSetup paperSize="9" orientation="portrait"/>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6B1D"/>
    <pageSetUpPr fitToPage="1"/>
  </sheetPr>
  <sheetViews>
    <sheetView showGridLines="0" workbookViewId="0">
      <pane xSplit="3.0" ySplit="6.0" topLeftCell="D7" activePane="bottomRight" state="frozen"/>
      <selection activeCell="D1" sqref="D1" pane="topRight"/>
      <selection activeCell="A7" sqref="A7" pane="bottomLeft"/>
      <selection activeCell="D7" sqref="D7" pane="bottomRight"/>
    </sheetView>
  </sheetViews>
  <sheetFormatPr customHeight="1" defaultColWidth="14.43" defaultRowHeight="15.0"/>
  <cols>
    <col customWidth="1" min="1" max="1" width="5.0"/>
    <col customWidth="1" min="2" max="2" width="8.0"/>
    <col customWidth="1" min="3" max="4" width="22.0"/>
    <col customWidth="1" min="5" max="5" width="17.0"/>
    <col customWidth="1" min="6" max="6" width="14.0"/>
    <col customWidth="1" min="7" max="7" width="9.0"/>
    <col customWidth="1" min="8" max="8" width="10.0"/>
    <col customWidth="1" min="9" max="9" width="14.0"/>
    <col customWidth="1" min="10" max="11" width="16.0"/>
    <col customWidth="1" min="12" max="13" width="9.0"/>
    <col customWidth="1" min="14" max="15" width="14.0"/>
    <col customWidth="1" min="16" max="16" width="7.0"/>
    <col customWidth="1" min="17" max="19" width="13.0"/>
    <col customWidth="1" min="20" max="20" width="12.0"/>
    <col customWidth="1" min="21" max="21" width="16.0"/>
    <col customWidth="1" min="22" max="22" width="14.0"/>
    <col customWidth="1" min="23" max="25" width="13.0"/>
    <col customWidth="1" min="26" max="26" width="14.0"/>
    <col customWidth="1" min="27" max="27" width="13.0"/>
    <col customWidth="1" min="28" max="28" width="14.0"/>
    <col customWidth="1" min="29" max="29" width="15.0"/>
    <col customWidth="1" min="30" max="32" width="13.0"/>
    <col customWidth="1" min="33" max="33" width="16.0"/>
    <col customWidth="1" min="34" max="34" width="14.0"/>
    <col customWidth="1" min="35" max="35" width="16.0"/>
    <col customWidth="1" min="36" max="36" width="24.0"/>
    <col customWidth="1" hidden="1" min="37" max="38" width="3.0"/>
  </cols>
  <sheetData>
    <row r="1" ht="39.75" customHeight="1">
      <c r="A1" s="42" t="s">
        <v>160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3"/>
    </row>
    <row r="2">
      <c r="A2" s="43" t="str">
        <f>"Kỳ lương: Tháng "&amp;'Cài đặt'!C8&amp;"/"&amp;'Cài đặt'!C9&amp;"   |   "&amp;'Cài đặt'!C4</f>
        <v>Kỳ lương: Tháng 10/2026   |   Công ty CP Thương mại ABC</v>
      </c>
    </row>
    <row r="3">
      <c r="A3" s="4" t="str">
        <f>"Ngày công chuẩn: "&amp;Std_Days&amp;"  ·  Đơn vị tiền: VNĐ  ·  Bảng tự động tính từ sheet Nhân viên + Dữ liệu tháng + Cài đặt (không nhập tay vào bảng này)"</f>
        <v>Ngày công chuẩn: 22  ·  Đơn vị tiền: VNĐ  ·  Bảng tự động tính từ sheet Nhân viên + Dữ liệu tháng + Cài đặt (không nhập tay vào bảng này)</v>
      </c>
    </row>
    <row r="4" ht="19.5" customHeight="1">
      <c r="A4" s="44" t="s">
        <v>166</v>
      </c>
      <c r="B4" s="2"/>
      <c r="C4" s="2"/>
      <c r="D4" s="2"/>
      <c r="E4" s="3"/>
      <c r="F4" s="45" t="s">
        <v>167</v>
      </c>
      <c r="G4" s="2"/>
      <c r="H4" s="2"/>
      <c r="I4" s="3"/>
      <c r="J4" s="44" t="s">
        <v>168</v>
      </c>
      <c r="K4" s="2"/>
      <c r="L4" s="2"/>
      <c r="M4" s="2"/>
      <c r="N4" s="2"/>
      <c r="O4" s="2"/>
      <c r="P4" s="2"/>
      <c r="Q4" s="3"/>
      <c r="R4" s="45" t="s">
        <v>170</v>
      </c>
      <c r="S4" s="2"/>
      <c r="T4" s="2"/>
      <c r="U4" s="3"/>
      <c r="V4" s="44" t="s">
        <v>171</v>
      </c>
      <c r="W4" s="2"/>
      <c r="X4" s="2"/>
      <c r="Y4" s="2"/>
      <c r="Z4" s="3"/>
      <c r="AA4" s="45" t="s">
        <v>173</v>
      </c>
      <c r="AB4" s="2"/>
      <c r="AC4" s="2"/>
      <c r="AD4" s="3"/>
      <c r="AE4" s="44" t="s">
        <v>180</v>
      </c>
      <c r="AF4" s="2"/>
      <c r="AG4" s="3"/>
      <c r="AH4" s="45" t="s">
        <v>182</v>
      </c>
      <c r="AI4" s="3"/>
      <c r="AJ4" s="48"/>
    </row>
    <row r="5" ht="49.5" customHeight="1">
      <c r="A5" s="49" t="s">
        <v>9</v>
      </c>
      <c r="B5" s="49" t="s">
        <v>11</v>
      </c>
      <c r="C5" s="49" t="s">
        <v>12</v>
      </c>
      <c r="D5" s="49" t="s">
        <v>13</v>
      </c>
      <c r="E5" s="49" t="s">
        <v>15</v>
      </c>
      <c r="F5" s="49" t="s">
        <v>183</v>
      </c>
      <c r="G5" s="49" t="s">
        <v>184</v>
      </c>
      <c r="H5" s="49" t="s">
        <v>185</v>
      </c>
      <c r="I5" s="49" t="s">
        <v>186</v>
      </c>
      <c r="J5" s="49" t="s">
        <v>187</v>
      </c>
      <c r="K5" s="49" t="s">
        <v>188</v>
      </c>
      <c r="L5" s="49" t="s">
        <v>176</v>
      </c>
      <c r="M5" s="49" t="s">
        <v>189</v>
      </c>
      <c r="N5" s="49" t="s">
        <v>190</v>
      </c>
      <c r="O5" s="49" t="s">
        <v>191</v>
      </c>
      <c r="P5" s="49" t="s">
        <v>192</v>
      </c>
      <c r="Q5" s="49" t="s">
        <v>193</v>
      </c>
      <c r="R5" s="49" t="s">
        <v>194</v>
      </c>
      <c r="S5" s="49" t="s">
        <v>195</v>
      </c>
      <c r="T5" s="49" t="s">
        <v>196</v>
      </c>
      <c r="U5" s="50" t="s">
        <v>197</v>
      </c>
      <c r="V5" s="49" t="s">
        <v>198</v>
      </c>
      <c r="W5" s="49" t="s">
        <v>199</v>
      </c>
      <c r="X5" s="49" t="s">
        <v>200</v>
      </c>
      <c r="Y5" s="49" t="s">
        <v>201</v>
      </c>
      <c r="Z5" s="49" t="s">
        <v>202</v>
      </c>
      <c r="AA5" s="49" t="s">
        <v>203</v>
      </c>
      <c r="AB5" s="49" t="s">
        <v>204</v>
      </c>
      <c r="AC5" s="49" t="s">
        <v>205</v>
      </c>
      <c r="AD5" s="49" t="s">
        <v>179</v>
      </c>
      <c r="AE5" s="49" t="s">
        <v>206</v>
      </c>
      <c r="AF5" s="49" t="s">
        <v>207</v>
      </c>
      <c r="AG5" s="50" t="s">
        <v>208</v>
      </c>
      <c r="AH5" s="49" t="s">
        <v>209</v>
      </c>
      <c r="AI5" s="49" t="s">
        <v>210</v>
      </c>
      <c r="AJ5" s="49" t="s">
        <v>49</v>
      </c>
    </row>
    <row r="6" ht="25.5" customHeight="1">
      <c r="A6" s="53" t="s">
        <v>211</v>
      </c>
      <c r="B6" s="54"/>
      <c r="C6" s="54"/>
      <c r="D6" s="54"/>
      <c r="E6" s="47"/>
      <c r="F6" s="55">
        <f>SUM(F7:F46)</f>
        <v>127000000</v>
      </c>
      <c r="G6" s="56"/>
      <c r="H6" s="56"/>
      <c r="I6" s="55">
        <f t="shared" ref="I6:K6" si="1">SUM(I7:I46)</f>
        <v>125840909</v>
      </c>
      <c r="J6" s="55">
        <f t="shared" si="1"/>
        <v>2520000000</v>
      </c>
      <c r="K6" s="55">
        <f t="shared" si="1"/>
        <v>2737000000</v>
      </c>
      <c r="L6" s="57">
        <f>IF(J6&gt;0,K6/J6,0)</f>
        <v>1.086111111</v>
      </c>
      <c r="M6" s="56"/>
      <c r="N6" s="55">
        <f t="shared" ref="N6:AI6" si="2">SUM(N7:N46)</f>
        <v>54220000</v>
      </c>
      <c r="O6" s="55">
        <f t="shared" si="2"/>
        <v>11000000</v>
      </c>
      <c r="P6" s="59">
        <f t="shared" si="2"/>
        <v>41</v>
      </c>
      <c r="Q6" s="55">
        <f t="shared" si="2"/>
        <v>8200000</v>
      </c>
      <c r="R6" s="55">
        <f t="shared" si="2"/>
        <v>7200455</v>
      </c>
      <c r="S6" s="55">
        <f t="shared" si="2"/>
        <v>12500000</v>
      </c>
      <c r="T6" s="55">
        <f t="shared" si="2"/>
        <v>1500000</v>
      </c>
      <c r="U6" s="60">
        <f t="shared" si="2"/>
        <v>220461364</v>
      </c>
      <c r="V6" s="55">
        <f t="shared" si="2"/>
        <v>114000000</v>
      </c>
      <c r="W6" s="55">
        <f t="shared" si="2"/>
        <v>9120000</v>
      </c>
      <c r="X6" s="55">
        <f t="shared" si="2"/>
        <v>1710000</v>
      </c>
      <c r="Y6" s="55">
        <f t="shared" si="2"/>
        <v>1140000</v>
      </c>
      <c r="Z6" s="55">
        <f t="shared" si="2"/>
        <v>11970000</v>
      </c>
      <c r="AA6" s="55">
        <f t="shared" si="2"/>
        <v>7200455</v>
      </c>
      <c r="AB6" s="55">
        <f t="shared" si="2"/>
        <v>192200000</v>
      </c>
      <c r="AC6" s="55">
        <f t="shared" si="2"/>
        <v>34370000</v>
      </c>
      <c r="AD6" s="55">
        <f t="shared" si="2"/>
        <v>2305750</v>
      </c>
      <c r="AE6" s="55">
        <f t="shared" si="2"/>
        <v>3000000</v>
      </c>
      <c r="AF6" s="55">
        <f t="shared" si="2"/>
        <v>200000</v>
      </c>
      <c r="AG6" s="60">
        <f t="shared" si="2"/>
        <v>202985614</v>
      </c>
      <c r="AH6" s="55">
        <f t="shared" si="2"/>
        <v>24510000</v>
      </c>
      <c r="AI6" s="55">
        <f t="shared" si="2"/>
        <v>244971364</v>
      </c>
      <c r="AJ6" s="56"/>
    </row>
    <row r="7" ht="19.5" customHeight="1">
      <c r="A7" s="52">
        <f t="shared" ref="A7:A46" si="3">IF($B7="","",ROW()-6)</f>
        <v>1</v>
      </c>
      <c r="B7" s="63" t="str">
        <f>IF('Dữ liệu tháng'!B6="","",'Dữ liệu tháng'!B6)</f>
        <v>NV001</v>
      </c>
      <c r="C7" s="22" t="str">
        <f t="array" ref="C7">IF($B7="","",IF($AK7="","⚠ Mã NV không tồn tại",INDEX('Nhân viên'!$C$6:$C$45,$AK7)))</f>
        <v>Nguyễn Minh Tuấn</v>
      </c>
      <c r="D7" s="22" t="str">
        <f t="array" ref="D7">IF($AK7="","",INDEX('Nhân viên'!$D$6:$D$45,$AK7)&amp;"")</f>
        <v>Giám đốc kinh doanh</v>
      </c>
      <c r="E7" s="22" t="str">
        <f t="array" ref="E7">IF($AK7="","",INDEX('Nhân viên'!$E$6:$E$45,$AK7)&amp;"")</f>
        <v>Nhóm Miền Bắc</v>
      </c>
      <c r="F7" s="16">
        <f t="array" ref="F7">IF($AK7="","",N(INDEX('Nhân viên'!$G$6:$G$45,$AK7)))</f>
        <v>30000000</v>
      </c>
      <c r="G7" s="52">
        <f>IF($AK7="","",Std_Days)</f>
        <v>22</v>
      </c>
      <c r="H7" s="67">
        <f>IF($AK7="","",MIN(G7,N('Dữ liệu tháng'!D6)+N('Dữ liệu tháng'!E6)))</f>
        <v>22</v>
      </c>
      <c r="I7" s="16">
        <f t="shared" ref="I7:I46" si="4">IF($AK7="","",ROUND(F7/G7*H7,0))</f>
        <v>30000000</v>
      </c>
      <c r="J7" s="16">
        <f t="array" ref="J7">IF($AK7="","",N(INDEX('Nhân viên'!$M$6:$M$45,$AK7)))</f>
        <v>500000000</v>
      </c>
      <c r="K7" s="16">
        <f>IF($AK7="","",N('Dữ liệu tháng'!F6))</f>
        <v>560000000</v>
      </c>
      <c r="L7" s="71">
        <f t="shared" ref="L7:L46" si="5">IF($AK7="","",IF(J7&gt;0,K7/J7,0))</f>
        <v>1.12</v>
      </c>
      <c r="M7" s="72">
        <f t="array" ref="M7">IF($AK7="","",INDEX(Com_Rate,MATCH(L7,Com_From,1)))</f>
        <v>0.02</v>
      </c>
      <c r="N7" s="16">
        <f t="shared" ref="N7:N46" si="6">IF($AK7="","",ROUND(K7*M7,0))</f>
        <v>11200000</v>
      </c>
      <c r="O7" s="16">
        <f t="array" ref="O7">IF($AK7="","",INDEX(Com_Bonus,MATCH(L7,Com_From,1)))</f>
        <v>1000000</v>
      </c>
      <c r="P7" s="52">
        <f>IF($AK7="","",N('Dữ liệu tháng'!G6))</f>
        <v>6</v>
      </c>
      <c r="Q7" s="16">
        <f>IF($AK7="","",P7*New_Cust_Bonus)</f>
        <v>1200000</v>
      </c>
      <c r="R7" s="16">
        <f t="array" ref="R7">IF($AK7="","",ROUND(N(INDEX('Nhân viên'!$J$6:$J$45,$AK7))/G7*H7,0))</f>
        <v>730000</v>
      </c>
      <c r="S7" s="16">
        <f t="array" ref="S7">IF($AK7="","",N(INDEX('Nhân viên'!$K$6:$K$45,$AK7)))</f>
        <v>2000000</v>
      </c>
      <c r="T7" s="16">
        <f>IF($AK7="","",N('Dữ liệu tháng'!H6))</f>
        <v>0</v>
      </c>
      <c r="U7" s="78">
        <f t="shared" ref="U7:U46" si="7">IF($AK7="","",I7+N7+O7+Q7+R7+S7+T7)</f>
        <v>46130000</v>
      </c>
      <c r="V7" s="16">
        <f t="array" ref="V7">IF($AK7="","",IF(INDEX('Nhân viên'!$H$6:$H$45,$AK7)="Có",IF(N(INDEX('Nhân viên'!$I$6:$I$45,$AK7))&gt;0,INDEX('Nhân viên'!$I$6:$I$45,$AK7),F7),0))</f>
        <v>25000000</v>
      </c>
      <c r="W7" s="16">
        <f>IF($AK7="","",ROUND(MIN(V7,Cap_BHXH)*BHXH_NV,0))</f>
        <v>2000000</v>
      </c>
      <c r="X7" s="16">
        <f>IF($AK7="","",ROUND(MIN(V7,Cap_BHXH)*BHYT_NV,0))</f>
        <v>375000</v>
      </c>
      <c r="Y7" s="16">
        <f>IF($AK7="","",ROUND(MIN(V7,Cap_BHTN)*BHTN_NV,0))</f>
        <v>250000</v>
      </c>
      <c r="Z7" s="16">
        <f t="shared" ref="Z7:Z46" si="8">IF($AK7="","",W7+X7+Y7)</f>
        <v>2625000</v>
      </c>
      <c r="AA7" s="16">
        <f>IF($AK7="","",MIN(R7,Lunch_Cap))</f>
        <v>730000</v>
      </c>
      <c r="AB7" s="16">
        <f t="array" ref="AB7">IF($AK7="","",Self_Ded+N(INDEX('Nhân viên'!$L$6:$L$45,$AK7))*Dep_Ded)</f>
        <v>27900000</v>
      </c>
      <c r="AC7" s="16">
        <f t="shared" ref="AC7:AC46" si="9">IF($AK7="","",MAX(0,U7-AA7-Z7-AB7))</f>
        <v>14875000</v>
      </c>
      <c r="AD7" s="16">
        <f>IF($AK7="","",ROUND(SUMPRODUCT((AC7&gt;Tax_From)*(AC7-Tax_From)*Tax_Delta),0))</f>
        <v>987500</v>
      </c>
      <c r="AE7" s="16">
        <f>IF($AK7="","",N('Dữ liệu tháng'!I6))</f>
        <v>0</v>
      </c>
      <c r="AF7" s="16">
        <f>IF($AK7="","",N('Dữ liệu tháng'!J6))</f>
        <v>0</v>
      </c>
      <c r="AG7" s="78">
        <f t="shared" ref="AG7:AG46" si="10">IF($AK7="","",U7-Z7-AD7-AE7-AF7)</f>
        <v>42517500</v>
      </c>
      <c r="AH7" s="16">
        <f>IF($AK7="","",ROUND(MIN(V7,Cap_BHXH)*(BHXH_DN+BHYT_DN)+MIN(V7,Cap_BHTN)*BHTN_DN,0))</f>
        <v>5375000</v>
      </c>
      <c r="AI7" s="16">
        <f t="shared" ref="AI7:AI46" si="11">IF($AK7="","",U7+AH7)</f>
        <v>51505000</v>
      </c>
      <c r="AJ7" s="22" t="str">
        <f>IF($B7="","",'Dữ liệu tháng'!K6&amp;"")</f>
        <v/>
      </c>
      <c r="AK7" s="91">
        <f>IF($B7="","",IFERROR(MATCH($B7,'Nhân viên'!$B$6:$B$45,0),""))</f>
        <v>1</v>
      </c>
      <c r="AL7" s="93">
        <f t="shared" ref="AL7:AL46" si="12">IF($AK7="","",K7+ROW()/1000000)</f>
        <v>560000000</v>
      </c>
    </row>
    <row r="8" ht="19.5" customHeight="1">
      <c r="A8" s="52">
        <f t="shared" si="3"/>
        <v>2</v>
      </c>
      <c r="B8" s="63" t="str">
        <f>IF('Dữ liệu tháng'!B7="","",'Dữ liệu tháng'!B7)</f>
        <v>NV002</v>
      </c>
      <c r="C8" s="22" t="str">
        <f t="array" ref="C8">IF($B8="","",IF($AK8="","⚠ Mã NV không tồn tại",INDEX('Nhân viên'!$C$6:$C$45,$AK8)))</f>
        <v>Trần Thị Hồng Nhung</v>
      </c>
      <c r="D8" s="22" t="str">
        <f t="array" ref="D8">IF($AK8="","",INDEX('Nhân viên'!$D$6:$D$45,$AK8)&amp;"")</f>
        <v>Trưởng nhóm kinh doanh</v>
      </c>
      <c r="E8" s="22" t="str">
        <f t="array" ref="E8">IF($AK8="","",INDEX('Nhân viên'!$E$6:$E$45,$AK8)&amp;"")</f>
        <v>Nhóm Miền Bắc</v>
      </c>
      <c r="F8" s="16">
        <f t="array" ref="F8">IF($AK8="","",N(INDEX('Nhân viên'!$G$6:$G$45,$AK8)))</f>
        <v>15000000</v>
      </c>
      <c r="G8" s="52">
        <f>IF($AK8="","",Std_Days)</f>
        <v>22</v>
      </c>
      <c r="H8" s="67">
        <f>IF($AK8="","",MIN(G8,N('Dữ liệu tháng'!D7)+N('Dữ liệu tháng'!E7)))</f>
        <v>22</v>
      </c>
      <c r="I8" s="16">
        <f t="shared" si="4"/>
        <v>15000000</v>
      </c>
      <c r="J8" s="16">
        <f t="array" ref="J8">IF($AK8="","",N(INDEX('Nhân viên'!$M$6:$M$45,$AK8)))</f>
        <v>300000000</v>
      </c>
      <c r="K8" s="16">
        <f>IF($AK8="","",N('Dữ liệu tháng'!F7))</f>
        <v>345000000</v>
      </c>
      <c r="L8" s="71">
        <f t="shared" si="5"/>
        <v>1.15</v>
      </c>
      <c r="M8" s="72">
        <f t="array" ref="M8">IF($AK8="","",INDEX(Com_Rate,MATCH(L8,Com_From,1)))</f>
        <v>0.02</v>
      </c>
      <c r="N8" s="16">
        <f t="shared" si="6"/>
        <v>6900000</v>
      </c>
      <c r="O8" s="16">
        <f t="array" ref="O8">IF($AK8="","",INDEX(Com_Bonus,MATCH(L8,Com_From,1)))</f>
        <v>1000000</v>
      </c>
      <c r="P8" s="52">
        <f>IF($AK8="","",N('Dữ liệu tháng'!G7))</f>
        <v>5</v>
      </c>
      <c r="Q8" s="16">
        <f>IF($AK8="","",P8*New_Cust_Bonus)</f>
        <v>1000000</v>
      </c>
      <c r="R8" s="16">
        <f t="array" ref="R8">IF($AK8="","",ROUND(N(INDEX('Nhân viên'!$J$6:$J$45,$AK8))/G8*H8,0))</f>
        <v>730000</v>
      </c>
      <c r="S8" s="16">
        <f t="array" ref="S8">IF($AK8="","",N(INDEX('Nhân viên'!$K$6:$K$45,$AK8)))</f>
        <v>1500000</v>
      </c>
      <c r="T8" s="16">
        <f>IF($AK8="","",N('Dữ liệu tháng'!H7))</f>
        <v>500000</v>
      </c>
      <c r="U8" s="78">
        <f t="shared" si="7"/>
        <v>26630000</v>
      </c>
      <c r="V8" s="16">
        <f t="array" ref="V8">IF($AK8="","",IF(INDEX('Nhân viên'!$H$6:$H$45,$AK8)="Có",IF(N(INDEX('Nhân viên'!$I$6:$I$45,$AK8))&gt;0,INDEX('Nhân viên'!$I$6:$I$45,$AK8),F8),0))</f>
        <v>15000000</v>
      </c>
      <c r="W8" s="16">
        <f>IF($AK8="","",ROUND(MIN(V8,Cap_BHXH)*BHXH_NV,0))</f>
        <v>1200000</v>
      </c>
      <c r="X8" s="16">
        <f>IF($AK8="","",ROUND(MIN(V8,Cap_BHXH)*BHYT_NV,0))</f>
        <v>225000</v>
      </c>
      <c r="Y8" s="16">
        <f>IF($AK8="","",ROUND(MIN(V8,Cap_BHTN)*BHTN_NV,0))</f>
        <v>150000</v>
      </c>
      <c r="Z8" s="16">
        <f t="shared" si="8"/>
        <v>1575000</v>
      </c>
      <c r="AA8" s="16">
        <f>IF($AK8="","",MIN(R8,Lunch_Cap))</f>
        <v>730000</v>
      </c>
      <c r="AB8" s="16">
        <f t="array" ref="AB8">IF($AK8="","",Self_Ded+N(INDEX('Nhân viên'!$L$6:$L$45,$AK8))*Dep_Ded)</f>
        <v>21700000</v>
      </c>
      <c r="AC8" s="16">
        <f t="shared" si="9"/>
        <v>2625000</v>
      </c>
      <c r="AD8" s="16">
        <f>IF($AK8="","",ROUND(SUMPRODUCT((AC8&gt;Tax_From)*(AC8-Tax_From)*Tax_Delta),0))</f>
        <v>131250</v>
      </c>
      <c r="AE8" s="16">
        <f>IF($AK8="","",N('Dữ liệu tháng'!I7))</f>
        <v>0</v>
      </c>
      <c r="AF8" s="16">
        <f>IF($AK8="","",N('Dữ liệu tháng'!J7))</f>
        <v>0</v>
      </c>
      <c r="AG8" s="78">
        <f t="shared" si="10"/>
        <v>24923750</v>
      </c>
      <c r="AH8" s="16">
        <f>IF($AK8="","",ROUND(MIN(V8,Cap_BHXH)*(BHXH_DN+BHYT_DN)+MIN(V8,Cap_BHTN)*BHTN_DN,0))</f>
        <v>3225000</v>
      </c>
      <c r="AI8" s="16">
        <f t="shared" si="11"/>
        <v>29855000</v>
      </c>
      <c r="AJ8" s="22" t="str">
        <f>IF($B8="","",'Dữ liệu tháng'!K7&amp;"")</f>
        <v>Thưởng nóng hợp đồng lớn</v>
      </c>
      <c r="AK8" s="91">
        <f>IF($B8="","",IFERROR(MATCH($B8,'Nhân viên'!$B$6:$B$45,0),""))</f>
        <v>2</v>
      </c>
      <c r="AL8" s="93">
        <f t="shared" si="12"/>
        <v>345000000</v>
      </c>
    </row>
    <row r="9" ht="19.5" customHeight="1">
      <c r="A9" s="52">
        <f t="shared" si="3"/>
        <v>3</v>
      </c>
      <c r="B9" s="63" t="str">
        <f>IF('Dữ liệu tháng'!B8="","",'Dữ liệu tháng'!B8)</f>
        <v>NV003</v>
      </c>
      <c r="C9" s="22" t="str">
        <f t="array" ref="C9">IF($B9="","",IF($AK9="","⚠ Mã NV không tồn tại",INDEX('Nhân viên'!$C$6:$C$45,$AK9)))</f>
        <v>Lê Quốc Bảo</v>
      </c>
      <c r="D9" s="22" t="str">
        <f t="array" ref="D9">IF($AK9="","",INDEX('Nhân viên'!$D$6:$D$45,$AK9)&amp;"")</f>
        <v>Nhân viên kinh doanh</v>
      </c>
      <c r="E9" s="22" t="str">
        <f t="array" ref="E9">IF($AK9="","",INDEX('Nhân viên'!$E$6:$E$45,$AK9)&amp;"")</f>
        <v>Nhóm Miền Bắc</v>
      </c>
      <c r="F9" s="16">
        <f t="array" ref="F9">IF($AK9="","",N(INDEX('Nhân viên'!$G$6:$G$45,$AK9)))</f>
        <v>9000000</v>
      </c>
      <c r="G9" s="52">
        <f>IF($AK9="","",Std_Days)</f>
        <v>22</v>
      </c>
      <c r="H9" s="67">
        <f>IF($AK9="","",MIN(G9,N('Dữ liệu tháng'!D8)+N('Dữ liệu tháng'!E8)))</f>
        <v>22</v>
      </c>
      <c r="I9" s="16">
        <f t="shared" si="4"/>
        <v>9000000</v>
      </c>
      <c r="J9" s="16">
        <f t="array" ref="J9">IF($AK9="","",N(INDEX('Nhân viên'!$M$6:$M$45,$AK9)))</f>
        <v>200000000</v>
      </c>
      <c r="K9" s="16">
        <f>IF($AK9="","",N('Dữ liệu tháng'!F8))</f>
        <v>214000000</v>
      </c>
      <c r="L9" s="71">
        <f t="shared" si="5"/>
        <v>1.07</v>
      </c>
      <c r="M9" s="72">
        <f t="array" ref="M9">IF($AK9="","",INDEX(Com_Rate,MATCH(L9,Com_From,1)))</f>
        <v>0.02</v>
      </c>
      <c r="N9" s="16">
        <f t="shared" si="6"/>
        <v>4280000</v>
      </c>
      <c r="O9" s="16">
        <f t="array" ref="O9">IF($AK9="","",INDEX(Com_Bonus,MATCH(L9,Com_From,1)))</f>
        <v>1000000</v>
      </c>
      <c r="P9" s="52">
        <f>IF($AK9="","",N('Dữ liệu tháng'!G8))</f>
        <v>4</v>
      </c>
      <c r="Q9" s="16">
        <f>IF($AK9="","",P9*New_Cust_Bonus)</f>
        <v>800000</v>
      </c>
      <c r="R9" s="16">
        <f t="array" ref="R9">IF($AK9="","",ROUND(N(INDEX('Nhân viên'!$J$6:$J$45,$AK9))/G9*H9,0))</f>
        <v>730000</v>
      </c>
      <c r="S9" s="16">
        <f t="array" ref="S9">IF($AK9="","",N(INDEX('Nhân viên'!$K$6:$K$45,$AK9)))</f>
        <v>1000000</v>
      </c>
      <c r="T9" s="16">
        <f>IF($AK9="","",N('Dữ liệu tháng'!H8))</f>
        <v>0</v>
      </c>
      <c r="U9" s="78">
        <f t="shared" si="7"/>
        <v>16810000</v>
      </c>
      <c r="V9" s="16">
        <f t="array" ref="V9">IF($AK9="","",IF(INDEX('Nhân viên'!$H$6:$H$45,$AK9)="Có",IF(N(INDEX('Nhân viên'!$I$6:$I$45,$AK9))&gt;0,INDEX('Nhân viên'!$I$6:$I$45,$AK9),F9),0))</f>
        <v>9000000</v>
      </c>
      <c r="W9" s="16">
        <f>IF($AK9="","",ROUND(MIN(V9,Cap_BHXH)*BHXH_NV,0))</f>
        <v>720000</v>
      </c>
      <c r="X9" s="16">
        <f>IF($AK9="","",ROUND(MIN(V9,Cap_BHXH)*BHYT_NV,0))</f>
        <v>135000</v>
      </c>
      <c r="Y9" s="16">
        <f>IF($AK9="","",ROUND(MIN(V9,Cap_BHTN)*BHTN_NV,0))</f>
        <v>90000</v>
      </c>
      <c r="Z9" s="16">
        <f t="shared" si="8"/>
        <v>945000</v>
      </c>
      <c r="AA9" s="16">
        <f>IF($AK9="","",MIN(R9,Lunch_Cap))</f>
        <v>730000</v>
      </c>
      <c r="AB9" s="16">
        <f t="array" ref="AB9">IF($AK9="","",Self_Ded+N(INDEX('Nhân viên'!$L$6:$L$45,$AK9))*Dep_Ded)</f>
        <v>15500000</v>
      </c>
      <c r="AC9" s="16">
        <f t="shared" si="9"/>
        <v>0</v>
      </c>
      <c r="AD9" s="16">
        <f>IF($AK9="","",ROUND(SUMPRODUCT((AC9&gt;Tax_From)*(AC9-Tax_From)*Tax_Delta),0))</f>
        <v>0</v>
      </c>
      <c r="AE9" s="16">
        <f>IF($AK9="","",N('Dữ liệu tháng'!I8))</f>
        <v>2000000</v>
      </c>
      <c r="AF9" s="16">
        <f>IF($AK9="","",N('Dữ liệu tháng'!J8))</f>
        <v>0</v>
      </c>
      <c r="AG9" s="78">
        <f t="shared" si="10"/>
        <v>13865000</v>
      </c>
      <c r="AH9" s="16">
        <f>IF($AK9="","",ROUND(MIN(V9,Cap_BHXH)*(BHXH_DN+BHYT_DN)+MIN(V9,Cap_BHTN)*BHTN_DN,0))</f>
        <v>1935000</v>
      </c>
      <c r="AI9" s="16">
        <f t="shared" si="11"/>
        <v>18745000</v>
      </c>
      <c r="AJ9" s="22" t="str">
        <f>IF($B9="","",'Dữ liệu tháng'!K8&amp;"")</f>
        <v/>
      </c>
      <c r="AK9" s="91">
        <f>IF($B9="","",IFERROR(MATCH($B9,'Nhân viên'!$B$6:$B$45,0),""))</f>
        <v>3</v>
      </c>
      <c r="AL9" s="93">
        <f t="shared" si="12"/>
        <v>214000000</v>
      </c>
    </row>
    <row r="10" ht="19.5" customHeight="1">
      <c r="A10" s="52">
        <f t="shared" si="3"/>
        <v>4</v>
      </c>
      <c r="B10" s="63" t="str">
        <f>IF('Dữ liệu tháng'!B9="","",'Dữ liệu tháng'!B9)</f>
        <v>NV004</v>
      </c>
      <c r="C10" s="22" t="str">
        <f t="array" ref="C10">IF($B10="","",IF($AK10="","⚠ Mã NV không tồn tại",INDEX('Nhân viên'!$C$6:$C$45,$AK10)))</f>
        <v>Phạm Thu Hà</v>
      </c>
      <c r="D10" s="22" t="str">
        <f t="array" ref="D10">IF($AK10="","",INDEX('Nhân viên'!$D$6:$D$45,$AK10)&amp;"")</f>
        <v>Nhân viên kinh doanh</v>
      </c>
      <c r="E10" s="22" t="str">
        <f t="array" ref="E10">IF($AK10="","",INDEX('Nhân viên'!$E$6:$E$45,$AK10)&amp;"")</f>
        <v>Nhóm Miền Bắc</v>
      </c>
      <c r="F10" s="16">
        <f t="array" ref="F10">IF($AK10="","",N(INDEX('Nhân viên'!$G$6:$G$45,$AK10)))</f>
        <v>9000000</v>
      </c>
      <c r="G10" s="52">
        <f>IF($AK10="","",Std_Days)</f>
        <v>22</v>
      </c>
      <c r="H10" s="67">
        <f>IF($AK10="","",MIN(G10,N('Dữ liệu tháng'!D9)+N('Dữ liệu tháng'!E9)))</f>
        <v>22</v>
      </c>
      <c r="I10" s="16">
        <f t="shared" si="4"/>
        <v>9000000</v>
      </c>
      <c r="J10" s="16">
        <f t="array" ref="J10">IF($AK10="","",N(INDEX('Nhân viên'!$M$6:$M$45,$AK10)))</f>
        <v>200000000</v>
      </c>
      <c r="K10" s="16">
        <f>IF($AK10="","",N('Dữ liệu tháng'!F9))</f>
        <v>168000000</v>
      </c>
      <c r="L10" s="71">
        <f t="shared" si="5"/>
        <v>0.84</v>
      </c>
      <c r="M10" s="72">
        <f t="array" ref="M10">IF($AK10="","",INDEX(Com_Rate,MATCH(L10,Com_From,1)))</f>
        <v>0.01</v>
      </c>
      <c r="N10" s="16">
        <f t="shared" si="6"/>
        <v>1680000</v>
      </c>
      <c r="O10" s="16">
        <f t="array" ref="O10">IF($AK10="","",INDEX(Com_Bonus,MATCH(L10,Com_From,1)))</f>
        <v>0</v>
      </c>
      <c r="P10" s="52">
        <f>IF($AK10="","",N('Dữ liệu tháng'!G9))</f>
        <v>2</v>
      </c>
      <c r="Q10" s="16">
        <f>IF($AK10="","",P10*New_Cust_Bonus)</f>
        <v>400000</v>
      </c>
      <c r="R10" s="16">
        <f t="array" ref="R10">IF($AK10="","",ROUND(N(INDEX('Nhân viên'!$J$6:$J$45,$AK10))/G10*H10,0))</f>
        <v>730000</v>
      </c>
      <c r="S10" s="16">
        <f t="array" ref="S10">IF($AK10="","",N(INDEX('Nhân viên'!$K$6:$K$45,$AK10)))</f>
        <v>1000000</v>
      </c>
      <c r="T10" s="16">
        <f>IF($AK10="","",N('Dữ liệu tháng'!H9))</f>
        <v>0</v>
      </c>
      <c r="U10" s="78">
        <f t="shared" si="7"/>
        <v>12810000</v>
      </c>
      <c r="V10" s="16">
        <f t="array" ref="V10">IF($AK10="","",IF(INDEX('Nhân viên'!$H$6:$H$45,$AK10)="Có",IF(N(INDEX('Nhân viên'!$I$6:$I$45,$AK10))&gt;0,INDEX('Nhân viên'!$I$6:$I$45,$AK10),F10),0))</f>
        <v>9000000</v>
      </c>
      <c r="W10" s="16">
        <f>IF($AK10="","",ROUND(MIN(V10,Cap_BHXH)*BHXH_NV,0))</f>
        <v>720000</v>
      </c>
      <c r="X10" s="16">
        <f>IF($AK10="","",ROUND(MIN(V10,Cap_BHXH)*BHYT_NV,0))</f>
        <v>135000</v>
      </c>
      <c r="Y10" s="16">
        <f>IF($AK10="","",ROUND(MIN(V10,Cap_BHTN)*BHTN_NV,0))</f>
        <v>90000</v>
      </c>
      <c r="Z10" s="16">
        <f t="shared" si="8"/>
        <v>945000</v>
      </c>
      <c r="AA10" s="16">
        <f>IF($AK10="","",MIN(R10,Lunch_Cap))</f>
        <v>730000</v>
      </c>
      <c r="AB10" s="16">
        <f t="array" ref="AB10">IF($AK10="","",Self_Ded+N(INDEX('Nhân viên'!$L$6:$L$45,$AK10))*Dep_Ded)</f>
        <v>15500000</v>
      </c>
      <c r="AC10" s="16">
        <f t="shared" si="9"/>
        <v>0</v>
      </c>
      <c r="AD10" s="16">
        <f>IF($AK10="","",ROUND(SUMPRODUCT((AC10&gt;Tax_From)*(AC10-Tax_From)*Tax_Delta),0))</f>
        <v>0</v>
      </c>
      <c r="AE10" s="16">
        <f>IF($AK10="","",N('Dữ liệu tháng'!I9))</f>
        <v>0</v>
      </c>
      <c r="AF10" s="16">
        <f>IF($AK10="","",N('Dữ liệu tháng'!J9))</f>
        <v>0</v>
      </c>
      <c r="AG10" s="78">
        <f t="shared" si="10"/>
        <v>11865000</v>
      </c>
      <c r="AH10" s="16">
        <f>IF($AK10="","",ROUND(MIN(V10,Cap_BHXH)*(BHXH_DN+BHYT_DN)+MIN(V10,Cap_BHTN)*BHTN_DN,0))</f>
        <v>1935000</v>
      </c>
      <c r="AI10" s="16">
        <f t="shared" si="11"/>
        <v>14745000</v>
      </c>
      <c r="AJ10" s="22" t="str">
        <f>IF($B10="","",'Dữ liệu tháng'!K9&amp;"")</f>
        <v/>
      </c>
      <c r="AK10" s="91">
        <f>IF($B10="","",IFERROR(MATCH($B10,'Nhân viên'!$B$6:$B$45,0),""))</f>
        <v>4</v>
      </c>
      <c r="AL10" s="93">
        <f t="shared" si="12"/>
        <v>168000000</v>
      </c>
    </row>
    <row r="11" ht="19.5" customHeight="1">
      <c r="A11" s="52">
        <f t="shared" si="3"/>
        <v>5</v>
      </c>
      <c r="B11" s="63" t="str">
        <f>IF('Dữ liệu tháng'!B10="","",'Dữ liệu tháng'!B10)</f>
        <v>NV005</v>
      </c>
      <c r="C11" s="22" t="str">
        <f t="array" ref="C11">IF($B11="","",IF($AK11="","⚠ Mã NV không tồn tại",INDEX('Nhân viên'!$C$6:$C$45,$AK11)))</f>
        <v>Hoàng Đức Anh</v>
      </c>
      <c r="D11" s="22" t="str">
        <f t="array" ref="D11">IF($AK11="","",INDEX('Nhân viên'!$D$6:$D$45,$AK11)&amp;"")</f>
        <v>Trưởng nhóm kinh doanh</v>
      </c>
      <c r="E11" s="22" t="str">
        <f t="array" ref="E11">IF($AK11="","",INDEX('Nhân viên'!$E$6:$E$45,$AK11)&amp;"")</f>
        <v>Nhóm Miền Trung</v>
      </c>
      <c r="F11" s="16">
        <f t="array" ref="F11">IF($AK11="","",N(INDEX('Nhân viên'!$G$6:$G$45,$AK11)))</f>
        <v>14000000</v>
      </c>
      <c r="G11" s="52">
        <f>IF($AK11="","",Std_Days)</f>
        <v>22</v>
      </c>
      <c r="H11" s="67">
        <f>IF($AK11="","",MIN(G11,N('Dữ liệu tháng'!D10)+N('Dữ liệu tháng'!E10)))</f>
        <v>22</v>
      </c>
      <c r="I11" s="16">
        <f t="shared" si="4"/>
        <v>14000000</v>
      </c>
      <c r="J11" s="16">
        <f t="array" ref="J11">IF($AK11="","",N(INDEX('Nhân viên'!$M$6:$M$45,$AK11)))</f>
        <v>280000000</v>
      </c>
      <c r="K11" s="16">
        <f>IF($AK11="","",N('Dữ liệu tháng'!F10))</f>
        <v>292000000</v>
      </c>
      <c r="L11" s="71">
        <f t="shared" si="5"/>
        <v>1.042857143</v>
      </c>
      <c r="M11" s="72">
        <f t="array" ref="M11">IF($AK11="","",INDEX(Com_Rate,MATCH(L11,Com_From,1)))</f>
        <v>0.02</v>
      </c>
      <c r="N11" s="16">
        <f t="shared" si="6"/>
        <v>5840000</v>
      </c>
      <c r="O11" s="16">
        <f t="array" ref="O11">IF($AK11="","",INDEX(Com_Bonus,MATCH(L11,Com_From,1)))</f>
        <v>1000000</v>
      </c>
      <c r="P11" s="52">
        <f>IF($AK11="","",N('Dữ liệu tháng'!G10))</f>
        <v>3</v>
      </c>
      <c r="Q11" s="16">
        <f>IF($AK11="","",P11*New_Cust_Bonus)</f>
        <v>600000</v>
      </c>
      <c r="R11" s="16">
        <f t="array" ref="R11">IF($AK11="","",ROUND(N(INDEX('Nhân viên'!$J$6:$J$45,$AK11))/G11*H11,0))</f>
        <v>730000</v>
      </c>
      <c r="S11" s="16">
        <f t="array" ref="S11">IF($AK11="","",N(INDEX('Nhân viên'!$K$6:$K$45,$AK11)))</f>
        <v>1500000</v>
      </c>
      <c r="T11" s="16">
        <f>IF($AK11="","",N('Dữ liệu tháng'!H10))</f>
        <v>0</v>
      </c>
      <c r="U11" s="78">
        <f t="shared" si="7"/>
        <v>23670000</v>
      </c>
      <c r="V11" s="16">
        <f t="array" ref="V11">IF($AK11="","",IF(INDEX('Nhân viên'!$H$6:$H$45,$AK11)="Có",IF(N(INDEX('Nhân viên'!$I$6:$I$45,$AK11))&gt;0,INDEX('Nhân viên'!$I$6:$I$45,$AK11),F11),0))</f>
        <v>14000000</v>
      </c>
      <c r="W11" s="16">
        <f>IF($AK11="","",ROUND(MIN(V11,Cap_BHXH)*BHXH_NV,0))</f>
        <v>1120000</v>
      </c>
      <c r="X11" s="16">
        <f>IF($AK11="","",ROUND(MIN(V11,Cap_BHXH)*BHYT_NV,0))</f>
        <v>210000</v>
      </c>
      <c r="Y11" s="16">
        <f>IF($AK11="","",ROUND(MIN(V11,Cap_BHTN)*BHTN_NV,0))</f>
        <v>140000</v>
      </c>
      <c r="Z11" s="16">
        <f t="shared" si="8"/>
        <v>1470000</v>
      </c>
      <c r="AA11" s="16">
        <f>IF($AK11="","",MIN(R11,Lunch_Cap))</f>
        <v>730000</v>
      </c>
      <c r="AB11" s="16">
        <f t="array" ref="AB11">IF($AK11="","",Self_Ded+N(INDEX('Nhân viên'!$L$6:$L$45,$AK11))*Dep_Ded)</f>
        <v>27900000</v>
      </c>
      <c r="AC11" s="16">
        <f t="shared" si="9"/>
        <v>0</v>
      </c>
      <c r="AD11" s="16">
        <f>IF($AK11="","",ROUND(SUMPRODUCT((AC11&gt;Tax_From)*(AC11-Tax_From)*Tax_Delta),0))</f>
        <v>0</v>
      </c>
      <c r="AE11" s="16">
        <f>IF($AK11="","",N('Dữ liệu tháng'!I10))</f>
        <v>0</v>
      </c>
      <c r="AF11" s="16">
        <f>IF($AK11="","",N('Dữ liệu tháng'!J10))</f>
        <v>0</v>
      </c>
      <c r="AG11" s="78">
        <f t="shared" si="10"/>
        <v>22200000</v>
      </c>
      <c r="AH11" s="16">
        <f>IF($AK11="","",ROUND(MIN(V11,Cap_BHXH)*(BHXH_DN+BHYT_DN)+MIN(V11,Cap_BHTN)*BHTN_DN,0))</f>
        <v>3010000</v>
      </c>
      <c r="AI11" s="16">
        <f t="shared" si="11"/>
        <v>26680000</v>
      </c>
      <c r="AJ11" s="22" t="str">
        <f>IF($B11="","",'Dữ liệu tháng'!K10&amp;"")</f>
        <v/>
      </c>
      <c r="AK11" s="91">
        <f>IF($B11="","",IFERROR(MATCH($B11,'Nhân viên'!$B$6:$B$45,0),""))</f>
        <v>5</v>
      </c>
      <c r="AL11" s="93">
        <f t="shared" si="12"/>
        <v>292000000</v>
      </c>
    </row>
    <row r="12" ht="19.5" customHeight="1">
      <c r="A12" s="52">
        <f t="shared" si="3"/>
        <v>6</v>
      </c>
      <c r="B12" s="63" t="str">
        <f>IF('Dữ liệu tháng'!B11="","",'Dữ liệu tháng'!B11)</f>
        <v>NV006</v>
      </c>
      <c r="C12" s="22" t="str">
        <f t="array" ref="C12">IF($B12="","",IF($AK12="","⚠ Mã NV không tồn tại",INDEX('Nhân viên'!$C$6:$C$45,$AK12)))</f>
        <v>Võ Thị Mai Anh</v>
      </c>
      <c r="D12" s="22" t="str">
        <f t="array" ref="D12">IF($AK12="","",INDEX('Nhân viên'!$D$6:$D$45,$AK12)&amp;"")</f>
        <v>Nhân viên kinh doanh</v>
      </c>
      <c r="E12" s="22" t="str">
        <f t="array" ref="E12">IF($AK12="","",INDEX('Nhân viên'!$E$6:$E$45,$AK12)&amp;"")</f>
        <v>Nhóm Miền Trung</v>
      </c>
      <c r="F12" s="16">
        <f t="array" ref="F12">IF($AK12="","",N(INDEX('Nhân viên'!$G$6:$G$45,$AK12)))</f>
        <v>8500000</v>
      </c>
      <c r="G12" s="52">
        <f>IF($AK12="","",Std_Days)</f>
        <v>22</v>
      </c>
      <c r="H12" s="67">
        <f>IF($AK12="","",MIN(G12,N('Dữ liệu tháng'!D11)+N('Dữ liệu tháng'!E11)))</f>
        <v>22</v>
      </c>
      <c r="I12" s="16">
        <f t="shared" si="4"/>
        <v>8500000</v>
      </c>
      <c r="J12" s="16">
        <f t="array" ref="J12">IF($AK12="","",N(INDEX('Nhân viên'!$M$6:$M$45,$AK12)))</f>
        <v>180000000</v>
      </c>
      <c r="K12" s="16">
        <f>IF($AK12="","",N('Dữ liệu tháng'!F11))</f>
        <v>110000000</v>
      </c>
      <c r="L12" s="71">
        <f t="shared" si="5"/>
        <v>0.6111111111</v>
      </c>
      <c r="M12" s="72">
        <f t="array" ref="M12">IF($AK12="","",INDEX(Com_Rate,MATCH(L12,Com_From,1)))</f>
        <v>0</v>
      </c>
      <c r="N12" s="16">
        <f t="shared" si="6"/>
        <v>0</v>
      </c>
      <c r="O12" s="16">
        <f t="array" ref="O12">IF($AK12="","",INDEX(Com_Bonus,MATCH(L12,Com_From,1)))</f>
        <v>0</v>
      </c>
      <c r="P12" s="52">
        <f>IF($AK12="","",N('Dữ liệu tháng'!G11))</f>
        <v>1</v>
      </c>
      <c r="Q12" s="16">
        <f>IF($AK12="","",P12*New_Cust_Bonus)</f>
        <v>200000</v>
      </c>
      <c r="R12" s="16">
        <f t="array" ref="R12">IF($AK12="","",ROUND(N(INDEX('Nhân viên'!$J$6:$J$45,$AK12))/G12*H12,0))</f>
        <v>730000</v>
      </c>
      <c r="S12" s="16">
        <f t="array" ref="S12">IF($AK12="","",N(INDEX('Nhân viên'!$K$6:$K$45,$AK12)))</f>
        <v>1000000</v>
      </c>
      <c r="T12" s="16">
        <f>IF($AK12="","",N('Dữ liệu tháng'!H11))</f>
        <v>0</v>
      </c>
      <c r="U12" s="78">
        <f t="shared" si="7"/>
        <v>10430000</v>
      </c>
      <c r="V12" s="16">
        <f t="array" ref="V12">IF($AK12="","",IF(INDEX('Nhân viên'!$H$6:$H$45,$AK12)="Có",IF(N(INDEX('Nhân viên'!$I$6:$I$45,$AK12))&gt;0,INDEX('Nhân viên'!$I$6:$I$45,$AK12),F12),0))</f>
        <v>8500000</v>
      </c>
      <c r="W12" s="16">
        <f>IF($AK12="","",ROUND(MIN(V12,Cap_BHXH)*BHXH_NV,0))</f>
        <v>680000</v>
      </c>
      <c r="X12" s="16">
        <f>IF($AK12="","",ROUND(MIN(V12,Cap_BHXH)*BHYT_NV,0))</f>
        <v>127500</v>
      </c>
      <c r="Y12" s="16">
        <f>IF($AK12="","",ROUND(MIN(V12,Cap_BHTN)*BHTN_NV,0))</f>
        <v>85000</v>
      </c>
      <c r="Z12" s="16">
        <f t="shared" si="8"/>
        <v>892500</v>
      </c>
      <c r="AA12" s="16">
        <f>IF($AK12="","",MIN(R12,Lunch_Cap))</f>
        <v>730000</v>
      </c>
      <c r="AB12" s="16">
        <f t="array" ref="AB12">IF($AK12="","",Self_Ded+N(INDEX('Nhân viên'!$L$6:$L$45,$AK12))*Dep_Ded)</f>
        <v>15500000</v>
      </c>
      <c r="AC12" s="16">
        <f t="shared" si="9"/>
        <v>0</v>
      </c>
      <c r="AD12" s="16">
        <f>IF($AK12="","",ROUND(SUMPRODUCT((AC12&gt;Tax_From)*(AC12-Tax_From)*Tax_Delta),0))</f>
        <v>0</v>
      </c>
      <c r="AE12" s="16">
        <f>IF($AK12="","",N('Dữ liệu tháng'!I11))</f>
        <v>0</v>
      </c>
      <c r="AF12" s="16">
        <f>IF($AK12="","",N('Dữ liệu tháng'!J11))</f>
        <v>200000</v>
      </c>
      <c r="AG12" s="78">
        <f t="shared" si="10"/>
        <v>9337500</v>
      </c>
      <c r="AH12" s="16">
        <f>IF($AK12="","",ROUND(MIN(V12,Cap_BHXH)*(BHXH_DN+BHYT_DN)+MIN(V12,Cap_BHTN)*BHTN_DN,0))</f>
        <v>1827500</v>
      </c>
      <c r="AI12" s="16">
        <f t="shared" si="11"/>
        <v>12257500</v>
      </c>
      <c r="AJ12" s="22" t="str">
        <f>IF($B12="","",'Dữ liệu tháng'!K11&amp;"")</f>
        <v>Phạt đi muộn</v>
      </c>
      <c r="AK12" s="91">
        <f>IF($B12="","",IFERROR(MATCH($B12,'Nhân viên'!$B$6:$B$45,0),""))</f>
        <v>6</v>
      </c>
      <c r="AL12" s="93">
        <f t="shared" si="12"/>
        <v>110000000</v>
      </c>
    </row>
    <row r="13" ht="19.5" customHeight="1">
      <c r="A13" s="52">
        <f t="shared" si="3"/>
        <v>7</v>
      </c>
      <c r="B13" s="63" t="str">
        <f>IF('Dữ liệu tháng'!B12="","",'Dữ liệu tháng'!B12)</f>
        <v>NV007</v>
      </c>
      <c r="C13" s="22" t="str">
        <f t="array" ref="C13">IF($B13="","",IF($AK13="","⚠ Mã NV không tồn tại",INDEX('Nhân viên'!$C$6:$C$45,$AK13)))</f>
        <v>Đặng Văn Khoa</v>
      </c>
      <c r="D13" s="22" t="str">
        <f t="array" ref="D13">IF($AK13="","",INDEX('Nhân viên'!$D$6:$D$45,$AK13)&amp;"")</f>
        <v>Nhân viên kinh doanh</v>
      </c>
      <c r="E13" s="22" t="str">
        <f t="array" ref="E13">IF($AK13="","",INDEX('Nhân viên'!$E$6:$E$45,$AK13)&amp;"")</f>
        <v>Nhóm Miền Trung</v>
      </c>
      <c r="F13" s="16">
        <f t="array" ref="F13">IF($AK13="","",N(INDEX('Nhân viên'!$G$6:$G$45,$AK13)))</f>
        <v>8500000</v>
      </c>
      <c r="G13" s="52">
        <f>IF($AK13="","",Std_Days)</f>
        <v>22</v>
      </c>
      <c r="H13" s="67">
        <f>IF($AK13="","",MIN(G13,N('Dữ liệu tháng'!D12)+N('Dữ liệu tháng'!E12)))</f>
        <v>19</v>
      </c>
      <c r="I13" s="16">
        <f t="shared" si="4"/>
        <v>7340909</v>
      </c>
      <c r="J13" s="16">
        <f t="array" ref="J13">IF($AK13="","",N(INDEX('Nhân viên'!$M$6:$M$45,$AK13)))</f>
        <v>180000000</v>
      </c>
      <c r="K13" s="16">
        <f>IF($AK13="","",N('Dữ liệu tháng'!F12))</f>
        <v>205000000</v>
      </c>
      <c r="L13" s="71">
        <f t="shared" si="5"/>
        <v>1.138888889</v>
      </c>
      <c r="M13" s="72">
        <f t="array" ref="M13">IF($AK13="","",INDEX(Com_Rate,MATCH(L13,Com_From,1)))</f>
        <v>0.02</v>
      </c>
      <c r="N13" s="16">
        <f t="shared" si="6"/>
        <v>4100000</v>
      </c>
      <c r="O13" s="16">
        <f t="array" ref="O13">IF($AK13="","",INDEX(Com_Bonus,MATCH(L13,Com_From,1)))</f>
        <v>1000000</v>
      </c>
      <c r="P13" s="52">
        <f>IF($AK13="","",N('Dữ liệu tháng'!G12))</f>
        <v>4</v>
      </c>
      <c r="Q13" s="16">
        <f>IF($AK13="","",P13*New_Cust_Bonus)</f>
        <v>800000</v>
      </c>
      <c r="R13" s="16">
        <f t="array" ref="R13">IF($AK13="","",ROUND(N(INDEX('Nhân viên'!$J$6:$J$45,$AK13))/G13*H13,0))</f>
        <v>630455</v>
      </c>
      <c r="S13" s="16">
        <f t="array" ref="S13">IF($AK13="","",N(INDEX('Nhân viên'!$K$6:$K$45,$AK13)))</f>
        <v>1000000</v>
      </c>
      <c r="T13" s="16">
        <f>IF($AK13="","",N('Dữ liệu tháng'!H12))</f>
        <v>0</v>
      </c>
      <c r="U13" s="78">
        <f t="shared" si="7"/>
        <v>14871364</v>
      </c>
      <c r="V13" s="16">
        <f t="array" ref="V13">IF($AK13="","",IF(INDEX('Nhân viên'!$H$6:$H$45,$AK13)="Có",IF(N(INDEX('Nhân viên'!$I$6:$I$45,$AK13))&gt;0,INDEX('Nhân viên'!$I$6:$I$45,$AK13),F13),0))</f>
        <v>8500000</v>
      </c>
      <c r="W13" s="16">
        <f>IF($AK13="","",ROUND(MIN(V13,Cap_BHXH)*BHXH_NV,0))</f>
        <v>680000</v>
      </c>
      <c r="X13" s="16">
        <f>IF($AK13="","",ROUND(MIN(V13,Cap_BHXH)*BHYT_NV,0))</f>
        <v>127500</v>
      </c>
      <c r="Y13" s="16">
        <f>IF($AK13="","",ROUND(MIN(V13,Cap_BHTN)*BHTN_NV,0))</f>
        <v>85000</v>
      </c>
      <c r="Z13" s="16">
        <f t="shared" si="8"/>
        <v>892500</v>
      </c>
      <c r="AA13" s="16">
        <f>IF($AK13="","",MIN(R13,Lunch_Cap))</f>
        <v>630455</v>
      </c>
      <c r="AB13" s="16">
        <f t="array" ref="AB13">IF($AK13="","",Self_Ded+N(INDEX('Nhân viên'!$L$6:$L$45,$AK13))*Dep_Ded)</f>
        <v>15500000</v>
      </c>
      <c r="AC13" s="16">
        <f t="shared" si="9"/>
        <v>0</v>
      </c>
      <c r="AD13" s="16">
        <f>IF($AK13="","",ROUND(SUMPRODUCT((AC13&gt;Tax_From)*(AC13-Tax_From)*Tax_Delta),0))</f>
        <v>0</v>
      </c>
      <c r="AE13" s="16">
        <f>IF($AK13="","",N('Dữ liệu tháng'!I12))</f>
        <v>1000000</v>
      </c>
      <c r="AF13" s="16">
        <f>IF($AK13="","",N('Dữ liệu tháng'!J12))</f>
        <v>0</v>
      </c>
      <c r="AG13" s="78">
        <f t="shared" si="10"/>
        <v>12978864</v>
      </c>
      <c r="AH13" s="16">
        <f>IF($AK13="","",ROUND(MIN(V13,Cap_BHXH)*(BHXH_DN+BHYT_DN)+MIN(V13,Cap_BHTN)*BHTN_DN,0))</f>
        <v>1827500</v>
      </c>
      <c r="AI13" s="16">
        <f t="shared" si="11"/>
        <v>16698864</v>
      </c>
      <c r="AJ13" s="22" t="str">
        <f>IF($B13="","",'Dữ liệu tháng'!K12&amp;"")</f>
        <v>Nghỉ không lương 3 ngày</v>
      </c>
      <c r="AK13" s="91">
        <f>IF($B13="","",IFERROR(MATCH($B13,'Nhân viên'!$B$6:$B$45,0),""))</f>
        <v>7</v>
      </c>
      <c r="AL13" s="93">
        <f t="shared" si="12"/>
        <v>205000000</v>
      </c>
    </row>
    <row r="14" ht="19.5" customHeight="1">
      <c r="A14" s="52">
        <f t="shared" si="3"/>
        <v>8</v>
      </c>
      <c r="B14" s="63" t="str">
        <f>IF('Dữ liệu tháng'!B13="","",'Dữ liệu tháng'!B13)</f>
        <v>NV008</v>
      </c>
      <c r="C14" s="22" t="str">
        <f t="array" ref="C14">IF($B14="","",IF($AK14="","⚠ Mã NV không tồn tại",INDEX('Nhân viên'!$C$6:$C$45,$AK14)))</f>
        <v>Bùi Thanh Hằng</v>
      </c>
      <c r="D14" s="22" t="str">
        <f t="array" ref="D14">IF($AK14="","",INDEX('Nhân viên'!$D$6:$D$45,$AK14)&amp;"")</f>
        <v>Trưởng nhóm kinh doanh</v>
      </c>
      <c r="E14" s="22" t="str">
        <f t="array" ref="E14">IF($AK14="","",INDEX('Nhân viên'!$E$6:$E$45,$AK14)&amp;"")</f>
        <v>Nhóm Miền Nam</v>
      </c>
      <c r="F14" s="16">
        <f t="array" ref="F14">IF($AK14="","",N(INDEX('Nhân viên'!$G$6:$G$45,$AK14)))</f>
        <v>16000000</v>
      </c>
      <c r="G14" s="52">
        <f>IF($AK14="","",Std_Days)</f>
        <v>22</v>
      </c>
      <c r="H14" s="67">
        <f>IF($AK14="","",MIN(G14,N('Dữ liệu tháng'!D13)+N('Dữ liệu tháng'!E13)))</f>
        <v>22</v>
      </c>
      <c r="I14" s="16">
        <f t="shared" si="4"/>
        <v>16000000</v>
      </c>
      <c r="J14" s="16">
        <f t="array" ref="J14">IF($AK14="","",N(INDEX('Nhân viên'!$M$6:$M$45,$AK14)))</f>
        <v>320000000</v>
      </c>
      <c r="K14" s="16">
        <f>IF($AK14="","",N('Dữ liệu tháng'!F13))</f>
        <v>505000000</v>
      </c>
      <c r="L14" s="71">
        <f t="shared" si="5"/>
        <v>1.578125</v>
      </c>
      <c r="M14" s="72">
        <f t="array" ref="M14">IF($AK14="","",INDEX(Com_Rate,MATCH(L14,Com_From,1)))</f>
        <v>0.03</v>
      </c>
      <c r="N14" s="16">
        <f t="shared" si="6"/>
        <v>15150000</v>
      </c>
      <c r="O14" s="16">
        <f t="array" ref="O14">IF($AK14="","",INDEX(Com_Bonus,MATCH(L14,Com_From,1)))</f>
        <v>5000000</v>
      </c>
      <c r="P14" s="52">
        <f>IF($AK14="","",N('Dữ liệu tháng'!G13))</f>
        <v>8</v>
      </c>
      <c r="Q14" s="16">
        <f>IF($AK14="","",P14*New_Cust_Bonus)</f>
        <v>1600000</v>
      </c>
      <c r="R14" s="16">
        <f t="array" ref="R14">IF($AK14="","",ROUND(N(INDEX('Nhân viên'!$J$6:$J$45,$AK14))/G14*H14,0))</f>
        <v>730000</v>
      </c>
      <c r="S14" s="16">
        <f t="array" ref="S14">IF($AK14="","",N(INDEX('Nhân viên'!$K$6:$K$45,$AK14)))</f>
        <v>1500000</v>
      </c>
      <c r="T14" s="16">
        <f>IF($AK14="","",N('Dữ liệu tháng'!H13))</f>
        <v>1000000</v>
      </c>
      <c r="U14" s="78">
        <f t="shared" si="7"/>
        <v>40980000</v>
      </c>
      <c r="V14" s="16">
        <f t="array" ref="V14">IF($AK14="","",IF(INDEX('Nhân viên'!$H$6:$H$45,$AK14)="Có",IF(N(INDEX('Nhân viên'!$I$6:$I$45,$AK14))&gt;0,INDEX('Nhân viên'!$I$6:$I$45,$AK14),F14),0))</f>
        <v>16000000</v>
      </c>
      <c r="W14" s="16">
        <f>IF($AK14="","",ROUND(MIN(V14,Cap_BHXH)*BHXH_NV,0))</f>
        <v>1280000</v>
      </c>
      <c r="X14" s="16">
        <f>IF($AK14="","",ROUND(MIN(V14,Cap_BHXH)*BHYT_NV,0))</f>
        <v>240000</v>
      </c>
      <c r="Y14" s="16">
        <f>IF($AK14="","",ROUND(MIN(V14,Cap_BHTN)*BHTN_NV,0))</f>
        <v>160000</v>
      </c>
      <c r="Z14" s="16">
        <f t="shared" si="8"/>
        <v>1680000</v>
      </c>
      <c r="AA14" s="16">
        <f>IF($AK14="","",MIN(R14,Lunch_Cap))</f>
        <v>730000</v>
      </c>
      <c r="AB14" s="16">
        <f t="array" ref="AB14">IF($AK14="","",Self_Ded+N(INDEX('Nhân viên'!$L$6:$L$45,$AK14))*Dep_Ded)</f>
        <v>21700000</v>
      </c>
      <c r="AC14" s="16">
        <f t="shared" si="9"/>
        <v>16870000</v>
      </c>
      <c r="AD14" s="16">
        <f>IF($AK14="","",ROUND(SUMPRODUCT((AC14&gt;Tax_From)*(AC14-Tax_From)*Tax_Delta),0))</f>
        <v>1187000</v>
      </c>
      <c r="AE14" s="16">
        <f>IF($AK14="","",N('Dữ liệu tháng'!I13))</f>
        <v>0</v>
      </c>
      <c r="AF14" s="16">
        <f>IF($AK14="","",N('Dữ liệu tháng'!J13))</f>
        <v>0</v>
      </c>
      <c r="AG14" s="78">
        <f t="shared" si="10"/>
        <v>38113000</v>
      </c>
      <c r="AH14" s="16">
        <f>IF($AK14="","",ROUND(MIN(V14,Cap_BHXH)*(BHXH_DN+BHYT_DN)+MIN(V14,Cap_BHTN)*BHTN_DN,0))</f>
        <v>3440000</v>
      </c>
      <c r="AI14" s="16">
        <f t="shared" si="11"/>
        <v>44420000</v>
      </c>
      <c r="AJ14" s="22" t="str">
        <f>IF($B14="","",'Dữ liệu tháng'!K13&amp;"")</f>
        <v/>
      </c>
      <c r="AK14" s="91">
        <f>IF($B14="","",IFERROR(MATCH($B14,'Nhân viên'!$B$6:$B$45,0),""))</f>
        <v>8</v>
      </c>
      <c r="AL14" s="93">
        <f t="shared" si="12"/>
        <v>505000000</v>
      </c>
    </row>
    <row r="15" ht="19.5" customHeight="1">
      <c r="A15" s="52">
        <f t="shared" si="3"/>
        <v>9</v>
      </c>
      <c r="B15" s="63" t="str">
        <f>IF('Dữ liệu tháng'!B14="","",'Dữ liệu tháng'!B14)</f>
        <v>NV009</v>
      </c>
      <c r="C15" s="22" t="str">
        <f t="array" ref="C15">IF($B15="","",IF($AK15="","⚠ Mã NV không tồn tại",INDEX('Nhân viên'!$C$6:$C$45,$AK15)))</f>
        <v>Ngô Gia Huy</v>
      </c>
      <c r="D15" s="22" t="str">
        <f t="array" ref="D15">IF($AK15="","",INDEX('Nhân viên'!$D$6:$D$45,$AK15)&amp;"")</f>
        <v>Nhân viên kinh doanh</v>
      </c>
      <c r="E15" s="22" t="str">
        <f t="array" ref="E15">IF($AK15="","",INDEX('Nhân viên'!$E$6:$E$45,$AK15)&amp;"")</f>
        <v>Nhóm Miền Nam</v>
      </c>
      <c r="F15" s="16">
        <f t="array" ref="F15">IF($AK15="","",N(INDEX('Nhân viên'!$G$6:$G$45,$AK15)))</f>
        <v>9000000</v>
      </c>
      <c r="G15" s="52">
        <f>IF($AK15="","",Std_Days)</f>
        <v>22</v>
      </c>
      <c r="H15" s="67">
        <f>IF($AK15="","",MIN(G15,N('Dữ liệu tháng'!D14)+N('Dữ liệu tháng'!E14)))</f>
        <v>22</v>
      </c>
      <c r="I15" s="16">
        <f t="shared" si="4"/>
        <v>9000000</v>
      </c>
      <c r="J15" s="16">
        <f t="array" ref="J15">IF($AK15="","",N(INDEX('Nhân viên'!$M$6:$M$45,$AK15)))</f>
        <v>200000000</v>
      </c>
      <c r="K15" s="16">
        <f>IF($AK15="","",N('Dữ liệu tháng'!F14))</f>
        <v>188000000</v>
      </c>
      <c r="L15" s="71">
        <f t="shared" si="5"/>
        <v>0.94</v>
      </c>
      <c r="M15" s="72">
        <f t="array" ref="M15">IF($AK15="","",INDEX(Com_Rate,MATCH(L15,Com_From,1)))</f>
        <v>0.015</v>
      </c>
      <c r="N15" s="16">
        <f t="shared" si="6"/>
        <v>2820000</v>
      </c>
      <c r="O15" s="16">
        <f t="array" ref="O15">IF($AK15="","",INDEX(Com_Bonus,MATCH(L15,Com_From,1)))</f>
        <v>500000</v>
      </c>
      <c r="P15" s="52">
        <f>IF($AK15="","",N('Dữ liệu tháng'!G14))</f>
        <v>3</v>
      </c>
      <c r="Q15" s="16">
        <f>IF($AK15="","",P15*New_Cust_Bonus)</f>
        <v>600000</v>
      </c>
      <c r="R15" s="16">
        <f t="array" ref="R15">IF($AK15="","",ROUND(N(INDEX('Nhân viên'!$J$6:$J$45,$AK15))/G15*H15,0))</f>
        <v>730000</v>
      </c>
      <c r="S15" s="16">
        <f t="array" ref="S15">IF($AK15="","",N(INDEX('Nhân viên'!$K$6:$K$45,$AK15)))</f>
        <v>1000000</v>
      </c>
      <c r="T15" s="16">
        <f>IF($AK15="","",N('Dữ liệu tháng'!H14))</f>
        <v>0</v>
      </c>
      <c r="U15" s="78">
        <f t="shared" si="7"/>
        <v>14650000</v>
      </c>
      <c r="V15" s="16">
        <f t="array" ref="V15">IF($AK15="","",IF(INDEX('Nhân viên'!$H$6:$H$45,$AK15)="Có",IF(N(INDEX('Nhân viên'!$I$6:$I$45,$AK15))&gt;0,INDEX('Nhân viên'!$I$6:$I$45,$AK15),F15),0))</f>
        <v>9000000</v>
      </c>
      <c r="W15" s="16">
        <f>IF($AK15="","",ROUND(MIN(V15,Cap_BHXH)*BHXH_NV,0))</f>
        <v>720000</v>
      </c>
      <c r="X15" s="16">
        <f>IF($AK15="","",ROUND(MIN(V15,Cap_BHXH)*BHYT_NV,0))</f>
        <v>135000</v>
      </c>
      <c r="Y15" s="16">
        <f>IF($AK15="","",ROUND(MIN(V15,Cap_BHTN)*BHTN_NV,0))</f>
        <v>90000</v>
      </c>
      <c r="Z15" s="16">
        <f t="shared" si="8"/>
        <v>945000</v>
      </c>
      <c r="AA15" s="16">
        <f>IF($AK15="","",MIN(R15,Lunch_Cap))</f>
        <v>730000</v>
      </c>
      <c r="AB15" s="16">
        <f t="array" ref="AB15">IF($AK15="","",Self_Ded+N(INDEX('Nhân viên'!$L$6:$L$45,$AK15))*Dep_Ded)</f>
        <v>15500000</v>
      </c>
      <c r="AC15" s="16">
        <f t="shared" si="9"/>
        <v>0</v>
      </c>
      <c r="AD15" s="16">
        <f>IF($AK15="","",ROUND(SUMPRODUCT((AC15&gt;Tax_From)*(AC15-Tax_From)*Tax_Delta),0))</f>
        <v>0</v>
      </c>
      <c r="AE15" s="16">
        <f>IF($AK15="","",N('Dữ liệu tháng'!I14))</f>
        <v>0</v>
      </c>
      <c r="AF15" s="16">
        <f>IF($AK15="","",N('Dữ liệu tháng'!J14))</f>
        <v>0</v>
      </c>
      <c r="AG15" s="78">
        <f t="shared" si="10"/>
        <v>13705000</v>
      </c>
      <c r="AH15" s="16">
        <f>IF($AK15="","",ROUND(MIN(V15,Cap_BHXH)*(BHXH_DN+BHYT_DN)+MIN(V15,Cap_BHTN)*BHTN_DN,0))</f>
        <v>1935000</v>
      </c>
      <c r="AI15" s="16">
        <f t="shared" si="11"/>
        <v>16585000</v>
      </c>
      <c r="AJ15" s="22" t="str">
        <f>IF($B15="","",'Dữ liệu tháng'!K14&amp;"")</f>
        <v/>
      </c>
      <c r="AK15" s="91">
        <f>IF($B15="","",IFERROR(MATCH($B15,'Nhân viên'!$B$6:$B$45,0),""))</f>
        <v>9</v>
      </c>
      <c r="AL15" s="93">
        <f t="shared" si="12"/>
        <v>188000000</v>
      </c>
    </row>
    <row r="16" ht="19.5" customHeight="1">
      <c r="A16" s="52">
        <f t="shared" si="3"/>
        <v>10</v>
      </c>
      <c r="B16" s="63" t="str">
        <f>IF('Dữ liệu tháng'!B15="","",'Dữ liệu tháng'!B15)</f>
        <v>NV010</v>
      </c>
      <c r="C16" s="22" t="str">
        <f t="array" ref="C16">IF($B16="","",IF($AK16="","⚠ Mã NV không tồn tại",INDEX('Nhân viên'!$C$6:$C$45,$AK16)))</f>
        <v>Đỗ Khánh Linh</v>
      </c>
      <c r="D16" s="22" t="str">
        <f t="array" ref="D16">IF($AK16="","",INDEX('Nhân viên'!$D$6:$D$45,$AK16)&amp;"")</f>
        <v>Nhân viên kinh doanh</v>
      </c>
      <c r="E16" s="22" t="str">
        <f t="array" ref="E16">IF($AK16="","",INDEX('Nhân viên'!$E$6:$E$45,$AK16)&amp;"")</f>
        <v>Nhóm Miền Nam</v>
      </c>
      <c r="F16" s="16">
        <f t="array" ref="F16">IF($AK16="","",N(INDEX('Nhân viên'!$G$6:$G$45,$AK16)))</f>
        <v>8000000</v>
      </c>
      <c r="G16" s="52">
        <f>IF($AK16="","",Std_Days)</f>
        <v>22</v>
      </c>
      <c r="H16" s="67">
        <f>IF($AK16="","",MIN(G16,N('Dữ liệu tháng'!D15)+N('Dữ liệu tháng'!E15)))</f>
        <v>22</v>
      </c>
      <c r="I16" s="16">
        <f t="shared" si="4"/>
        <v>8000000</v>
      </c>
      <c r="J16" s="16">
        <f t="array" ref="J16">IF($AK16="","",N(INDEX('Nhân viên'!$M$6:$M$45,$AK16)))</f>
        <v>160000000</v>
      </c>
      <c r="K16" s="16">
        <f>IF($AK16="","",N('Dữ liệu tháng'!F15))</f>
        <v>150000000</v>
      </c>
      <c r="L16" s="71">
        <f t="shared" si="5"/>
        <v>0.9375</v>
      </c>
      <c r="M16" s="72">
        <f t="array" ref="M16">IF($AK16="","",INDEX(Com_Rate,MATCH(L16,Com_From,1)))</f>
        <v>0.015</v>
      </c>
      <c r="N16" s="16">
        <f t="shared" si="6"/>
        <v>2250000</v>
      </c>
      <c r="O16" s="16">
        <f t="array" ref="O16">IF($AK16="","",INDEX(Com_Bonus,MATCH(L16,Com_From,1)))</f>
        <v>500000</v>
      </c>
      <c r="P16" s="52">
        <f>IF($AK16="","",N('Dữ liệu tháng'!G15))</f>
        <v>5</v>
      </c>
      <c r="Q16" s="16">
        <f>IF($AK16="","",P16*New_Cust_Bonus)</f>
        <v>1000000</v>
      </c>
      <c r="R16" s="16">
        <f t="array" ref="R16">IF($AK16="","",ROUND(N(INDEX('Nhân viên'!$J$6:$J$45,$AK16))/G16*H16,0))</f>
        <v>730000</v>
      </c>
      <c r="S16" s="16">
        <f t="array" ref="S16">IF($AK16="","",N(INDEX('Nhân viên'!$K$6:$K$45,$AK16)))</f>
        <v>1000000</v>
      </c>
      <c r="T16" s="16">
        <f>IF($AK16="","",N('Dữ liệu tháng'!H15))</f>
        <v>0</v>
      </c>
      <c r="U16" s="78">
        <f t="shared" si="7"/>
        <v>13480000</v>
      </c>
      <c r="V16" s="16">
        <f t="array" ref="V16">IF($AK16="","",IF(INDEX('Nhân viên'!$H$6:$H$45,$AK16)="Có",IF(N(INDEX('Nhân viên'!$I$6:$I$45,$AK16))&gt;0,INDEX('Nhân viên'!$I$6:$I$45,$AK16),F16),0))</f>
        <v>0</v>
      </c>
      <c r="W16" s="16">
        <f>IF($AK16="","",ROUND(MIN(V16,Cap_BHXH)*BHXH_NV,0))</f>
        <v>0</v>
      </c>
      <c r="X16" s="16">
        <f>IF($AK16="","",ROUND(MIN(V16,Cap_BHXH)*BHYT_NV,0))</f>
        <v>0</v>
      </c>
      <c r="Y16" s="16">
        <f>IF($AK16="","",ROUND(MIN(V16,Cap_BHTN)*BHTN_NV,0))</f>
        <v>0</v>
      </c>
      <c r="Z16" s="16">
        <f t="shared" si="8"/>
        <v>0</v>
      </c>
      <c r="AA16" s="16">
        <f>IF($AK16="","",MIN(R16,Lunch_Cap))</f>
        <v>730000</v>
      </c>
      <c r="AB16" s="16">
        <f t="array" ref="AB16">IF($AK16="","",Self_Ded+N(INDEX('Nhân viên'!$L$6:$L$45,$AK16))*Dep_Ded)</f>
        <v>15500000</v>
      </c>
      <c r="AC16" s="16">
        <f t="shared" si="9"/>
        <v>0</v>
      </c>
      <c r="AD16" s="16">
        <f>IF($AK16="","",ROUND(SUMPRODUCT((AC16&gt;Tax_From)*(AC16-Tax_From)*Tax_Delta),0))</f>
        <v>0</v>
      </c>
      <c r="AE16" s="16">
        <f>IF($AK16="","",N('Dữ liệu tháng'!I15))</f>
        <v>0</v>
      </c>
      <c r="AF16" s="16">
        <f>IF($AK16="","",N('Dữ liệu tháng'!J15))</f>
        <v>0</v>
      </c>
      <c r="AG16" s="78">
        <f t="shared" si="10"/>
        <v>13480000</v>
      </c>
      <c r="AH16" s="16">
        <f>IF($AK16="","",ROUND(MIN(V16,Cap_BHXH)*(BHXH_DN+BHYT_DN)+MIN(V16,Cap_BHTN)*BHTN_DN,0))</f>
        <v>0</v>
      </c>
      <c r="AI16" s="16">
        <f t="shared" si="11"/>
        <v>13480000</v>
      </c>
      <c r="AJ16" s="22" t="str">
        <f>IF($B16="","",'Dữ liệu tháng'!K15&amp;"")</f>
        <v>Đang thử việc – chưa đóng BH</v>
      </c>
      <c r="AK16" s="91">
        <f>IF($B16="","",IFERROR(MATCH($B16,'Nhân viên'!$B$6:$B$45,0),""))</f>
        <v>10</v>
      </c>
      <c r="AL16" s="93">
        <f t="shared" si="12"/>
        <v>150000000</v>
      </c>
    </row>
    <row r="17" ht="19.5" customHeight="1">
      <c r="A17" s="52" t="str">
        <f t="shared" si="3"/>
        <v/>
      </c>
      <c r="B17" s="63" t="str">
        <f>IF('Dữ liệu tháng'!B16="","",'Dữ liệu tháng'!B16)</f>
        <v/>
      </c>
      <c r="C17" s="22" t="str">
        <f t="array" ref="C17">IF($B17="","",IF($AK17="","⚠ Mã NV không tồn tại",INDEX('Nhân viên'!$C$6:$C$45,$AK17)))</f>
        <v/>
      </c>
      <c r="D17" s="22" t="str">
        <f t="array" ref="D17">IF($AK17="","",INDEX('Nhân viên'!$D$6:$D$45,$AK17)&amp;"")</f>
        <v/>
      </c>
      <c r="E17" s="22" t="str">
        <f t="array" ref="E17">IF($AK17="","",INDEX('Nhân viên'!$E$6:$E$45,$AK17)&amp;"")</f>
        <v/>
      </c>
      <c r="F17" s="16" t="str">
        <f t="array" ref="F17">IF($AK17="","",N(INDEX('Nhân viên'!$G$6:$G$45,$AK17)))</f>
        <v/>
      </c>
      <c r="G17" s="52" t="str">
        <f>IF($AK17="","",Std_Days)</f>
        <v/>
      </c>
      <c r="H17" s="67" t="str">
        <f>IF($AK17="","",MIN(G17,N('Dữ liệu tháng'!D16)+N('Dữ liệu tháng'!E16)))</f>
        <v/>
      </c>
      <c r="I17" s="16" t="str">
        <f t="shared" si="4"/>
        <v/>
      </c>
      <c r="J17" s="16" t="str">
        <f t="array" ref="J17">IF($AK17="","",N(INDEX('Nhân viên'!$M$6:$M$45,$AK17)))</f>
        <v/>
      </c>
      <c r="K17" s="16" t="str">
        <f>IF($AK17="","",N('Dữ liệu tháng'!F16))</f>
        <v/>
      </c>
      <c r="L17" s="71" t="str">
        <f t="shared" si="5"/>
        <v/>
      </c>
      <c r="M17" s="72" t="str">
        <f t="array" ref="M17">IF($AK17="","",INDEX(Com_Rate,MATCH(L17,Com_From,1)))</f>
        <v/>
      </c>
      <c r="N17" s="16" t="str">
        <f t="shared" si="6"/>
        <v/>
      </c>
      <c r="O17" s="16" t="str">
        <f t="array" ref="O17">IF($AK17="","",INDEX(Com_Bonus,MATCH(L17,Com_From,1)))</f>
        <v/>
      </c>
      <c r="P17" s="52" t="str">
        <f>IF($AK17="","",N('Dữ liệu tháng'!G16))</f>
        <v/>
      </c>
      <c r="Q17" s="16" t="str">
        <f>IF($AK17="","",P17*New_Cust_Bonus)</f>
        <v/>
      </c>
      <c r="R17" s="16" t="str">
        <f t="array" ref="R17">IF($AK17="","",ROUND(N(INDEX('Nhân viên'!$J$6:$J$45,$AK17))/G17*H17,0))</f>
        <v/>
      </c>
      <c r="S17" s="16" t="str">
        <f t="array" ref="S17">IF($AK17="","",N(INDEX('Nhân viên'!$K$6:$K$45,$AK17)))</f>
        <v/>
      </c>
      <c r="T17" s="16" t="str">
        <f>IF($AK17="","",N('Dữ liệu tháng'!H16))</f>
        <v/>
      </c>
      <c r="U17" s="78" t="str">
        <f t="shared" si="7"/>
        <v/>
      </c>
      <c r="V17" s="16" t="str">
        <f t="array" ref="V17">IF($AK17="","",IF(INDEX('Nhân viên'!$H$6:$H$45,$AK17)="Có",IF(N(INDEX('Nhân viên'!$I$6:$I$45,$AK17))&gt;0,INDEX('Nhân viên'!$I$6:$I$45,$AK17),F17),0))</f>
        <v/>
      </c>
      <c r="W17" s="16" t="str">
        <f>IF($AK17="","",ROUND(MIN(V17,Cap_BHXH)*BHXH_NV,0))</f>
        <v/>
      </c>
      <c r="X17" s="16" t="str">
        <f>IF($AK17="","",ROUND(MIN(V17,Cap_BHXH)*BHYT_NV,0))</f>
        <v/>
      </c>
      <c r="Y17" s="16" t="str">
        <f>IF($AK17="","",ROUND(MIN(V17,Cap_BHTN)*BHTN_NV,0))</f>
        <v/>
      </c>
      <c r="Z17" s="16" t="str">
        <f t="shared" si="8"/>
        <v/>
      </c>
      <c r="AA17" s="16" t="str">
        <f>IF($AK17="","",MIN(R17,Lunch_Cap))</f>
        <v/>
      </c>
      <c r="AB17" s="16" t="str">
        <f t="array" ref="AB17">IF($AK17="","",Self_Ded+N(INDEX('Nhân viên'!$L$6:$L$45,$AK17))*Dep_Ded)</f>
        <v/>
      </c>
      <c r="AC17" s="16" t="str">
        <f t="shared" si="9"/>
        <v/>
      </c>
      <c r="AD17" s="16" t="str">
        <f>IF($AK17="","",ROUND(SUMPRODUCT((AC17&gt;Tax_From)*(AC17-Tax_From)*Tax_Delta),0))</f>
        <v/>
      </c>
      <c r="AE17" s="16" t="str">
        <f>IF($AK17="","",N('Dữ liệu tháng'!I16))</f>
        <v/>
      </c>
      <c r="AF17" s="16" t="str">
        <f>IF($AK17="","",N('Dữ liệu tháng'!J16))</f>
        <v/>
      </c>
      <c r="AG17" s="78" t="str">
        <f t="shared" si="10"/>
        <v/>
      </c>
      <c r="AH17" s="16" t="str">
        <f>IF($AK17="","",ROUND(MIN(V17,Cap_BHXH)*(BHXH_DN+BHYT_DN)+MIN(V17,Cap_BHTN)*BHTN_DN,0))</f>
        <v/>
      </c>
      <c r="AI17" s="16" t="str">
        <f t="shared" si="11"/>
        <v/>
      </c>
      <c r="AJ17" s="22" t="str">
        <f>IF($B17="","",'Dữ liệu tháng'!K16&amp;"")</f>
        <v/>
      </c>
      <c r="AK17" s="91" t="str">
        <f>IF($B17="","",IFERROR(MATCH($B17,'Nhân viên'!$B$6:$B$45,0),""))</f>
        <v/>
      </c>
      <c r="AL17" s="91" t="str">
        <f t="shared" si="12"/>
        <v/>
      </c>
    </row>
    <row r="18" ht="19.5" customHeight="1">
      <c r="A18" s="52" t="str">
        <f t="shared" si="3"/>
        <v/>
      </c>
      <c r="B18" s="63" t="str">
        <f>IF('Dữ liệu tháng'!B17="","",'Dữ liệu tháng'!B17)</f>
        <v/>
      </c>
      <c r="C18" s="22" t="str">
        <f t="array" ref="C18">IF($B18="","",IF($AK18="","⚠ Mã NV không tồn tại",INDEX('Nhân viên'!$C$6:$C$45,$AK18)))</f>
        <v/>
      </c>
      <c r="D18" s="22" t="str">
        <f t="array" ref="D18">IF($AK18="","",INDEX('Nhân viên'!$D$6:$D$45,$AK18)&amp;"")</f>
        <v/>
      </c>
      <c r="E18" s="22" t="str">
        <f t="array" ref="E18">IF($AK18="","",INDEX('Nhân viên'!$E$6:$E$45,$AK18)&amp;"")</f>
        <v/>
      </c>
      <c r="F18" s="16" t="str">
        <f t="array" ref="F18">IF($AK18="","",N(INDEX('Nhân viên'!$G$6:$G$45,$AK18)))</f>
        <v/>
      </c>
      <c r="G18" s="52" t="str">
        <f>IF($AK18="","",Std_Days)</f>
        <v/>
      </c>
      <c r="H18" s="67" t="str">
        <f>IF($AK18="","",MIN(G18,N('Dữ liệu tháng'!D17)+N('Dữ liệu tháng'!E17)))</f>
        <v/>
      </c>
      <c r="I18" s="16" t="str">
        <f t="shared" si="4"/>
        <v/>
      </c>
      <c r="J18" s="16" t="str">
        <f t="array" ref="J18">IF($AK18="","",N(INDEX('Nhân viên'!$M$6:$M$45,$AK18)))</f>
        <v/>
      </c>
      <c r="K18" s="16" t="str">
        <f>IF($AK18="","",N('Dữ liệu tháng'!F17))</f>
        <v/>
      </c>
      <c r="L18" s="71" t="str">
        <f t="shared" si="5"/>
        <v/>
      </c>
      <c r="M18" s="72" t="str">
        <f t="array" ref="M18">IF($AK18="","",INDEX(Com_Rate,MATCH(L18,Com_From,1)))</f>
        <v/>
      </c>
      <c r="N18" s="16" t="str">
        <f t="shared" si="6"/>
        <v/>
      </c>
      <c r="O18" s="16" t="str">
        <f t="array" ref="O18">IF($AK18="","",INDEX(Com_Bonus,MATCH(L18,Com_From,1)))</f>
        <v/>
      </c>
      <c r="P18" s="52" t="str">
        <f>IF($AK18="","",N('Dữ liệu tháng'!G17))</f>
        <v/>
      </c>
      <c r="Q18" s="16" t="str">
        <f>IF($AK18="","",P18*New_Cust_Bonus)</f>
        <v/>
      </c>
      <c r="R18" s="16" t="str">
        <f t="array" ref="R18">IF($AK18="","",ROUND(N(INDEX('Nhân viên'!$J$6:$J$45,$AK18))/G18*H18,0))</f>
        <v/>
      </c>
      <c r="S18" s="16" t="str">
        <f t="array" ref="S18">IF($AK18="","",N(INDEX('Nhân viên'!$K$6:$K$45,$AK18)))</f>
        <v/>
      </c>
      <c r="T18" s="16" t="str">
        <f>IF($AK18="","",N('Dữ liệu tháng'!H17))</f>
        <v/>
      </c>
      <c r="U18" s="78" t="str">
        <f t="shared" si="7"/>
        <v/>
      </c>
      <c r="V18" s="16" t="str">
        <f t="array" ref="V18">IF($AK18="","",IF(INDEX('Nhân viên'!$H$6:$H$45,$AK18)="Có",IF(N(INDEX('Nhân viên'!$I$6:$I$45,$AK18))&gt;0,INDEX('Nhân viên'!$I$6:$I$45,$AK18),F18),0))</f>
        <v/>
      </c>
      <c r="W18" s="16" t="str">
        <f>IF($AK18="","",ROUND(MIN(V18,Cap_BHXH)*BHXH_NV,0))</f>
        <v/>
      </c>
      <c r="X18" s="16" t="str">
        <f>IF($AK18="","",ROUND(MIN(V18,Cap_BHXH)*BHYT_NV,0))</f>
        <v/>
      </c>
      <c r="Y18" s="16" t="str">
        <f>IF($AK18="","",ROUND(MIN(V18,Cap_BHTN)*BHTN_NV,0))</f>
        <v/>
      </c>
      <c r="Z18" s="16" t="str">
        <f t="shared" si="8"/>
        <v/>
      </c>
      <c r="AA18" s="16" t="str">
        <f>IF($AK18="","",MIN(R18,Lunch_Cap))</f>
        <v/>
      </c>
      <c r="AB18" s="16" t="str">
        <f t="array" ref="AB18">IF($AK18="","",Self_Ded+N(INDEX('Nhân viên'!$L$6:$L$45,$AK18))*Dep_Ded)</f>
        <v/>
      </c>
      <c r="AC18" s="16" t="str">
        <f t="shared" si="9"/>
        <v/>
      </c>
      <c r="AD18" s="16" t="str">
        <f>IF($AK18="","",ROUND(SUMPRODUCT((AC18&gt;Tax_From)*(AC18-Tax_From)*Tax_Delta),0))</f>
        <v/>
      </c>
      <c r="AE18" s="16" t="str">
        <f>IF($AK18="","",N('Dữ liệu tháng'!I17))</f>
        <v/>
      </c>
      <c r="AF18" s="16" t="str">
        <f>IF($AK18="","",N('Dữ liệu tháng'!J17))</f>
        <v/>
      </c>
      <c r="AG18" s="78" t="str">
        <f t="shared" si="10"/>
        <v/>
      </c>
      <c r="AH18" s="16" t="str">
        <f>IF($AK18="","",ROUND(MIN(V18,Cap_BHXH)*(BHXH_DN+BHYT_DN)+MIN(V18,Cap_BHTN)*BHTN_DN,0))</f>
        <v/>
      </c>
      <c r="AI18" s="16" t="str">
        <f t="shared" si="11"/>
        <v/>
      </c>
      <c r="AJ18" s="22" t="str">
        <f>IF($B18="","",'Dữ liệu tháng'!K17&amp;"")</f>
        <v/>
      </c>
      <c r="AK18" s="91" t="str">
        <f>IF($B18="","",IFERROR(MATCH($B18,'Nhân viên'!$B$6:$B$45,0),""))</f>
        <v/>
      </c>
      <c r="AL18" s="91" t="str">
        <f t="shared" si="12"/>
        <v/>
      </c>
    </row>
    <row r="19" ht="19.5" customHeight="1">
      <c r="A19" s="52" t="str">
        <f t="shared" si="3"/>
        <v/>
      </c>
      <c r="B19" s="63" t="str">
        <f>IF('Dữ liệu tháng'!B18="","",'Dữ liệu tháng'!B18)</f>
        <v/>
      </c>
      <c r="C19" s="22" t="str">
        <f t="array" ref="C19">IF($B19="","",IF($AK19="","⚠ Mã NV không tồn tại",INDEX('Nhân viên'!$C$6:$C$45,$AK19)))</f>
        <v/>
      </c>
      <c r="D19" s="22" t="str">
        <f t="array" ref="D19">IF($AK19="","",INDEX('Nhân viên'!$D$6:$D$45,$AK19)&amp;"")</f>
        <v/>
      </c>
      <c r="E19" s="22" t="str">
        <f t="array" ref="E19">IF($AK19="","",INDEX('Nhân viên'!$E$6:$E$45,$AK19)&amp;"")</f>
        <v/>
      </c>
      <c r="F19" s="16" t="str">
        <f t="array" ref="F19">IF($AK19="","",N(INDEX('Nhân viên'!$G$6:$G$45,$AK19)))</f>
        <v/>
      </c>
      <c r="G19" s="52" t="str">
        <f>IF($AK19="","",Std_Days)</f>
        <v/>
      </c>
      <c r="H19" s="67" t="str">
        <f>IF($AK19="","",MIN(G19,N('Dữ liệu tháng'!D18)+N('Dữ liệu tháng'!E18)))</f>
        <v/>
      </c>
      <c r="I19" s="16" t="str">
        <f t="shared" si="4"/>
        <v/>
      </c>
      <c r="J19" s="16" t="str">
        <f t="array" ref="J19">IF($AK19="","",N(INDEX('Nhân viên'!$M$6:$M$45,$AK19)))</f>
        <v/>
      </c>
      <c r="K19" s="16" t="str">
        <f>IF($AK19="","",N('Dữ liệu tháng'!F18))</f>
        <v/>
      </c>
      <c r="L19" s="71" t="str">
        <f t="shared" si="5"/>
        <v/>
      </c>
      <c r="M19" s="72" t="str">
        <f t="array" ref="M19">IF($AK19="","",INDEX(Com_Rate,MATCH(L19,Com_From,1)))</f>
        <v/>
      </c>
      <c r="N19" s="16" t="str">
        <f t="shared" si="6"/>
        <v/>
      </c>
      <c r="O19" s="16" t="str">
        <f t="array" ref="O19">IF($AK19="","",INDEX(Com_Bonus,MATCH(L19,Com_From,1)))</f>
        <v/>
      </c>
      <c r="P19" s="52" t="str">
        <f>IF($AK19="","",N('Dữ liệu tháng'!G18))</f>
        <v/>
      </c>
      <c r="Q19" s="16" t="str">
        <f>IF($AK19="","",P19*New_Cust_Bonus)</f>
        <v/>
      </c>
      <c r="R19" s="16" t="str">
        <f t="array" ref="R19">IF($AK19="","",ROUND(N(INDEX('Nhân viên'!$J$6:$J$45,$AK19))/G19*H19,0))</f>
        <v/>
      </c>
      <c r="S19" s="16" t="str">
        <f t="array" ref="S19">IF($AK19="","",N(INDEX('Nhân viên'!$K$6:$K$45,$AK19)))</f>
        <v/>
      </c>
      <c r="T19" s="16" t="str">
        <f>IF($AK19="","",N('Dữ liệu tháng'!H18))</f>
        <v/>
      </c>
      <c r="U19" s="78" t="str">
        <f t="shared" si="7"/>
        <v/>
      </c>
      <c r="V19" s="16" t="str">
        <f t="array" ref="V19">IF($AK19="","",IF(INDEX('Nhân viên'!$H$6:$H$45,$AK19)="Có",IF(N(INDEX('Nhân viên'!$I$6:$I$45,$AK19))&gt;0,INDEX('Nhân viên'!$I$6:$I$45,$AK19),F19),0))</f>
        <v/>
      </c>
      <c r="W19" s="16" t="str">
        <f>IF($AK19="","",ROUND(MIN(V19,Cap_BHXH)*BHXH_NV,0))</f>
        <v/>
      </c>
      <c r="X19" s="16" t="str">
        <f>IF($AK19="","",ROUND(MIN(V19,Cap_BHXH)*BHYT_NV,0))</f>
        <v/>
      </c>
      <c r="Y19" s="16" t="str">
        <f>IF($AK19="","",ROUND(MIN(V19,Cap_BHTN)*BHTN_NV,0))</f>
        <v/>
      </c>
      <c r="Z19" s="16" t="str">
        <f t="shared" si="8"/>
        <v/>
      </c>
      <c r="AA19" s="16" t="str">
        <f>IF($AK19="","",MIN(R19,Lunch_Cap))</f>
        <v/>
      </c>
      <c r="AB19" s="16" t="str">
        <f t="array" ref="AB19">IF($AK19="","",Self_Ded+N(INDEX('Nhân viên'!$L$6:$L$45,$AK19))*Dep_Ded)</f>
        <v/>
      </c>
      <c r="AC19" s="16" t="str">
        <f t="shared" si="9"/>
        <v/>
      </c>
      <c r="AD19" s="16" t="str">
        <f>IF($AK19="","",ROUND(SUMPRODUCT((AC19&gt;Tax_From)*(AC19-Tax_From)*Tax_Delta),0))</f>
        <v/>
      </c>
      <c r="AE19" s="16" t="str">
        <f>IF($AK19="","",N('Dữ liệu tháng'!I18))</f>
        <v/>
      </c>
      <c r="AF19" s="16" t="str">
        <f>IF($AK19="","",N('Dữ liệu tháng'!J18))</f>
        <v/>
      </c>
      <c r="AG19" s="78" t="str">
        <f t="shared" si="10"/>
        <v/>
      </c>
      <c r="AH19" s="16" t="str">
        <f>IF($AK19="","",ROUND(MIN(V19,Cap_BHXH)*(BHXH_DN+BHYT_DN)+MIN(V19,Cap_BHTN)*BHTN_DN,0))</f>
        <v/>
      </c>
      <c r="AI19" s="16" t="str">
        <f t="shared" si="11"/>
        <v/>
      </c>
      <c r="AJ19" s="22" t="str">
        <f>IF($B19="","",'Dữ liệu tháng'!K18&amp;"")</f>
        <v/>
      </c>
      <c r="AK19" s="91" t="str">
        <f>IF($B19="","",IFERROR(MATCH($B19,'Nhân viên'!$B$6:$B$45,0),""))</f>
        <v/>
      </c>
      <c r="AL19" s="91" t="str">
        <f t="shared" si="12"/>
        <v/>
      </c>
    </row>
    <row r="20" ht="19.5" customHeight="1">
      <c r="A20" s="52" t="str">
        <f t="shared" si="3"/>
        <v/>
      </c>
      <c r="B20" s="63" t="str">
        <f>IF('Dữ liệu tháng'!B19="","",'Dữ liệu tháng'!B19)</f>
        <v/>
      </c>
      <c r="C20" s="22" t="str">
        <f t="array" ref="C20">IF($B20="","",IF($AK20="","⚠ Mã NV không tồn tại",INDEX('Nhân viên'!$C$6:$C$45,$AK20)))</f>
        <v/>
      </c>
      <c r="D20" s="22" t="str">
        <f t="array" ref="D20">IF($AK20="","",INDEX('Nhân viên'!$D$6:$D$45,$AK20)&amp;"")</f>
        <v/>
      </c>
      <c r="E20" s="22" t="str">
        <f t="array" ref="E20">IF($AK20="","",INDEX('Nhân viên'!$E$6:$E$45,$AK20)&amp;"")</f>
        <v/>
      </c>
      <c r="F20" s="16" t="str">
        <f t="array" ref="F20">IF($AK20="","",N(INDEX('Nhân viên'!$G$6:$G$45,$AK20)))</f>
        <v/>
      </c>
      <c r="G20" s="52" t="str">
        <f>IF($AK20="","",Std_Days)</f>
        <v/>
      </c>
      <c r="H20" s="67" t="str">
        <f>IF($AK20="","",MIN(G20,N('Dữ liệu tháng'!D19)+N('Dữ liệu tháng'!E19)))</f>
        <v/>
      </c>
      <c r="I20" s="16" t="str">
        <f t="shared" si="4"/>
        <v/>
      </c>
      <c r="J20" s="16" t="str">
        <f t="array" ref="J20">IF($AK20="","",N(INDEX('Nhân viên'!$M$6:$M$45,$AK20)))</f>
        <v/>
      </c>
      <c r="K20" s="16" t="str">
        <f>IF($AK20="","",N('Dữ liệu tháng'!F19))</f>
        <v/>
      </c>
      <c r="L20" s="71" t="str">
        <f t="shared" si="5"/>
        <v/>
      </c>
      <c r="M20" s="72" t="str">
        <f t="array" ref="M20">IF($AK20="","",INDEX(Com_Rate,MATCH(L20,Com_From,1)))</f>
        <v/>
      </c>
      <c r="N20" s="16" t="str">
        <f t="shared" si="6"/>
        <v/>
      </c>
      <c r="O20" s="16" t="str">
        <f t="array" ref="O20">IF($AK20="","",INDEX(Com_Bonus,MATCH(L20,Com_From,1)))</f>
        <v/>
      </c>
      <c r="P20" s="52" t="str">
        <f>IF($AK20="","",N('Dữ liệu tháng'!G19))</f>
        <v/>
      </c>
      <c r="Q20" s="16" t="str">
        <f>IF($AK20="","",P20*New_Cust_Bonus)</f>
        <v/>
      </c>
      <c r="R20" s="16" t="str">
        <f t="array" ref="R20">IF($AK20="","",ROUND(N(INDEX('Nhân viên'!$J$6:$J$45,$AK20))/G20*H20,0))</f>
        <v/>
      </c>
      <c r="S20" s="16" t="str">
        <f t="array" ref="S20">IF($AK20="","",N(INDEX('Nhân viên'!$K$6:$K$45,$AK20)))</f>
        <v/>
      </c>
      <c r="T20" s="16" t="str">
        <f>IF($AK20="","",N('Dữ liệu tháng'!H19))</f>
        <v/>
      </c>
      <c r="U20" s="78" t="str">
        <f t="shared" si="7"/>
        <v/>
      </c>
      <c r="V20" s="16" t="str">
        <f t="array" ref="V20">IF($AK20="","",IF(INDEX('Nhân viên'!$H$6:$H$45,$AK20)="Có",IF(N(INDEX('Nhân viên'!$I$6:$I$45,$AK20))&gt;0,INDEX('Nhân viên'!$I$6:$I$45,$AK20),F20),0))</f>
        <v/>
      </c>
      <c r="W20" s="16" t="str">
        <f>IF($AK20="","",ROUND(MIN(V20,Cap_BHXH)*BHXH_NV,0))</f>
        <v/>
      </c>
      <c r="X20" s="16" t="str">
        <f>IF($AK20="","",ROUND(MIN(V20,Cap_BHXH)*BHYT_NV,0))</f>
        <v/>
      </c>
      <c r="Y20" s="16" t="str">
        <f>IF($AK20="","",ROUND(MIN(V20,Cap_BHTN)*BHTN_NV,0))</f>
        <v/>
      </c>
      <c r="Z20" s="16" t="str">
        <f t="shared" si="8"/>
        <v/>
      </c>
      <c r="AA20" s="16" t="str">
        <f>IF($AK20="","",MIN(R20,Lunch_Cap))</f>
        <v/>
      </c>
      <c r="AB20" s="16" t="str">
        <f t="array" ref="AB20">IF($AK20="","",Self_Ded+N(INDEX('Nhân viên'!$L$6:$L$45,$AK20))*Dep_Ded)</f>
        <v/>
      </c>
      <c r="AC20" s="16" t="str">
        <f t="shared" si="9"/>
        <v/>
      </c>
      <c r="AD20" s="16" t="str">
        <f>IF($AK20="","",ROUND(SUMPRODUCT((AC20&gt;Tax_From)*(AC20-Tax_From)*Tax_Delta),0))</f>
        <v/>
      </c>
      <c r="AE20" s="16" t="str">
        <f>IF($AK20="","",N('Dữ liệu tháng'!I19))</f>
        <v/>
      </c>
      <c r="AF20" s="16" t="str">
        <f>IF($AK20="","",N('Dữ liệu tháng'!J19))</f>
        <v/>
      </c>
      <c r="AG20" s="78" t="str">
        <f t="shared" si="10"/>
        <v/>
      </c>
      <c r="AH20" s="16" t="str">
        <f>IF($AK20="","",ROUND(MIN(V20,Cap_BHXH)*(BHXH_DN+BHYT_DN)+MIN(V20,Cap_BHTN)*BHTN_DN,0))</f>
        <v/>
      </c>
      <c r="AI20" s="16" t="str">
        <f t="shared" si="11"/>
        <v/>
      </c>
      <c r="AJ20" s="22" t="str">
        <f>IF($B20="","",'Dữ liệu tháng'!K19&amp;"")</f>
        <v/>
      </c>
      <c r="AK20" s="91" t="str">
        <f>IF($B20="","",IFERROR(MATCH($B20,'Nhân viên'!$B$6:$B$45,0),""))</f>
        <v/>
      </c>
      <c r="AL20" s="91" t="str">
        <f t="shared" si="12"/>
        <v/>
      </c>
    </row>
    <row r="21" ht="19.5" customHeight="1">
      <c r="A21" s="52" t="str">
        <f t="shared" si="3"/>
        <v/>
      </c>
      <c r="B21" s="63" t="str">
        <f>IF('Dữ liệu tháng'!B20="","",'Dữ liệu tháng'!B20)</f>
        <v/>
      </c>
      <c r="C21" s="22" t="str">
        <f t="array" ref="C21">IF($B21="","",IF($AK21="","⚠ Mã NV không tồn tại",INDEX('Nhân viên'!$C$6:$C$45,$AK21)))</f>
        <v/>
      </c>
      <c r="D21" s="22" t="str">
        <f t="array" ref="D21">IF($AK21="","",INDEX('Nhân viên'!$D$6:$D$45,$AK21)&amp;"")</f>
        <v/>
      </c>
      <c r="E21" s="22" t="str">
        <f t="array" ref="E21">IF($AK21="","",INDEX('Nhân viên'!$E$6:$E$45,$AK21)&amp;"")</f>
        <v/>
      </c>
      <c r="F21" s="16" t="str">
        <f t="array" ref="F21">IF($AK21="","",N(INDEX('Nhân viên'!$G$6:$G$45,$AK21)))</f>
        <v/>
      </c>
      <c r="G21" s="52" t="str">
        <f>IF($AK21="","",Std_Days)</f>
        <v/>
      </c>
      <c r="H21" s="67" t="str">
        <f>IF($AK21="","",MIN(G21,N('Dữ liệu tháng'!D20)+N('Dữ liệu tháng'!E20)))</f>
        <v/>
      </c>
      <c r="I21" s="16" t="str">
        <f t="shared" si="4"/>
        <v/>
      </c>
      <c r="J21" s="16" t="str">
        <f t="array" ref="J21">IF($AK21="","",N(INDEX('Nhân viên'!$M$6:$M$45,$AK21)))</f>
        <v/>
      </c>
      <c r="K21" s="16" t="str">
        <f>IF($AK21="","",N('Dữ liệu tháng'!F20))</f>
        <v/>
      </c>
      <c r="L21" s="71" t="str">
        <f t="shared" si="5"/>
        <v/>
      </c>
      <c r="M21" s="72" t="str">
        <f t="array" ref="M21">IF($AK21="","",INDEX(Com_Rate,MATCH(L21,Com_From,1)))</f>
        <v/>
      </c>
      <c r="N21" s="16" t="str">
        <f t="shared" si="6"/>
        <v/>
      </c>
      <c r="O21" s="16" t="str">
        <f t="array" ref="O21">IF($AK21="","",INDEX(Com_Bonus,MATCH(L21,Com_From,1)))</f>
        <v/>
      </c>
      <c r="P21" s="52" t="str">
        <f>IF($AK21="","",N('Dữ liệu tháng'!G20))</f>
        <v/>
      </c>
      <c r="Q21" s="16" t="str">
        <f>IF($AK21="","",P21*New_Cust_Bonus)</f>
        <v/>
      </c>
      <c r="R21" s="16" t="str">
        <f t="array" ref="R21">IF($AK21="","",ROUND(N(INDEX('Nhân viên'!$J$6:$J$45,$AK21))/G21*H21,0))</f>
        <v/>
      </c>
      <c r="S21" s="16" t="str">
        <f t="array" ref="S21">IF($AK21="","",N(INDEX('Nhân viên'!$K$6:$K$45,$AK21)))</f>
        <v/>
      </c>
      <c r="T21" s="16" t="str">
        <f>IF($AK21="","",N('Dữ liệu tháng'!H20))</f>
        <v/>
      </c>
      <c r="U21" s="78" t="str">
        <f t="shared" si="7"/>
        <v/>
      </c>
      <c r="V21" s="16" t="str">
        <f t="array" ref="V21">IF($AK21="","",IF(INDEX('Nhân viên'!$H$6:$H$45,$AK21)="Có",IF(N(INDEX('Nhân viên'!$I$6:$I$45,$AK21))&gt;0,INDEX('Nhân viên'!$I$6:$I$45,$AK21),F21),0))</f>
        <v/>
      </c>
      <c r="W21" s="16" t="str">
        <f>IF($AK21="","",ROUND(MIN(V21,Cap_BHXH)*BHXH_NV,0))</f>
        <v/>
      </c>
      <c r="X21" s="16" t="str">
        <f>IF($AK21="","",ROUND(MIN(V21,Cap_BHXH)*BHYT_NV,0))</f>
        <v/>
      </c>
      <c r="Y21" s="16" t="str">
        <f>IF($AK21="","",ROUND(MIN(V21,Cap_BHTN)*BHTN_NV,0))</f>
        <v/>
      </c>
      <c r="Z21" s="16" t="str">
        <f t="shared" si="8"/>
        <v/>
      </c>
      <c r="AA21" s="16" t="str">
        <f>IF($AK21="","",MIN(R21,Lunch_Cap))</f>
        <v/>
      </c>
      <c r="AB21" s="16" t="str">
        <f t="array" ref="AB21">IF($AK21="","",Self_Ded+N(INDEX('Nhân viên'!$L$6:$L$45,$AK21))*Dep_Ded)</f>
        <v/>
      </c>
      <c r="AC21" s="16" t="str">
        <f t="shared" si="9"/>
        <v/>
      </c>
      <c r="AD21" s="16" t="str">
        <f>IF($AK21="","",ROUND(SUMPRODUCT((AC21&gt;Tax_From)*(AC21-Tax_From)*Tax_Delta),0))</f>
        <v/>
      </c>
      <c r="AE21" s="16" t="str">
        <f>IF($AK21="","",N('Dữ liệu tháng'!I20))</f>
        <v/>
      </c>
      <c r="AF21" s="16" t="str">
        <f>IF($AK21="","",N('Dữ liệu tháng'!J20))</f>
        <v/>
      </c>
      <c r="AG21" s="78" t="str">
        <f t="shared" si="10"/>
        <v/>
      </c>
      <c r="AH21" s="16" t="str">
        <f>IF($AK21="","",ROUND(MIN(V21,Cap_BHXH)*(BHXH_DN+BHYT_DN)+MIN(V21,Cap_BHTN)*BHTN_DN,0))</f>
        <v/>
      </c>
      <c r="AI21" s="16" t="str">
        <f t="shared" si="11"/>
        <v/>
      </c>
      <c r="AJ21" s="22" t="str">
        <f>IF($B21="","",'Dữ liệu tháng'!K20&amp;"")</f>
        <v/>
      </c>
      <c r="AK21" s="91" t="str">
        <f>IF($B21="","",IFERROR(MATCH($B21,'Nhân viên'!$B$6:$B$45,0),""))</f>
        <v/>
      </c>
      <c r="AL21" s="91" t="str">
        <f t="shared" si="12"/>
        <v/>
      </c>
    </row>
    <row r="22" ht="19.5" customHeight="1">
      <c r="A22" s="52" t="str">
        <f t="shared" si="3"/>
        <v/>
      </c>
      <c r="B22" s="63" t="str">
        <f>IF('Dữ liệu tháng'!B21="","",'Dữ liệu tháng'!B21)</f>
        <v/>
      </c>
      <c r="C22" s="22" t="str">
        <f t="array" ref="C22">IF($B22="","",IF($AK22="","⚠ Mã NV không tồn tại",INDEX('Nhân viên'!$C$6:$C$45,$AK22)))</f>
        <v/>
      </c>
      <c r="D22" s="22" t="str">
        <f t="array" ref="D22">IF($AK22="","",INDEX('Nhân viên'!$D$6:$D$45,$AK22)&amp;"")</f>
        <v/>
      </c>
      <c r="E22" s="22" t="str">
        <f t="array" ref="E22">IF($AK22="","",INDEX('Nhân viên'!$E$6:$E$45,$AK22)&amp;"")</f>
        <v/>
      </c>
      <c r="F22" s="16" t="str">
        <f t="array" ref="F22">IF($AK22="","",N(INDEX('Nhân viên'!$G$6:$G$45,$AK22)))</f>
        <v/>
      </c>
      <c r="G22" s="52" t="str">
        <f>IF($AK22="","",Std_Days)</f>
        <v/>
      </c>
      <c r="H22" s="67" t="str">
        <f>IF($AK22="","",MIN(G22,N('Dữ liệu tháng'!D21)+N('Dữ liệu tháng'!E21)))</f>
        <v/>
      </c>
      <c r="I22" s="16" t="str">
        <f t="shared" si="4"/>
        <v/>
      </c>
      <c r="J22" s="16" t="str">
        <f t="array" ref="J22">IF($AK22="","",N(INDEX('Nhân viên'!$M$6:$M$45,$AK22)))</f>
        <v/>
      </c>
      <c r="K22" s="16" t="str">
        <f>IF($AK22="","",N('Dữ liệu tháng'!F21))</f>
        <v/>
      </c>
      <c r="L22" s="71" t="str">
        <f t="shared" si="5"/>
        <v/>
      </c>
      <c r="M22" s="72" t="str">
        <f t="array" ref="M22">IF($AK22="","",INDEX(Com_Rate,MATCH(L22,Com_From,1)))</f>
        <v/>
      </c>
      <c r="N22" s="16" t="str">
        <f t="shared" si="6"/>
        <v/>
      </c>
      <c r="O22" s="16" t="str">
        <f t="array" ref="O22">IF($AK22="","",INDEX(Com_Bonus,MATCH(L22,Com_From,1)))</f>
        <v/>
      </c>
      <c r="P22" s="52" t="str">
        <f>IF($AK22="","",N('Dữ liệu tháng'!G21))</f>
        <v/>
      </c>
      <c r="Q22" s="16" t="str">
        <f>IF($AK22="","",P22*New_Cust_Bonus)</f>
        <v/>
      </c>
      <c r="R22" s="16" t="str">
        <f t="array" ref="R22">IF($AK22="","",ROUND(N(INDEX('Nhân viên'!$J$6:$J$45,$AK22))/G22*H22,0))</f>
        <v/>
      </c>
      <c r="S22" s="16" t="str">
        <f t="array" ref="S22">IF($AK22="","",N(INDEX('Nhân viên'!$K$6:$K$45,$AK22)))</f>
        <v/>
      </c>
      <c r="T22" s="16" t="str">
        <f>IF($AK22="","",N('Dữ liệu tháng'!H21))</f>
        <v/>
      </c>
      <c r="U22" s="78" t="str">
        <f t="shared" si="7"/>
        <v/>
      </c>
      <c r="V22" s="16" t="str">
        <f t="array" ref="V22">IF($AK22="","",IF(INDEX('Nhân viên'!$H$6:$H$45,$AK22)="Có",IF(N(INDEX('Nhân viên'!$I$6:$I$45,$AK22))&gt;0,INDEX('Nhân viên'!$I$6:$I$45,$AK22),F22),0))</f>
        <v/>
      </c>
      <c r="W22" s="16" t="str">
        <f>IF($AK22="","",ROUND(MIN(V22,Cap_BHXH)*BHXH_NV,0))</f>
        <v/>
      </c>
      <c r="X22" s="16" t="str">
        <f>IF($AK22="","",ROUND(MIN(V22,Cap_BHXH)*BHYT_NV,0))</f>
        <v/>
      </c>
      <c r="Y22" s="16" t="str">
        <f>IF($AK22="","",ROUND(MIN(V22,Cap_BHTN)*BHTN_NV,0))</f>
        <v/>
      </c>
      <c r="Z22" s="16" t="str">
        <f t="shared" si="8"/>
        <v/>
      </c>
      <c r="AA22" s="16" t="str">
        <f>IF($AK22="","",MIN(R22,Lunch_Cap))</f>
        <v/>
      </c>
      <c r="AB22" s="16" t="str">
        <f t="array" ref="AB22">IF($AK22="","",Self_Ded+N(INDEX('Nhân viên'!$L$6:$L$45,$AK22))*Dep_Ded)</f>
        <v/>
      </c>
      <c r="AC22" s="16" t="str">
        <f t="shared" si="9"/>
        <v/>
      </c>
      <c r="AD22" s="16" t="str">
        <f>IF($AK22="","",ROUND(SUMPRODUCT((AC22&gt;Tax_From)*(AC22-Tax_From)*Tax_Delta),0))</f>
        <v/>
      </c>
      <c r="AE22" s="16" t="str">
        <f>IF($AK22="","",N('Dữ liệu tháng'!I21))</f>
        <v/>
      </c>
      <c r="AF22" s="16" t="str">
        <f>IF($AK22="","",N('Dữ liệu tháng'!J21))</f>
        <v/>
      </c>
      <c r="AG22" s="78" t="str">
        <f t="shared" si="10"/>
        <v/>
      </c>
      <c r="AH22" s="16" t="str">
        <f>IF($AK22="","",ROUND(MIN(V22,Cap_BHXH)*(BHXH_DN+BHYT_DN)+MIN(V22,Cap_BHTN)*BHTN_DN,0))</f>
        <v/>
      </c>
      <c r="AI22" s="16" t="str">
        <f t="shared" si="11"/>
        <v/>
      </c>
      <c r="AJ22" s="22" t="str">
        <f>IF($B22="","",'Dữ liệu tháng'!K21&amp;"")</f>
        <v/>
      </c>
      <c r="AK22" s="91" t="str">
        <f>IF($B22="","",IFERROR(MATCH($B22,'Nhân viên'!$B$6:$B$45,0),""))</f>
        <v/>
      </c>
      <c r="AL22" s="91" t="str">
        <f t="shared" si="12"/>
        <v/>
      </c>
    </row>
    <row r="23" ht="19.5" customHeight="1">
      <c r="A23" s="52" t="str">
        <f t="shared" si="3"/>
        <v/>
      </c>
      <c r="B23" s="63" t="str">
        <f>IF('Dữ liệu tháng'!B22="","",'Dữ liệu tháng'!B22)</f>
        <v/>
      </c>
      <c r="C23" s="22" t="str">
        <f t="array" ref="C23">IF($B23="","",IF($AK23="","⚠ Mã NV không tồn tại",INDEX('Nhân viên'!$C$6:$C$45,$AK23)))</f>
        <v/>
      </c>
      <c r="D23" s="22" t="str">
        <f t="array" ref="D23">IF($AK23="","",INDEX('Nhân viên'!$D$6:$D$45,$AK23)&amp;"")</f>
        <v/>
      </c>
      <c r="E23" s="22" t="str">
        <f t="array" ref="E23">IF($AK23="","",INDEX('Nhân viên'!$E$6:$E$45,$AK23)&amp;"")</f>
        <v/>
      </c>
      <c r="F23" s="16" t="str">
        <f t="array" ref="F23">IF($AK23="","",N(INDEX('Nhân viên'!$G$6:$G$45,$AK23)))</f>
        <v/>
      </c>
      <c r="G23" s="52" t="str">
        <f>IF($AK23="","",Std_Days)</f>
        <v/>
      </c>
      <c r="H23" s="67" t="str">
        <f>IF($AK23="","",MIN(G23,N('Dữ liệu tháng'!D22)+N('Dữ liệu tháng'!E22)))</f>
        <v/>
      </c>
      <c r="I23" s="16" t="str">
        <f t="shared" si="4"/>
        <v/>
      </c>
      <c r="J23" s="16" t="str">
        <f t="array" ref="J23">IF($AK23="","",N(INDEX('Nhân viên'!$M$6:$M$45,$AK23)))</f>
        <v/>
      </c>
      <c r="K23" s="16" t="str">
        <f>IF($AK23="","",N('Dữ liệu tháng'!F22))</f>
        <v/>
      </c>
      <c r="L23" s="71" t="str">
        <f t="shared" si="5"/>
        <v/>
      </c>
      <c r="M23" s="72" t="str">
        <f t="array" ref="M23">IF($AK23="","",INDEX(Com_Rate,MATCH(L23,Com_From,1)))</f>
        <v/>
      </c>
      <c r="N23" s="16" t="str">
        <f t="shared" si="6"/>
        <v/>
      </c>
      <c r="O23" s="16" t="str">
        <f t="array" ref="O23">IF($AK23="","",INDEX(Com_Bonus,MATCH(L23,Com_From,1)))</f>
        <v/>
      </c>
      <c r="P23" s="52" t="str">
        <f>IF($AK23="","",N('Dữ liệu tháng'!G22))</f>
        <v/>
      </c>
      <c r="Q23" s="16" t="str">
        <f>IF($AK23="","",P23*New_Cust_Bonus)</f>
        <v/>
      </c>
      <c r="R23" s="16" t="str">
        <f t="array" ref="R23">IF($AK23="","",ROUND(N(INDEX('Nhân viên'!$J$6:$J$45,$AK23))/G23*H23,0))</f>
        <v/>
      </c>
      <c r="S23" s="16" t="str">
        <f t="array" ref="S23">IF($AK23="","",N(INDEX('Nhân viên'!$K$6:$K$45,$AK23)))</f>
        <v/>
      </c>
      <c r="T23" s="16" t="str">
        <f>IF($AK23="","",N('Dữ liệu tháng'!H22))</f>
        <v/>
      </c>
      <c r="U23" s="78" t="str">
        <f t="shared" si="7"/>
        <v/>
      </c>
      <c r="V23" s="16" t="str">
        <f t="array" ref="V23">IF($AK23="","",IF(INDEX('Nhân viên'!$H$6:$H$45,$AK23)="Có",IF(N(INDEX('Nhân viên'!$I$6:$I$45,$AK23))&gt;0,INDEX('Nhân viên'!$I$6:$I$45,$AK23),F23),0))</f>
        <v/>
      </c>
      <c r="W23" s="16" t="str">
        <f>IF($AK23="","",ROUND(MIN(V23,Cap_BHXH)*BHXH_NV,0))</f>
        <v/>
      </c>
      <c r="X23" s="16" t="str">
        <f>IF($AK23="","",ROUND(MIN(V23,Cap_BHXH)*BHYT_NV,0))</f>
        <v/>
      </c>
      <c r="Y23" s="16" t="str">
        <f>IF($AK23="","",ROUND(MIN(V23,Cap_BHTN)*BHTN_NV,0))</f>
        <v/>
      </c>
      <c r="Z23" s="16" t="str">
        <f t="shared" si="8"/>
        <v/>
      </c>
      <c r="AA23" s="16" t="str">
        <f>IF($AK23="","",MIN(R23,Lunch_Cap))</f>
        <v/>
      </c>
      <c r="AB23" s="16" t="str">
        <f t="array" ref="AB23">IF($AK23="","",Self_Ded+N(INDEX('Nhân viên'!$L$6:$L$45,$AK23))*Dep_Ded)</f>
        <v/>
      </c>
      <c r="AC23" s="16" t="str">
        <f t="shared" si="9"/>
        <v/>
      </c>
      <c r="AD23" s="16" t="str">
        <f>IF($AK23="","",ROUND(SUMPRODUCT((AC23&gt;Tax_From)*(AC23-Tax_From)*Tax_Delta),0))</f>
        <v/>
      </c>
      <c r="AE23" s="16" t="str">
        <f>IF($AK23="","",N('Dữ liệu tháng'!I22))</f>
        <v/>
      </c>
      <c r="AF23" s="16" t="str">
        <f>IF($AK23="","",N('Dữ liệu tháng'!J22))</f>
        <v/>
      </c>
      <c r="AG23" s="78" t="str">
        <f t="shared" si="10"/>
        <v/>
      </c>
      <c r="AH23" s="16" t="str">
        <f>IF($AK23="","",ROUND(MIN(V23,Cap_BHXH)*(BHXH_DN+BHYT_DN)+MIN(V23,Cap_BHTN)*BHTN_DN,0))</f>
        <v/>
      </c>
      <c r="AI23" s="16" t="str">
        <f t="shared" si="11"/>
        <v/>
      </c>
      <c r="AJ23" s="22" t="str">
        <f>IF($B23="","",'Dữ liệu tháng'!K22&amp;"")</f>
        <v/>
      </c>
      <c r="AK23" s="91" t="str">
        <f>IF($B23="","",IFERROR(MATCH($B23,'Nhân viên'!$B$6:$B$45,0),""))</f>
        <v/>
      </c>
      <c r="AL23" s="91" t="str">
        <f t="shared" si="12"/>
        <v/>
      </c>
    </row>
    <row r="24" ht="19.5" customHeight="1">
      <c r="A24" s="52" t="str">
        <f t="shared" si="3"/>
        <v/>
      </c>
      <c r="B24" s="63" t="str">
        <f>IF('Dữ liệu tháng'!B23="","",'Dữ liệu tháng'!B23)</f>
        <v/>
      </c>
      <c r="C24" s="22" t="str">
        <f t="array" ref="C24">IF($B24="","",IF($AK24="","⚠ Mã NV không tồn tại",INDEX('Nhân viên'!$C$6:$C$45,$AK24)))</f>
        <v/>
      </c>
      <c r="D24" s="22" t="str">
        <f t="array" ref="D24">IF($AK24="","",INDEX('Nhân viên'!$D$6:$D$45,$AK24)&amp;"")</f>
        <v/>
      </c>
      <c r="E24" s="22" t="str">
        <f t="array" ref="E24">IF($AK24="","",INDEX('Nhân viên'!$E$6:$E$45,$AK24)&amp;"")</f>
        <v/>
      </c>
      <c r="F24" s="16" t="str">
        <f t="array" ref="F24">IF($AK24="","",N(INDEX('Nhân viên'!$G$6:$G$45,$AK24)))</f>
        <v/>
      </c>
      <c r="G24" s="52" t="str">
        <f>IF($AK24="","",Std_Days)</f>
        <v/>
      </c>
      <c r="H24" s="67" t="str">
        <f>IF($AK24="","",MIN(G24,N('Dữ liệu tháng'!D23)+N('Dữ liệu tháng'!E23)))</f>
        <v/>
      </c>
      <c r="I24" s="16" t="str">
        <f t="shared" si="4"/>
        <v/>
      </c>
      <c r="J24" s="16" t="str">
        <f t="array" ref="J24">IF($AK24="","",N(INDEX('Nhân viên'!$M$6:$M$45,$AK24)))</f>
        <v/>
      </c>
      <c r="K24" s="16" t="str">
        <f>IF($AK24="","",N('Dữ liệu tháng'!F23))</f>
        <v/>
      </c>
      <c r="L24" s="71" t="str">
        <f t="shared" si="5"/>
        <v/>
      </c>
      <c r="M24" s="72" t="str">
        <f t="array" ref="M24">IF($AK24="","",INDEX(Com_Rate,MATCH(L24,Com_From,1)))</f>
        <v/>
      </c>
      <c r="N24" s="16" t="str">
        <f t="shared" si="6"/>
        <v/>
      </c>
      <c r="O24" s="16" t="str">
        <f t="array" ref="O24">IF($AK24="","",INDEX(Com_Bonus,MATCH(L24,Com_From,1)))</f>
        <v/>
      </c>
      <c r="P24" s="52" t="str">
        <f>IF($AK24="","",N('Dữ liệu tháng'!G23))</f>
        <v/>
      </c>
      <c r="Q24" s="16" t="str">
        <f>IF($AK24="","",P24*New_Cust_Bonus)</f>
        <v/>
      </c>
      <c r="R24" s="16" t="str">
        <f t="array" ref="R24">IF($AK24="","",ROUND(N(INDEX('Nhân viên'!$J$6:$J$45,$AK24))/G24*H24,0))</f>
        <v/>
      </c>
      <c r="S24" s="16" t="str">
        <f t="array" ref="S24">IF($AK24="","",N(INDEX('Nhân viên'!$K$6:$K$45,$AK24)))</f>
        <v/>
      </c>
      <c r="T24" s="16" t="str">
        <f>IF($AK24="","",N('Dữ liệu tháng'!H23))</f>
        <v/>
      </c>
      <c r="U24" s="78" t="str">
        <f t="shared" si="7"/>
        <v/>
      </c>
      <c r="V24" s="16" t="str">
        <f t="array" ref="V24">IF($AK24="","",IF(INDEX('Nhân viên'!$H$6:$H$45,$AK24)="Có",IF(N(INDEX('Nhân viên'!$I$6:$I$45,$AK24))&gt;0,INDEX('Nhân viên'!$I$6:$I$45,$AK24),F24),0))</f>
        <v/>
      </c>
      <c r="W24" s="16" t="str">
        <f>IF($AK24="","",ROUND(MIN(V24,Cap_BHXH)*BHXH_NV,0))</f>
        <v/>
      </c>
      <c r="X24" s="16" t="str">
        <f>IF($AK24="","",ROUND(MIN(V24,Cap_BHXH)*BHYT_NV,0))</f>
        <v/>
      </c>
      <c r="Y24" s="16" t="str">
        <f>IF($AK24="","",ROUND(MIN(V24,Cap_BHTN)*BHTN_NV,0))</f>
        <v/>
      </c>
      <c r="Z24" s="16" t="str">
        <f t="shared" si="8"/>
        <v/>
      </c>
      <c r="AA24" s="16" t="str">
        <f>IF($AK24="","",MIN(R24,Lunch_Cap))</f>
        <v/>
      </c>
      <c r="AB24" s="16" t="str">
        <f t="array" ref="AB24">IF($AK24="","",Self_Ded+N(INDEX('Nhân viên'!$L$6:$L$45,$AK24))*Dep_Ded)</f>
        <v/>
      </c>
      <c r="AC24" s="16" t="str">
        <f t="shared" si="9"/>
        <v/>
      </c>
      <c r="AD24" s="16" t="str">
        <f>IF($AK24="","",ROUND(SUMPRODUCT((AC24&gt;Tax_From)*(AC24-Tax_From)*Tax_Delta),0))</f>
        <v/>
      </c>
      <c r="AE24" s="16" t="str">
        <f>IF($AK24="","",N('Dữ liệu tháng'!I23))</f>
        <v/>
      </c>
      <c r="AF24" s="16" t="str">
        <f>IF($AK24="","",N('Dữ liệu tháng'!J23))</f>
        <v/>
      </c>
      <c r="AG24" s="78" t="str">
        <f t="shared" si="10"/>
        <v/>
      </c>
      <c r="AH24" s="16" t="str">
        <f>IF($AK24="","",ROUND(MIN(V24,Cap_BHXH)*(BHXH_DN+BHYT_DN)+MIN(V24,Cap_BHTN)*BHTN_DN,0))</f>
        <v/>
      </c>
      <c r="AI24" s="16" t="str">
        <f t="shared" si="11"/>
        <v/>
      </c>
      <c r="AJ24" s="22" t="str">
        <f>IF($B24="","",'Dữ liệu tháng'!K23&amp;"")</f>
        <v/>
      </c>
      <c r="AK24" s="91" t="str">
        <f>IF($B24="","",IFERROR(MATCH($B24,'Nhân viên'!$B$6:$B$45,0),""))</f>
        <v/>
      </c>
      <c r="AL24" s="91" t="str">
        <f t="shared" si="12"/>
        <v/>
      </c>
    </row>
    <row r="25" ht="19.5" customHeight="1">
      <c r="A25" s="52" t="str">
        <f t="shared" si="3"/>
        <v/>
      </c>
      <c r="B25" s="63" t="str">
        <f>IF('Dữ liệu tháng'!B24="","",'Dữ liệu tháng'!B24)</f>
        <v/>
      </c>
      <c r="C25" s="22" t="str">
        <f t="array" ref="C25">IF($B25="","",IF($AK25="","⚠ Mã NV không tồn tại",INDEX('Nhân viên'!$C$6:$C$45,$AK25)))</f>
        <v/>
      </c>
      <c r="D25" s="22" t="str">
        <f t="array" ref="D25">IF($AK25="","",INDEX('Nhân viên'!$D$6:$D$45,$AK25)&amp;"")</f>
        <v/>
      </c>
      <c r="E25" s="22" t="str">
        <f t="array" ref="E25">IF($AK25="","",INDEX('Nhân viên'!$E$6:$E$45,$AK25)&amp;"")</f>
        <v/>
      </c>
      <c r="F25" s="16" t="str">
        <f t="array" ref="F25">IF($AK25="","",N(INDEX('Nhân viên'!$G$6:$G$45,$AK25)))</f>
        <v/>
      </c>
      <c r="G25" s="52" t="str">
        <f>IF($AK25="","",Std_Days)</f>
        <v/>
      </c>
      <c r="H25" s="67" t="str">
        <f>IF($AK25="","",MIN(G25,N('Dữ liệu tháng'!D24)+N('Dữ liệu tháng'!E24)))</f>
        <v/>
      </c>
      <c r="I25" s="16" t="str">
        <f t="shared" si="4"/>
        <v/>
      </c>
      <c r="J25" s="16" t="str">
        <f t="array" ref="J25">IF($AK25="","",N(INDEX('Nhân viên'!$M$6:$M$45,$AK25)))</f>
        <v/>
      </c>
      <c r="K25" s="16" t="str">
        <f>IF($AK25="","",N('Dữ liệu tháng'!F24))</f>
        <v/>
      </c>
      <c r="L25" s="71" t="str">
        <f t="shared" si="5"/>
        <v/>
      </c>
      <c r="M25" s="72" t="str">
        <f t="array" ref="M25">IF($AK25="","",INDEX(Com_Rate,MATCH(L25,Com_From,1)))</f>
        <v/>
      </c>
      <c r="N25" s="16" t="str">
        <f t="shared" si="6"/>
        <v/>
      </c>
      <c r="O25" s="16" t="str">
        <f t="array" ref="O25">IF($AK25="","",INDEX(Com_Bonus,MATCH(L25,Com_From,1)))</f>
        <v/>
      </c>
      <c r="P25" s="52" t="str">
        <f>IF($AK25="","",N('Dữ liệu tháng'!G24))</f>
        <v/>
      </c>
      <c r="Q25" s="16" t="str">
        <f>IF($AK25="","",P25*New_Cust_Bonus)</f>
        <v/>
      </c>
      <c r="R25" s="16" t="str">
        <f t="array" ref="R25">IF($AK25="","",ROUND(N(INDEX('Nhân viên'!$J$6:$J$45,$AK25))/G25*H25,0))</f>
        <v/>
      </c>
      <c r="S25" s="16" t="str">
        <f t="array" ref="S25">IF($AK25="","",N(INDEX('Nhân viên'!$K$6:$K$45,$AK25)))</f>
        <v/>
      </c>
      <c r="T25" s="16" t="str">
        <f>IF($AK25="","",N('Dữ liệu tháng'!H24))</f>
        <v/>
      </c>
      <c r="U25" s="78" t="str">
        <f t="shared" si="7"/>
        <v/>
      </c>
      <c r="V25" s="16" t="str">
        <f t="array" ref="V25">IF($AK25="","",IF(INDEX('Nhân viên'!$H$6:$H$45,$AK25)="Có",IF(N(INDEX('Nhân viên'!$I$6:$I$45,$AK25))&gt;0,INDEX('Nhân viên'!$I$6:$I$45,$AK25),F25),0))</f>
        <v/>
      </c>
      <c r="W25" s="16" t="str">
        <f>IF($AK25="","",ROUND(MIN(V25,Cap_BHXH)*BHXH_NV,0))</f>
        <v/>
      </c>
      <c r="X25" s="16" t="str">
        <f>IF($AK25="","",ROUND(MIN(V25,Cap_BHXH)*BHYT_NV,0))</f>
        <v/>
      </c>
      <c r="Y25" s="16" t="str">
        <f>IF($AK25="","",ROUND(MIN(V25,Cap_BHTN)*BHTN_NV,0))</f>
        <v/>
      </c>
      <c r="Z25" s="16" t="str">
        <f t="shared" si="8"/>
        <v/>
      </c>
      <c r="AA25" s="16" t="str">
        <f>IF($AK25="","",MIN(R25,Lunch_Cap))</f>
        <v/>
      </c>
      <c r="AB25" s="16" t="str">
        <f t="array" ref="AB25">IF($AK25="","",Self_Ded+N(INDEX('Nhân viên'!$L$6:$L$45,$AK25))*Dep_Ded)</f>
        <v/>
      </c>
      <c r="AC25" s="16" t="str">
        <f t="shared" si="9"/>
        <v/>
      </c>
      <c r="AD25" s="16" t="str">
        <f>IF($AK25="","",ROUND(SUMPRODUCT((AC25&gt;Tax_From)*(AC25-Tax_From)*Tax_Delta),0))</f>
        <v/>
      </c>
      <c r="AE25" s="16" t="str">
        <f>IF($AK25="","",N('Dữ liệu tháng'!I24))</f>
        <v/>
      </c>
      <c r="AF25" s="16" t="str">
        <f>IF($AK25="","",N('Dữ liệu tháng'!J24))</f>
        <v/>
      </c>
      <c r="AG25" s="78" t="str">
        <f t="shared" si="10"/>
        <v/>
      </c>
      <c r="AH25" s="16" t="str">
        <f>IF($AK25="","",ROUND(MIN(V25,Cap_BHXH)*(BHXH_DN+BHYT_DN)+MIN(V25,Cap_BHTN)*BHTN_DN,0))</f>
        <v/>
      </c>
      <c r="AI25" s="16" t="str">
        <f t="shared" si="11"/>
        <v/>
      </c>
      <c r="AJ25" s="22" t="str">
        <f>IF($B25="","",'Dữ liệu tháng'!K24&amp;"")</f>
        <v/>
      </c>
      <c r="AK25" s="91" t="str">
        <f>IF($B25="","",IFERROR(MATCH($B25,'Nhân viên'!$B$6:$B$45,0),""))</f>
        <v/>
      </c>
      <c r="AL25" s="91" t="str">
        <f t="shared" si="12"/>
        <v/>
      </c>
    </row>
    <row r="26" ht="19.5" customHeight="1">
      <c r="A26" s="52" t="str">
        <f t="shared" si="3"/>
        <v/>
      </c>
      <c r="B26" s="63" t="str">
        <f>IF('Dữ liệu tháng'!B25="","",'Dữ liệu tháng'!B25)</f>
        <v/>
      </c>
      <c r="C26" s="22" t="str">
        <f t="array" ref="C26">IF($B26="","",IF($AK26="","⚠ Mã NV không tồn tại",INDEX('Nhân viên'!$C$6:$C$45,$AK26)))</f>
        <v/>
      </c>
      <c r="D26" s="22" t="str">
        <f t="array" ref="D26">IF($AK26="","",INDEX('Nhân viên'!$D$6:$D$45,$AK26)&amp;"")</f>
        <v/>
      </c>
      <c r="E26" s="22" t="str">
        <f t="array" ref="E26">IF($AK26="","",INDEX('Nhân viên'!$E$6:$E$45,$AK26)&amp;"")</f>
        <v/>
      </c>
      <c r="F26" s="16" t="str">
        <f t="array" ref="F26">IF($AK26="","",N(INDEX('Nhân viên'!$G$6:$G$45,$AK26)))</f>
        <v/>
      </c>
      <c r="G26" s="52" t="str">
        <f>IF($AK26="","",Std_Days)</f>
        <v/>
      </c>
      <c r="H26" s="67" t="str">
        <f>IF($AK26="","",MIN(G26,N('Dữ liệu tháng'!D25)+N('Dữ liệu tháng'!E25)))</f>
        <v/>
      </c>
      <c r="I26" s="16" t="str">
        <f t="shared" si="4"/>
        <v/>
      </c>
      <c r="J26" s="16" t="str">
        <f t="array" ref="J26">IF($AK26="","",N(INDEX('Nhân viên'!$M$6:$M$45,$AK26)))</f>
        <v/>
      </c>
      <c r="K26" s="16" t="str">
        <f>IF($AK26="","",N('Dữ liệu tháng'!F25))</f>
        <v/>
      </c>
      <c r="L26" s="71" t="str">
        <f t="shared" si="5"/>
        <v/>
      </c>
      <c r="M26" s="72" t="str">
        <f t="array" ref="M26">IF($AK26="","",INDEX(Com_Rate,MATCH(L26,Com_From,1)))</f>
        <v/>
      </c>
      <c r="N26" s="16" t="str">
        <f t="shared" si="6"/>
        <v/>
      </c>
      <c r="O26" s="16" t="str">
        <f t="array" ref="O26">IF($AK26="","",INDEX(Com_Bonus,MATCH(L26,Com_From,1)))</f>
        <v/>
      </c>
      <c r="P26" s="52" t="str">
        <f>IF($AK26="","",N('Dữ liệu tháng'!G25))</f>
        <v/>
      </c>
      <c r="Q26" s="16" t="str">
        <f>IF($AK26="","",P26*New_Cust_Bonus)</f>
        <v/>
      </c>
      <c r="R26" s="16" t="str">
        <f t="array" ref="R26">IF($AK26="","",ROUND(N(INDEX('Nhân viên'!$J$6:$J$45,$AK26))/G26*H26,0))</f>
        <v/>
      </c>
      <c r="S26" s="16" t="str">
        <f t="array" ref="S26">IF($AK26="","",N(INDEX('Nhân viên'!$K$6:$K$45,$AK26)))</f>
        <v/>
      </c>
      <c r="T26" s="16" t="str">
        <f>IF($AK26="","",N('Dữ liệu tháng'!H25))</f>
        <v/>
      </c>
      <c r="U26" s="78" t="str">
        <f t="shared" si="7"/>
        <v/>
      </c>
      <c r="V26" s="16" t="str">
        <f t="array" ref="V26">IF($AK26="","",IF(INDEX('Nhân viên'!$H$6:$H$45,$AK26)="Có",IF(N(INDEX('Nhân viên'!$I$6:$I$45,$AK26))&gt;0,INDEX('Nhân viên'!$I$6:$I$45,$AK26),F26),0))</f>
        <v/>
      </c>
      <c r="W26" s="16" t="str">
        <f>IF($AK26="","",ROUND(MIN(V26,Cap_BHXH)*BHXH_NV,0))</f>
        <v/>
      </c>
      <c r="X26" s="16" t="str">
        <f>IF($AK26="","",ROUND(MIN(V26,Cap_BHXH)*BHYT_NV,0))</f>
        <v/>
      </c>
      <c r="Y26" s="16" t="str">
        <f>IF($AK26="","",ROUND(MIN(V26,Cap_BHTN)*BHTN_NV,0))</f>
        <v/>
      </c>
      <c r="Z26" s="16" t="str">
        <f t="shared" si="8"/>
        <v/>
      </c>
      <c r="AA26" s="16" t="str">
        <f>IF($AK26="","",MIN(R26,Lunch_Cap))</f>
        <v/>
      </c>
      <c r="AB26" s="16" t="str">
        <f t="array" ref="AB26">IF($AK26="","",Self_Ded+N(INDEX('Nhân viên'!$L$6:$L$45,$AK26))*Dep_Ded)</f>
        <v/>
      </c>
      <c r="AC26" s="16" t="str">
        <f t="shared" si="9"/>
        <v/>
      </c>
      <c r="AD26" s="16" t="str">
        <f>IF($AK26="","",ROUND(SUMPRODUCT((AC26&gt;Tax_From)*(AC26-Tax_From)*Tax_Delta),0))</f>
        <v/>
      </c>
      <c r="AE26" s="16" t="str">
        <f>IF($AK26="","",N('Dữ liệu tháng'!I25))</f>
        <v/>
      </c>
      <c r="AF26" s="16" t="str">
        <f>IF($AK26="","",N('Dữ liệu tháng'!J25))</f>
        <v/>
      </c>
      <c r="AG26" s="78" t="str">
        <f t="shared" si="10"/>
        <v/>
      </c>
      <c r="AH26" s="16" t="str">
        <f>IF($AK26="","",ROUND(MIN(V26,Cap_BHXH)*(BHXH_DN+BHYT_DN)+MIN(V26,Cap_BHTN)*BHTN_DN,0))</f>
        <v/>
      </c>
      <c r="AI26" s="16" t="str">
        <f t="shared" si="11"/>
        <v/>
      </c>
      <c r="AJ26" s="22" t="str">
        <f>IF($B26="","",'Dữ liệu tháng'!K25&amp;"")</f>
        <v/>
      </c>
      <c r="AK26" s="91" t="str">
        <f>IF($B26="","",IFERROR(MATCH($B26,'Nhân viên'!$B$6:$B$45,0),""))</f>
        <v/>
      </c>
      <c r="AL26" s="91" t="str">
        <f t="shared" si="12"/>
        <v/>
      </c>
    </row>
    <row r="27" ht="19.5" customHeight="1">
      <c r="A27" s="52" t="str">
        <f t="shared" si="3"/>
        <v/>
      </c>
      <c r="B27" s="63" t="str">
        <f>IF('Dữ liệu tháng'!B26="","",'Dữ liệu tháng'!B26)</f>
        <v/>
      </c>
      <c r="C27" s="22" t="str">
        <f t="array" ref="C27">IF($B27="","",IF($AK27="","⚠ Mã NV không tồn tại",INDEX('Nhân viên'!$C$6:$C$45,$AK27)))</f>
        <v/>
      </c>
      <c r="D27" s="22" t="str">
        <f t="array" ref="D27">IF($AK27="","",INDEX('Nhân viên'!$D$6:$D$45,$AK27)&amp;"")</f>
        <v/>
      </c>
      <c r="E27" s="22" t="str">
        <f t="array" ref="E27">IF($AK27="","",INDEX('Nhân viên'!$E$6:$E$45,$AK27)&amp;"")</f>
        <v/>
      </c>
      <c r="F27" s="16" t="str">
        <f t="array" ref="F27">IF($AK27="","",N(INDEX('Nhân viên'!$G$6:$G$45,$AK27)))</f>
        <v/>
      </c>
      <c r="G27" s="52" t="str">
        <f>IF($AK27="","",Std_Days)</f>
        <v/>
      </c>
      <c r="H27" s="67" t="str">
        <f>IF($AK27="","",MIN(G27,N('Dữ liệu tháng'!D26)+N('Dữ liệu tháng'!E26)))</f>
        <v/>
      </c>
      <c r="I27" s="16" t="str">
        <f t="shared" si="4"/>
        <v/>
      </c>
      <c r="J27" s="16" t="str">
        <f t="array" ref="J27">IF($AK27="","",N(INDEX('Nhân viên'!$M$6:$M$45,$AK27)))</f>
        <v/>
      </c>
      <c r="K27" s="16" t="str">
        <f>IF($AK27="","",N('Dữ liệu tháng'!F26))</f>
        <v/>
      </c>
      <c r="L27" s="71" t="str">
        <f t="shared" si="5"/>
        <v/>
      </c>
      <c r="M27" s="72" t="str">
        <f t="array" ref="M27">IF($AK27="","",INDEX(Com_Rate,MATCH(L27,Com_From,1)))</f>
        <v/>
      </c>
      <c r="N27" s="16" t="str">
        <f t="shared" si="6"/>
        <v/>
      </c>
      <c r="O27" s="16" t="str">
        <f t="array" ref="O27">IF($AK27="","",INDEX(Com_Bonus,MATCH(L27,Com_From,1)))</f>
        <v/>
      </c>
      <c r="P27" s="52" t="str">
        <f>IF($AK27="","",N('Dữ liệu tháng'!G26))</f>
        <v/>
      </c>
      <c r="Q27" s="16" t="str">
        <f>IF($AK27="","",P27*New_Cust_Bonus)</f>
        <v/>
      </c>
      <c r="R27" s="16" t="str">
        <f t="array" ref="R27">IF($AK27="","",ROUND(N(INDEX('Nhân viên'!$J$6:$J$45,$AK27))/G27*H27,0))</f>
        <v/>
      </c>
      <c r="S27" s="16" t="str">
        <f t="array" ref="S27">IF($AK27="","",N(INDEX('Nhân viên'!$K$6:$K$45,$AK27)))</f>
        <v/>
      </c>
      <c r="T27" s="16" t="str">
        <f>IF($AK27="","",N('Dữ liệu tháng'!H26))</f>
        <v/>
      </c>
      <c r="U27" s="78" t="str">
        <f t="shared" si="7"/>
        <v/>
      </c>
      <c r="V27" s="16" t="str">
        <f t="array" ref="V27">IF($AK27="","",IF(INDEX('Nhân viên'!$H$6:$H$45,$AK27)="Có",IF(N(INDEX('Nhân viên'!$I$6:$I$45,$AK27))&gt;0,INDEX('Nhân viên'!$I$6:$I$45,$AK27),F27),0))</f>
        <v/>
      </c>
      <c r="W27" s="16" t="str">
        <f>IF($AK27="","",ROUND(MIN(V27,Cap_BHXH)*BHXH_NV,0))</f>
        <v/>
      </c>
      <c r="X27" s="16" t="str">
        <f>IF($AK27="","",ROUND(MIN(V27,Cap_BHXH)*BHYT_NV,0))</f>
        <v/>
      </c>
      <c r="Y27" s="16" t="str">
        <f>IF($AK27="","",ROUND(MIN(V27,Cap_BHTN)*BHTN_NV,0))</f>
        <v/>
      </c>
      <c r="Z27" s="16" t="str">
        <f t="shared" si="8"/>
        <v/>
      </c>
      <c r="AA27" s="16" t="str">
        <f>IF($AK27="","",MIN(R27,Lunch_Cap))</f>
        <v/>
      </c>
      <c r="AB27" s="16" t="str">
        <f t="array" ref="AB27">IF($AK27="","",Self_Ded+N(INDEX('Nhân viên'!$L$6:$L$45,$AK27))*Dep_Ded)</f>
        <v/>
      </c>
      <c r="AC27" s="16" t="str">
        <f t="shared" si="9"/>
        <v/>
      </c>
      <c r="AD27" s="16" t="str">
        <f>IF($AK27="","",ROUND(SUMPRODUCT((AC27&gt;Tax_From)*(AC27-Tax_From)*Tax_Delta),0))</f>
        <v/>
      </c>
      <c r="AE27" s="16" t="str">
        <f>IF($AK27="","",N('Dữ liệu tháng'!I26))</f>
        <v/>
      </c>
      <c r="AF27" s="16" t="str">
        <f>IF($AK27="","",N('Dữ liệu tháng'!J26))</f>
        <v/>
      </c>
      <c r="AG27" s="78" t="str">
        <f t="shared" si="10"/>
        <v/>
      </c>
      <c r="AH27" s="16" t="str">
        <f>IF($AK27="","",ROUND(MIN(V27,Cap_BHXH)*(BHXH_DN+BHYT_DN)+MIN(V27,Cap_BHTN)*BHTN_DN,0))</f>
        <v/>
      </c>
      <c r="AI27" s="16" t="str">
        <f t="shared" si="11"/>
        <v/>
      </c>
      <c r="AJ27" s="22" t="str">
        <f>IF($B27="","",'Dữ liệu tháng'!K26&amp;"")</f>
        <v/>
      </c>
      <c r="AK27" s="91" t="str">
        <f>IF($B27="","",IFERROR(MATCH($B27,'Nhân viên'!$B$6:$B$45,0),""))</f>
        <v/>
      </c>
      <c r="AL27" s="91" t="str">
        <f t="shared" si="12"/>
        <v/>
      </c>
    </row>
    <row r="28" ht="19.5" customHeight="1">
      <c r="A28" s="52" t="str">
        <f t="shared" si="3"/>
        <v/>
      </c>
      <c r="B28" s="63" t="str">
        <f>IF('Dữ liệu tháng'!B27="","",'Dữ liệu tháng'!B27)</f>
        <v/>
      </c>
      <c r="C28" s="22" t="str">
        <f t="array" ref="C28">IF($B28="","",IF($AK28="","⚠ Mã NV không tồn tại",INDEX('Nhân viên'!$C$6:$C$45,$AK28)))</f>
        <v/>
      </c>
      <c r="D28" s="22" t="str">
        <f t="array" ref="D28">IF($AK28="","",INDEX('Nhân viên'!$D$6:$D$45,$AK28)&amp;"")</f>
        <v/>
      </c>
      <c r="E28" s="22" t="str">
        <f t="array" ref="E28">IF($AK28="","",INDEX('Nhân viên'!$E$6:$E$45,$AK28)&amp;"")</f>
        <v/>
      </c>
      <c r="F28" s="16" t="str">
        <f t="array" ref="F28">IF($AK28="","",N(INDEX('Nhân viên'!$G$6:$G$45,$AK28)))</f>
        <v/>
      </c>
      <c r="G28" s="52" t="str">
        <f>IF($AK28="","",Std_Days)</f>
        <v/>
      </c>
      <c r="H28" s="67" t="str">
        <f>IF($AK28="","",MIN(G28,N('Dữ liệu tháng'!D27)+N('Dữ liệu tháng'!E27)))</f>
        <v/>
      </c>
      <c r="I28" s="16" t="str">
        <f t="shared" si="4"/>
        <v/>
      </c>
      <c r="J28" s="16" t="str">
        <f t="array" ref="J28">IF($AK28="","",N(INDEX('Nhân viên'!$M$6:$M$45,$AK28)))</f>
        <v/>
      </c>
      <c r="K28" s="16" t="str">
        <f>IF($AK28="","",N('Dữ liệu tháng'!F27))</f>
        <v/>
      </c>
      <c r="L28" s="71" t="str">
        <f t="shared" si="5"/>
        <v/>
      </c>
      <c r="M28" s="72" t="str">
        <f t="array" ref="M28">IF($AK28="","",INDEX(Com_Rate,MATCH(L28,Com_From,1)))</f>
        <v/>
      </c>
      <c r="N28" s="16" t="str">
        <f t="shared" si="6"/>
        <v/>
      </c>
      <c r="O28" s="16" t="str">
        <f t="array" ref="O28">IF($AK28="","",INDEX(Com_Bonus,MATCH(L28,Com_From,1)))</f>
        <v/>
      </c>
      <c r="P28" s="52" t="str">
        <f>IF($AK28="","",N('Dữ liệu tháng'!G27))</f>
        <v/>
      </c>
      <c r="Q28" s="16" t="str">
        <f>IF($AK28="","",P28*New_Cust_Bonus)</f>
        <v/>
      </c>
      <c r="R28" s="16" t="str">
        <f t="array" ref="R28">IF($AK28="","",ROUND(N(INDEX('Nhân viên'!$J$6:$J$45,$AK28))/G28*H28,0))</f>
        <v/>
      </c>
      <c r="S28" s="16" t="str">
        <f t="array" ref="S28">IF($AK28="","",N(INDEX('Nhân viên'!$K$6:$K$45,$AK28)))</f>
        <v/>
      </c>
      <c r="T28" s="16" t="str">
        <f>IF($AK28="","",N('Dữ liệu tháng'!H27))</f>
        <v/>
      </c>
      <c r="U28" s="78" t="str">
        <f t="shared" si="7"/>
        <v/>
      </c>
      <c r="V28" s="16" t="str">
        <f t="array" ref="V28">IF($AK28="","",IF(INDEX('Nhân viên'!$H$6:$H$45,$AK28)="Có",IF(N(INDEX('Nhân viên'!$I$6:$I$45,$AK28))&gt;0,INDEX('Nhân viên'!$I$6:$I$45,$AK28),F28),0))</f>
        <v/>
      </c>
      <c r="W28" s="16" t="str">
        <f>IF($AK28="","",ROUND(MIN(V28,Cap_BHXH)*BHXH_NV,0))</f>
        <v/>
      </c>
      <c r="X28" s="16" t="str">
        <f>IF($AK28="","",ROUND(MIN(V28,Cap_BHXH)*BHYT_NV,0))</f>
        <v/>
      </c>
      <c r="Y28" s="16" t="str">
        <f>IF($AK28="","",ROUND(MIN(V28,Cap_BHTN)*BHTN_NV,0))</f>
        <v/>
      </c>
      <c r="Z28" s="16" t="str">
        <f t="shared" si="8"/>
        <v/>
      </c>
      <c r="AA28" s="16" t="str">
        <f>IF($AK28="","",MIN(R28,Lunch_Cap))</f>
        <v/>
      </c>
      <c r="AB28" s="16" t="str">
        <f t="array" ref="AB28">IF($AK28="","",Self_Ded+N(INDEX('Nhân viên'!$L$6:$L$45,$AK28))*Dep_Ded)</f>
        <v/>
      </c>
      <c r="AC28" s="16" t="str">
        <f t="shared" si="9"/>
        <v/>
      </c>
      <c r="AD28" s="16" t="str">
        <f>IF($AK28="","",ROUND(SUMPRODUCT((AC28&gt;Tax_From)*(AC28-Tax_From)*Tax_Delta),0))</f>
        <v/>
      </c>
      <c r="AE28" s="16" t="str">
        <f>IF($AK28="","",N('Dữ liệu tháng'!I27))</f>
        <v/>
      </c>
      <c r="AF28" s="16" t="str">
        <f>IF($AK28="","",N('Dữ liệu tháng'!J27))</f>
        <v/>
      </c>
      <c r="AG28" s="78" t="str">
        <f t="shared" si="10"/>
        <v/>
      </c>
      <c r="AH28" s="16" t="str">
        <f>IF($AK28="","",ROUND(MIN(V28,Cap_BHXH)*(BHXH_DN+BHYT_DN)+MIN(V28,Cap_BHTN)*BHTN_DN,0))</f>
        <v/>
      </c>
      <c r="AI28" s="16" t="str">
        <f t="shared" si="11"/>
        <v/>
      </c>
      <c r="AJ28" s="22" t="str">
        <f>IF($B28="","",'Dữ liệu tháng'!K27&amp;"")</f>
        <v/>
      </c>
      <c r="AK28" s="91" t="str">
        <f>IF($B28="","",IFERROR(MATCH($B28,'Nhân viên'!$B$6:$B$45,0),""))</f>
        <v/>
      </c>
      <c r="AL28" s="91" t="str">
        <f t="shared" si="12"/>
        <v/>
      </c>
    </row>
    <row r="29" ht="19.5" customHeight="1">
      <c r="A29" s="52" t="str">
        <f t="shared" si="3"/>
        <v/>
      </c>
      <c r="B29" s="63" t="str">
        <f>IF('Dữ liệu tháng'!B28="","",'Dữ liệu tháng'!B28)</f>
        <v/>
      </c>
      <c r="C29" s="22" t="str">
        <f t="array" ref="C29">IF($B29="","",IF($AK29="","⚠ Mã NV không tồn tại",INDEX('Nhân viên'!$C$6:$C$45,$AK29)))</f>
        <v/>
      </c>
      <c r="D29" s="22" t="str">
        <f t="array" ref="D29">IF($AK29="","",INDEX('Nhân viên'!$D$6:$D$45,$AK29)&amp;"")</f>
        <v/>
      </c>
      <c r="E29" s="22" t="str">
        <f t="array" ref="E29">IF($AK29="","",INDEX('Nhân viên'!$E$6:$E$45,$AK29)&amp;"")</f>
        <v/>
      </c>
      <c r="F29" s="16" t="str">
        <f t="array" ref="F29">IF($AK29="","",N(INDEX('Nhân viên'!$G$6:$G$45,$AK29)))</f>
        <v/>
      </c>
      <c r="G29" s="52" t="str">
        <f>IF($AK29="","",Std_Days)</f>
        <v/>
      </c>
      <c r="H29" s="67" t="str">
        <f>IF($AK29="","",MIN(G29,N('Dữ liệu tháng'!D28)+N('Dữ liệu tháng'!E28)))</f>
        <v/>
      </c>
      <c r="I29" s="16" t="str">
        <f t="shared" si="4"/>
        <v/>
      </c>
      <c r="J29" s="16" t="str">
        <f t="array" ref="J29">IF($AK29="","",N(INDEX('Nhân viên'!$M$6:$M$45,$AK29)))</f>
        <v/>
      </c>
      <c r="K29" s="16" t="str">
        <f>IF($AK29="","",N('Dữ liệu tháng'!F28))</f>
        <v/>
      </c>
      <c r="L29" s="71" t="str">
        <f t="shared" si="5"/>
        <v/>
      </c>
      <c r="M29" s="72" t="str">
        <f t="array" ref="M29">IF($AK29="","",INDEX(Com_Rate,MATCH(L29,Com_From,1)))</f>
        <v/>
      </c>
      <c r="N29" s="16" t="str">
        <f t="shared" si="6"/>
        <v/>
      </c>
      <c r="O29" s="16" t="str">
        <f t="array" ref="O29">IF($AK29="","",INDEX(Com_Bonus,MATCH(L29,Com_From,1)))</f>
        <v/>
      </c>
      <c r="P29" s="52" t="str">
        <f>IF($AK29="","",N('Dữ liệu tháng'!G28))</f>
        <v/>
      </c>
      <c r="Q29" s="16" t="str">
        <f>IF($AK29="","",P29*New_Cust_Bonus)</f>
        <v/>
      </c>
      <c r="R29" s="16" t="str">
        <f t="array" ref="R29">IF($AK29="","",ROUND(N(INDEX('Nhân viên'!$J$6:$J$45,$AK29))/G29*H29,0))</f>
        <v/>
      </c>
      <c r="S29" s="16" t="str">
        <f t="array" ref="S29">IF($AK29="","",N(INDEX('Nhân viên'!$K$6:$K$45,$AK29)))</f>
        <v/>
      </c>
      <c r="T29" s="16" t="str">
        <f>IF($AK29="","",N('Dữ liệu tháng'!H28))</f>
        <v/>
      </c>
      <c r="U29" s="78" t="str">
        <f t="shared" si="7"/>
        <v/>
      </c>
      <c r="V29" s="16" t="str">
        <f t="array" ref="V29">IF($AK29="","",IF(INDEX('Nhân viên'!$H$6:$H$45,$AK29)="Có",IF(N(INDEX('Nhân viên'!$I$6:$I$45,$AK29))&gt;0,INDEX('Nhân viên'!$I$6:$I$45,$AK29),F29),0))</f>
        <v/>
      </c>
      <c r="W29" s="16" t="str">
        <f>IF($AK29="","",ROUND(MIN(V29,Cap_BHXH)*BHXH_NV,0))</f>
        <v/>
      </c>
      <c r="X29" s="16" t="str">
        <f>IF($AK29="","",ROUND(MIN(V29,Cap_BHXH)*BHYT_NV,0))</f>
        <v/>
      </c>
      <c r="Y29" s="16" t="str">
        <f>IF($AK29="","",ROUND(MIN(V29,Cap_BHTN)*BHTN_NV,0))</f>
        <v/>
      </c>
      <c r="Z29" s="16" t="str">
        <f t="shared" si="8"/>
        <v/>
      </c>
      <c r="AA29" s="16" t="str">
        <f>IF($AK29="","",MIN(R29,Lunch_Cap))</f>
        <v/>
      </c>
      <c r="AB29" s="16" t="str">
        <f t="array" ref="AB29">IF($AK29="","",Self_Ded+N(INDEX('Nhân viên'!$L$6:$L$45,$AK29))*Dep_Ded)</f>
        <v/>
      </c>
      <c r="AC29" s="16" t="str">
        <f t="shared" si="9"/>
        <v/>
      </c>
      <c r="AD29" s="16" t="str">
        <f>IF($AK29="","",ROUND(SUMPRODUCT((AC29&gt;Tax_From)*(AC29-Tax_From)*Tax_Delta),0))</f>
        <v/>
      </c>
      <c r="AE29" s="16" t="str">
        <f>IF($AK29="","",N('Dữ liệu tháng'!I28))</f>
        <v/>
      </c>
      <c r="AF29" s="16" t="str">
        <f>IF($AK29="","",N('Dữ liệu tháng'!J28))</f>
        <v/>
      </c>
      <c r="AG29" s="78" t="str">
        <f t="shared" si="10"/>
        <v/>
      </c>
      <c r="AH29" s="16" t="str">
        <f>IF($AK29="","",ROUND(MIN(V29,Cap_BHXH)*(BHXH_DN+BHYT_DN)+MIN(V29,Cap_BHTN)*BHTN_DN,0))</f>
        <v/>
      </c>
      <c r="AI29" s="16" t="str">
        <f t="shared" si="11"/>
        <v/>
      </c>
      <c r="AJ29" s="22" t="str">
        <f>IF($B29="","",'Dữ liệu tháng'!K28&amp;"")</f>
        <v/>
      </c>
      <c r="AK29" s="91" t="str">
        <f>IF($B29="","",IFERROR(MATCH($B29,'Nhân viên'!$B$6:$B$45,0),""))</f>
        <v/>
      </c>
      <c r="AL29" s="91" t="str">
        <f t="shared" si="12"/>
        <v/>
      </c>
    </row>
    <row r="30" ht="19.5" customHeight="1">
      <c r="A30" s="52" t="str">
        <f t="shared" si="3"/>
        <v/>
      </c>
      <c r="B30" s="63" t="str">
        <f>IF('Dữ liệu tháng'!B29="","",'Dữ liệu tháng'!B29)</f>
        <v/>
      </c>
      <c r="C30" s="22" t="str">
        <f t="array" ref="C30">IF($B30="","",IF($AK30="","⚠ Mã NV không tồn tại",INDEX('Nhân viên'!$C$6:$C$45,$AK30)))</f>
        <v/>
      </c>
      <c r="D30" s="22" t="str">
        <f t="array" ref="D30">IF($AK30="","",INDEX('Nhân viên'!$D$6:$D$45,$AK30)&amp;"")</f>
        <v/>
      </c>
      <c r="E30" s="22" t="str">
        <f t="array" ref="E30">IF($AK30="","",INDEX('Nhân viên'!$E$6:$E$45,$AK30)&amp;"")</f>
        <v/>
      </c>
      <c r="F30" s="16" t="str">
        <f t="array" ref="F30">IF($AK30="","",N(INDEX('Nhân viên'!$G$6:$G$45,$AK30)))</f>
        <v/>
      </c>
      <c r="G30" s="52" t="str">
        <f>IF($AK30="","",Std_Days)</f>
        <v/>
      </c>
      <c r="H30" s="67" t="str">
        <f>IF($AK30="","",MIN(G30,N('Dữ liệu tháng'!D29)+N('Dữ liệu tháng'!E29)))</f>
        <v/>
      </c>
      <c r="I30" s="16" t="str">
        <f t="shared" si="4"/>
        <v/>
      </c>
      <c r="J30" s="16" t="str">
        <f t="array" ref="J30">IF($AK30="","",N(INDEX('Nhân viên'!$M$6:$M$45,$AK30)))</f>
        <v/>
      </c>
      <c r="K30" s="16" t="str">
        <f>IF($AK30="","",N('Dữ liệu tháng'!F29))</f>
        <v/>
      </c>
      <c r="L30" s="71" t="str">
        <f t="shared" si="5"/>
        <v/>
      </c>
      <c r="M30" s="72" t="str">
        <f t="array" ref="M30">IF($AK30="","",INDEX(Com_Rate,MATCH(L30,Com_From,1)))</f>
        <v/>
      </c>
      <c r="N30" s="16" t="str">
        <f t="shared" si="6"/>
        <v/>
      </c>
      <c r="O30" s="16" t="str">
        <f t="array" ref="O30">IF($AK30="","",INDEX(Com_Bonus,MATCH(L30,Com_From,1)))</f>
        <v/>
      </c>
      <c r="P30" s="52" t="str">
        <f>IF($AK30="","",N('Dữ liệu tháng'!G29))</f>
        <v/>
      </c>
      <c r="Q30" s="16" t="str">
        <f>IF($AK30="","",P30*New_Cust_Bonus)</f>
        <v/>
      </c>
      <c r="R30" s="16" t="str">
        <f t="array" ref="R30">IF($AK30="","",ROUND(N(INDEX('Nhân viên'!$J$6:$J$45,$AK30))/G30*H30,0))</f>
        <v/>
      </c>
      <c r="S30" s="16" t="str">
        <f t="array" ref="S30">IF($AK30="","",N(INDEX('Nhân viên'!$K$6:$K$45,$AK30)))</f>
        <v/>
      </c>
      <c r="T30" s="16" t="str">
        <f>IF($AK30="","",N('Dữ liệu tháng'!H29))</f>
        <v/>
      </c>
      <c r="U30" s="78" t="str">
        <f t="shared" si="7"/>
        <v/>
      </c>
      <c r="V30" s="16" t="str">
        <f t="array" ref="V30">IF($AK30="","",IF(INDEX('Nhân viên'!$H$6:$H$45,$AK30)="Có",IF(N(INDEX('Nhân viên'!$I$6:$I$45,$AK30))&gt;0,INDEX('Nhân viên'!$I$6:$I$45,$AK30),F30),0))</f>
        <v/>
      </c>
      <c r="W30" s="16" t="str">
        <f>IF($AK30="","",ROUND(MIN(V30,Cap_BHXH)*BHXH_NV,0))</f>
        <v/>
      </c>
      <c r="X30" s="16" t="str">
        <f>IF($AK30="","",ROUND(MIN(V30,Cap_BHXH)*BHYT_NV,0))</f>
        <v/>
      </c>
      <c r="Y30" s="16" t="str">
        <f>IF($AK30="","",ROUND(MIN(V30,Cap_BHTN)*BHTN_NV,0))</f>
        <v/>
      </c>
      <c r="Z30" s="16" t="str">
        <f t="shared" si="8"/>
        <v/>
      </c>
      <c r="AA30" s="16" t="str">
        <f>IF($AK30="","",MIN(R30,Lunch_Cap))</f>
        <v/>
      </c>
      <c r="AB30" s="16" t="str">
        <f t="array" ref="AB30">IF($AK30="","",Self_Ded+N(INDEX('Nhân viên'!$L$6:$L$45,$AK30))*Dep_Ded)</f>
        <v/>
      </c>
      <c r="AC30" s="16" t="str">
        <f t="shared" si="9"/>
        <v/>
      </c>
      <c r="AD30" s="16" t="str">
        <f>IF($AK30="","",ROUND(SUMPRODUCT((AC30&gt;Tax_From)*(AC30-Tax_From)*Tax_Delta),0))</f>
        <v/>
      </c>
      <c r="AE30" s="16" t="str">
        <f>IF($AK30="","",N('Dữ liệu tháng'!I29))</f>
        <v/>
      </c>
      <c r="AF30" s="16" t="str">
        <f>IF($AK30="","",N('Dữ liệu tháng'!J29))</f>
        <v/>
      </c>
      <c r="AG30" s="78" t="str">
        <f t="shared" si="10"/>
        <v/>
      </c>
      <c r="AH30" s="16" t="str">
        <f>IF($AK30="","",ROUND(MIN(V30,Cap_BHXH)*(BHXH_DN+BHYT_DN)+MIN(V30,Cap_BHTN)*BHTN_DN,0))</f>
        <v/>
      </c>
      <c r="AI30" s="16" t="str">
        <f t="shared" si="11"/>
        <v/>
      </c>
      <c r="AJ30" s="22" t="str">
        <f>IF($B30="","",'Dữ liệu tháng'!K29&amp;"")</f>
        <v/>
      </c>
      <c r="AK30" s="91" t="str">
        <f>IF($B30="","",IFERROR(MATCH($B30,'Nhân viên'!$B$6:$B$45,0),""))</f>
        <v/>
      </c>
      <c r="AL30" s="91" t="str">
        <f t="shared" si="12"/>
        <v/>
      </c>
    </row>
    <row r="31" ht="19.5" customHeight="1">
      <c r="A31" s="52" t="str">
        <f t="shared" si="3"/>
        <v/>
      </c>
      <c r="B31" s="63" t="str">
        <f>IF('Dữ liệu tháng'!B30="","",'Dữ liệu tháng'!B30)</f>
        <v/>
      </c>
      <c r="C31" s="22" t="str">
        <f t="array" ref="C31">IF($B31="","",IF($AK31="","⚠ Mã NV không tồn tại",INDEX('Nhân viên'!$C$6:$C$45,$AK31)))</f>
        <v/>
      </c>
      <c r="D31" s="22" t="str">
        <f t="array" ref="D31">IF($AK31="","",INDEX('Nhân viên'!$D$6:$D$45,$AK31)&amp;"")</f>
        <v/>
      </c>
      <c r="E31" s="22" t="str">
        <f t="array" ref="E31">IF($AK31="","",INDEX('Nhân viên'!$E$6:$E$45,$AK31)&amp;"")</f>
        <v/>
      </c>
      <c r="F31" s="16" t="str">
        <f t="array" ref="F31">IF($AK31="","",N(INDEX('Nhân viên'!$G$6:$G$45,$AK31)))</f>
        <v/>
      </c>
      <c r="G31" s="52" t="str">
        <f>IF($AK31="","",Std_Days)</f>
        <v/>
      </c>
      <c r="H31" s="67" t="str">
        <f>IF($AK31="","",MIN(G31,N('Dữ liệu tháng'!D30)+N('Dữ liệu tháng'!E30)))</f>
        <v/>
      </c>
      <c r="I31" s="16" t="str">
        <f t="shared" si="4"/>
        <v/>
      </c>
      <c r="J31" s="16" t="str">
        <f t="array" ref="J31">IF($AK31="","",N(INDEX('Nhân viên'!$M$6:$M$45,$AK31)))</f>
        <v/>
      </c>
      <c r="K31" s="16" t="str">
        <f>IF($AK31="","",N('Dữ liệu tháng'!F30))</f>
        <v/>
      </c>
      <c r="L31" s="71" t="str">
        <f t="shared" si="5"/>
        <v/>
      </c>
      <c r="M31" s="72" t="str">
        <f t="array" ref="M31">IF($AK31="","",INDEX(Com_Rate,MATCH(L31,Com_From,1)))</f>
        <v/>
      </c>
      <c r="N31" s="16" t="str">
        <f t="shared" si="6"/>
        <v/>
      </c>
      <c r="O31" s="16" t="str">
        <f t="array" ref="O31">IF($AK31="","",INDEX(Com_Bonus,MATCH(L31,Com_From,1)))</f>
        <v/>
      </c>
      <c r="P31" s="52" t="str">
        <f>IF($AK31="","",N('Dữ liệu tháng'!G30))</f>
        <v/>
      </c>
      <c r="Q31" s="16" t="str">
        <f>IF($AK31="","",P31*New_Cust_Bonus)</f>
        <v/>
      </c>
      <c r="R31" s="16" t="str">
        <f t="array" ref="R31">IF($AK31="","",ROUND(N(INDEX('Nhân viên'!$J$6:$J$45,$AK31))/G31*H31,0))</f>
        <v/>
      </c>
      <c r="S31" s="16" t="str">
        <f t="array" ref="S31">IF($AK31="","",N(INDEX('Nhân viên'!$K$6:$K$45,$AK31)))</f>
        <v/>
      </c>
      <c r="T31" s="16" t="str">
        <f>IF($AK31="","",N('Dữ liệu tháng'!H30))</f>
        <v/>
      </c>
      <c r="U31" s="78" t="str">
        <f t="shared" si="7"/>
        <v/>
      </c>
      <c r="V31" s="16" t="str">
        <f t="array" ref="V31">IF($AK31="","",IF(INDEX('Nhân viên'!$H$6:$H$45,$AK31)="Có",IF(N(INDEX('Nhân viên'!$I$6:$I$45,$AK31))&gt;0,INDEX('Nhân viên'!$I$6:$I$45,$AK31),F31),0))</f>
        <v/>
      </c>
      <c r="W31" s="16" t="str">
        <f>IF($AK31="","",ROUND(MIN(V31,Cap_BHXH)*BHXH_NV,0))</f>
        <v/>
      </c>
      <c r="X31" s="16" t="str">
        <f>IF($AK31="","",ROUND(MIN(V31,Cap_BHXH)*BHYT_NV,0))</f>
        <v/>
      </c>
      <c r="Y31" s="16" t="str">
        <f>IF($AK31="","",ROUND(MIN(V31,Cap_BHTN)*BHTN_NV,0))</f>
        <v/>
      </c>
      <c r="Z31" s="16" t="str">
        <f t="shared" si="8"/>
        <v/>
      </c>
      <c r="AA31" s="16" t="str">
        <f>IF($AK31="","",MIN(R31,Lunch_Cap))</f>
        <v/>
      </c>
      <c r="AB31" s="16" t="str">
        <f t="array" ref="AB31">IF($AK31="","",Self_Ded+N(INDEX('Nhân viên'!$L$6:$L$45,$AK31))*Dep_Ded)</f>
        <v/>
      </c>
      <c r="AC31" s="16" t="str">
        <f t="shared" si="9"/>
        <v/>
      </c>
      <c r="AD31" s="16" t="str">
        <f>IF($AK31="","",ROUND(SUMPRODUCT((AC31&gt;Tax_From)*(AC31-Tax_From)*Tax_Delta),0))</f>
        <v/>
      </c>
      <c r="AE31" s="16" t="str">
        <f>IF($AK31="","",N('Dữ liệu tháng'!I30))</f>
        <v/>
      </c>
      <c r="AF31" s="16" t="str">
        <f>IF($AK31="","",N('Dữ liệu tháng'!J30))</f>
        <v/>
      </c>
      <c r="AG31" s="78" t="str">
        <f t="shared" si="10"/>
        <v/>
      </c>
      <c r="AH31" s="16" t="str">
        <f>IF($AK31="","",ROUND(MIN(V31,Cap_BHXH)*(BHXH_DN+BHYT_DN)+MIN(V31,Cap_BHTN)*BHTN_DN,0))</f>
        <v/>
      </c>
      <c r="AI31" s="16" t="str">
        <f t="shared" si="11"/>
        <v/>
      </c>
      <c r="AJ31" s="22" t="str">
        <f>IF($B31="","",'Dữ liệu tháng'!K30&amp;"")</f>
        <v/>
      </c>
      <c r="AK31" s="91" t="str">
        <f>IF($B31="","",IFERROR(MATCH($B31,'Nhân viên'!$B$6:$B$45,0),""))</f>
        <v/>
      </c>
      <c r="AL31" s="91" t="str">
        <f t="shared" si="12"/>
        <v/>
      </c>
    </row>
    <row r="32" ht="19.5" customHeight="1">
      <c r="A32" s="52" t="str">
        <f t="shared" si="3"/>
        <v/>
      </c>
      <c r="B32" s="63" t="str">
        <f>IF('Dữ liệu tháng'!B31="","",'Dữ liệu tháng'!B31)</f>
        <v/>
      </c>
      <c r="C32" s="22" t="str">
        <f t="array" ref="C32">IF($B32="","",IF($AK32="","⚠ Mã NV không tồn tại",INDEX('Nhân viên'!$C$6:$C$45,$AK32)))</f>
        <v/>
      </c>
      <c r="D32" s="22" t="str">
        <f t="array" ref="D32">IF($AK32="","",INDEX('Nhân viên'!$D$6:$D$45,$AK32)&amp;"")</f>
        <v/>
      </c>
      <c r="E32" s="22" t="str">
        <f t="array" ref="E32">IF($AK32="","",INDEX('Nhân viên'!$E$6:$E$45,$AK32)&amp;"")</f>
        <v/>
      </c>
      <c r="F32" s="16" t="str">
        <f t="array" ref="F32">IF($AK32="","",N(INDEX('Nhân viên'!$G$6:$G$45,$AK32)))</f>
        <v/>
      </c>
      <c r="G32" s="52" t="str">
        <f>IF($AK32="","",Std_Days)</f>
        <v/>
      </c>
      <c r="H32" s="67" t="str">
        <f>IF($AK32="","",MIN(G32,N('Dữ liệu tháng'!D31)+N('Dữ liệu tháng'!E31)))</f>
        <v/>
      </c>
      <c r="I32" s="16" t="str">
        <f t="shared" si="4"/>
        <v/>
      </c>
      <c r="J32" s="16" t="str">
        <f t="array" ref="J32">IF($AK32="","",N(INDEX('Nhân viên'!$M$6:$M$45,$AK32)))</f>
        <v/>
      </c>
      <c r="K32" s="16" t="str">
        <f>IF($AK32="","",N('Dữ liệu tháng'!F31))</f>
        <v/>
      </c>
      <c r="L32" s="71" t="str">
        <f t="shared" si="5"/>
        <v/>
      </c>
      <c r="M32" s="72" t="str">
        <f t="array" ref="M32">IF($AK32="","",INDEX(Com_Rate,MATCH(L32,Com_From,1)))</f>
        <v/>
      </c>
      <c r="N32" s="16" t="str">
        <f t="shared" si="6"/>
        <v/>
      </c>
      <c r="O32" s="16" t="str">
        <f t="array" ref="O32">IF($AK32="","",INDEX(Com_Bonus,MATCH(L32,Com_From,1)))</f>
        <v/>
      </c>
      <c r="P32" s="52" t="str">
        <f>IF($AK32="","",N('Dữ liệu tháng'!G31))</f>
        <v/>
      </c>
      <c r="Q32" s="16" t="str">
        <f>IF($AK32="","",P32*New_Cust_Bonus)</f>
        <v/>
      </c>
      <c r="R32" s="16" t="str">
        <f t="array" ref="R32">IF($AK32="","",ROUND(N(INDEX('Nhân viên'!$J$6:$J$45,$AK32))/G32*H32,0))</f>
        <v/>
      </c>
      <c r="S32" s="16" t="str">
        <f t="array" ref="S32">IF($AK32="","",N(INDEX('Nhân viên'!$K$6:$K$45,$AK32)))</f>
        <v/>
      </c>
      <c r="T32" s="16" t="str">
        <f>IF($AK32="","",N('Dữ liệu tháng'!H31))</f>
        <v/>
      </c>
      <c r="U32" s="78" t="str">
        <f t="shared" si="7"/>
        <v/>
      </c>
      <c r="V32" s="16" t="str">
        <f t="array" ref="V32">IF($AK32="","",IF(INDEX('Nhân viên'!$H$6:$H$45,$AK32)="Có",IF(N(INDEX('Nhân viên'!$I$6:$I$45,$AK32))&gt;0,INDEX('Nhân viên'!$I$6:$I$45,$AK32),F32),0))</f>
        <v/>
      </c>
      <c r="W32" s="16" t="str">
        <f>IF($AK32="","",ROUND(MIN(V32,Cap_BHXH)*BHXH_NV,0))</f>
        <v/>
      </c>
      <c r="X32" s="16" t="str">
        <f>IF($AK32="","",ROUND(MIN(V32,Cap_BHXH)*BHYT_NV,0))</f>
        <v/>
      </c>
      <c r="Y32" s="16" t="str">
        <f>IF($AK32="","",ROUND(MIN(V32,Cap_BHTN)*BHTN_NV,0))</f>
        <v/>
      </c>
      <c r="Z32" s="16" t="str">
        <f t="shared" si="8"/>
        <v/>
      </c>
      <c r="AA32" s="16" t="str">
        <f>IF($AK32="","",MIN(R32,Lunch_Cap))</f>
        <v/>
      </c>
      <c r="AB32" s="16" t="str">
        <f t="array" ref="AB32">IF($AK32="","",Self_Ded+N(INDEX('Nhân viên'!$L$6:$L$45,$AK32))*Dep_Ded)</f>
        <v/>
      </c>
      <c r="AC32" s="16" t="str">
        <f t="shared" si="9"/>
        <v/>
      </c>
      <c r="AD32" s="16" t="str">
        <f>IF($AK32="","",ROUND(SUMPRODUCT((AC32&gt;Tax_From)*(AC32-Tax_From)*Tax_Delta),0))</f>
        <v/>
      </c>
      <c r="AE32" s="16" t="str">
        <f>IF($AK32="","",N('Dữ liệu tháng'!I31))</f>
        <v/>
      </c>
      <c r="AF32" s="16" t="str">
        <f>IF($AK32="","",N('Dữ liệu tháng'!J31))</f>
        <v/>
      </c>
      <c r="AG32" s="78" t="str">
        <f t="shared" si="10"/>
        <v/>
      </c>
      <c r="AH32" s="16" t="str">
        <f>IF($AK32="","",ROUND(MIN(V32,Cap_BHXH)*(BHXH_DN+BHYT_DN)+MIN(V32,Cap_BHTN)*BHTN_DN,0))</f>
        <v/>
      </c>
      <c r="AI32" s="16" t="str">
        <f t="shared" si="11"/>
        <v/>
      </c>
      <c r="AJ32" s="22" t="str">
        <f>IF($B32="","",'Dữ liệu tháng'!K31&amp;"")</f>
        <v/>
      </c>
      <c r="AK32" s="91" t="str">
        <f>IF($B32="","",IFERROR(MATCH($B32,'Nhân viên'!$B$6:$B$45,0),""))</f>
        <v/>
      </c>
      <c r="AL32" s="91" t="str">
        <f t="shared" si="12"/>
        <v/>
      </c>
    </row>
    <row r="33" ht="19.5" customHeight="1">
      <c r="A33" s="52" t="str">
        <f t="shared" si="3"/>
        <v/>
      </c>
      <c r="B33" s="63" t="str">
        <f>IF('Dữ liệu tháng'!B32="","",'Dữ liệu tháng'!B32)</f>
        <v/>
      </c>
      <c r="C33" s="22" t="str">
        <f t="array" ref="C33">IF($B33="","",IF($AK33="","⚠ Mã NV không tồn tại",INDEX('Nhân viên'!$C$6:$C$45,$AK33)))</f>
        <v/>
      </c>
      <c r="D33" s="22" t="str">
        <f t="array" ref="D33">IF($AK33="","",INDEX('Nhân viên'!$D$6:$D$45,$AK33)&amp;"")</f>
        <v/>
      </c>
      <c r="E33" s="22" t="str">
        <f t="array" ref="E33">IF($AK33="","",INDEX('Nhân viên'!$E$6:$E$45,$AK33)&amp;"")</f>
        <v/>
      </c>
      <c r="F33" s="16" t="str">
        <f t="array" ref="F33">IF($AK33="","",N(INDEX('Nhân viên'!$G$6:$G$45,$AK33)))</f>
        <v/>
      </c>
      <c r="G33" s="52" t="str">
        <f>IF($AK33="","",Std_Days)</f>
        <v/>
      </c>
      <c r="H33" s="67" t="str">
        <f>IF($AK33="","",MIN(G33,N('Dữ liệu tháng'!D32)+N('Dữ liệu tháng'!E32)))</f>
        <v/>
      </c>
      <c r="I33" s="16" t="str">
        <f t="shared" si="4"/>
        <v/>
      </c>
      <c r="J33" s="16" t="str">
        <f t="array" ref="J33">IF($AK33="","",N(INDEX('Nhân viên'!$M$6:$M$45,$AK33)))</f>
        <v/>
      </c>
      <c r="K33" s="16" t="str">
        <f>IF($AK33="","",N('Dữ liệu tháng'!F32))</f>
        <v/>
      </c>
      <c r="L33" s="71" t="str">
        <f t="shared" si="5"/>
        <v/>
      </c>
      <c r="M33" s="72" t="str">
        <f t="array" ref="M33">IF($AK33="","",INDEX(Com_Rate,MATCH(L33,Com_From,1)))</f>
        <v/>
      </c>
      <c r="N33" s="16" t="str">
        <f t="shared" si="6"/>
        <v/>
      </c>
      <c r="O33" s="16" t="str">
        <f t="array" ref="O33">IF($AK33="","",INDEX(Com_Bonus,MATCH(L33,Com_From,1)))</f>
        <v/>
      </c>
      <c r="P33" s="52" t="str">
        <f>IF($AK33="","",N('Dữ liệu tháng'!G32))</f>
        <v/>
      </c>
      <c r="Q33" s="16" t="str">
        <f>IF($AK33="","",P33*New_Cust_Bonus)</f>
        <v/>
      </c>
      <c r="R33" s="16" t="str">
        <f t="array" ref="R33">IF($AK33="","",ROUND(N(INDEX('Nhân viên'!$J$6:$J$45,$AK33))/G33*H33,0))</f>
        <v/>
      </c>
      <c r="S33" s="16" t="str">
        <f t="array" ref="S33">IF($AK33="","",N(INDEX('Nhân viên'!$K$6:$K$45,$AK33)))</f>
        <v/>
      </c>
      <c r="T33" s="16" t="str">
        <f>IF($AK33="","",N('Dữ liệu tháng'!H32))</f>
        <v/>
      </c>
      <c r="U33" s="78" t="str">
        <f t="shared" si="7"/>
        <v/>
      </c>
      <c r="V33" s="16" t="str">
        <f t="array" ref="V33">IF($AK33="","",IF(INDEX('Nhân viên'!$H$6:$H$45,$AK33)="Có",IF(N(INDEX('Nhân viên'!$I$6:$I$45,$AK33))&gt;0,INDEX('Nhân viên'!$I$6:$I$45,$AK33),F33),0))</f>
        <v/>
      </c>
      <c r="W33" s="16" t="str">
        <f>IF($AK33="","",ROUND(MIN(V33,Cap_BHXH)*BHXH_NV,0))</f>
        <v/>
      </c>
      <c r="X33" s="16" t="str">
        <f>IF($AK33="","",ROUND(MIN(V33,Cap_BHXH)*BHYT_NV,0))</f>
        <v/>
      </c>
      <c r="Y33" s="16" t="str">
        <f>IF($AK33="","",ROUND(MIN(V33,Cap_BHTN)*BHTN_NV,0))</f>
        <v/>
      </c>
      <c r="Z33" s="16" t="str">
        <f t="shared" si="8"/>
        <v/>
      </c>
      <c r="AA33" s="16" t="str">
        <f>IF($AK33="","",MIN(R33,Lunch_Cap))</f>
        <v/>
      </c>
      <c r="AB33" s="16" t="str">
        <f t="array" ref="AB33">IF($AK33="","",Self_Ded+N(INDEX('Nhân viên'!$L$6:$L$45,$AK33))*Dep_Ded)</f>
        <v/>
      </c>
      <c r="AC33" s="16" t="str">
        <f t="shared" si="9"/>
        <v/>
      </c>
      <c r="AD33" s="16" t="str">
        <f>IF($AK33="","",ROUND(SUMPRODUCT((AC33&gt;Tax_From)*(AC33-Tax_From)*Tax_Delta),0))</f>
        <v/>
      </c>
      <c r="AE33" s="16" t="str">
        <f>IF($AK33="","",N('Dữ liệu tháng'!I32))</f>
        <v/>
      </c>
      <c r="AF33" s="16" t="str">
        <f>IF($AK33="","",N('Dữ liệu tháng'!J32))</f>
        <v/>
      </c>
      <c r="AG33" s="78" t="str">
        <f t="shared" si="10"/>
        <v/>
      </c>
      <c r="AH33" s="16" t="str">
        <f>IF($AK33="","",ROUND(MIN(V33,Cap_BHXH)*(BHXH_DN+BHYT_DN)+MIN(V33,Cap_BHTN)*BHTN_DN,0))</f>
        <v/>
      </c>
      <c r="AI33" s="16" t="str">
        <f t="shared" si="11"/>
        <v/>
      </c>
      <c r="AJ33" s="22" t="str">
        <f>IF($B33="","",'Dữ liệu tháng'!K32&amp;"")</f>
        <v/>
      </c>
      <c r="AK33" s="91" t="str">
        <f>IF($B33="","",IFERROR(MATCH($B33,'Nhân viên'!$B$6:$B$45,0),""))</f>
        <v/>
      </c>
      <c r="AL33" s="91" t="str">
        <f t="shared" si="12"/>
        <v/>
      </c>
    </row>
    <row r="34" ht="19.5" customHeight="1">
      <c r="A34" s="52" t="str">
        <f t="shared" si="3"/>
        <v/>
      </c>
      <c r="B34" s="63" t="str">
        <f>IF('Dữ liệu tháng'!B33="","",'Dữ liệu tháng'!B33)</f>
        <v/>
      </c>
      <c r="C34" s="22" t="str">
        <f t="array" ref="C34">IF($B34="","",IF($AK34="","⚠ Mã NV không tồn tại",INDEX('Nhân viên'!$C$6:$C$45,$AK34)))</f>
        <v/>
      </c>
      <c r="D34" s="22" t="str">
        <f t="array" ref="D34">IF($AK34="","",INDEX('Nhân viên'!$D$6:$D$45,$AK34)&amp;"")</f>
        <v/>
      </c>
      <c r="E34" s="22" t="str">
        <f t="array" ref="E34">IF($AK34="","",INDEX('Nhân viên'!$E$6:$E$45,$AK34)&amp;"")</f>
        <v/>
      </c>
      <c r="F34" s="16" t="str">
        <f t="array" ref="F34">IF($AK34="","",N(INDEX('Nhân viên'!$G$6:$G$45,$AK34)))</f>
        <v/>
      </c>
      <c r="G34" s="52" t="str">
        <f>IF($AK34="","",Std_Days)</f>
        <v/>
      </c>
      <c r="H34" s="67" t="str">
        <f>IF($AK34="","",MIN(G34,N('Dữ liệu tháng'!D33)+N('Dữ liệu tháng'!E33)))</f>
        <v/>
      </c>
      <c r="I34" s="16" t="str">
        <f t="shared" si="4"/>
        <v/>
      </c>
      <c r="J34" s="16" t="str">
        <f t="array" ref="J34">IF($AK34="","",N(INDEX('Nhân viên'!$M$6:$M$45,$AK34)))</f>
        <v/>
      </c>
      <c r="K34" s="16" t="str">
        <f>IF($AK34="","",N('Dữ liệu tháng'!F33))</f>
        <v/>
      </c>
      <c r="L34" s="71" t="str">
        <f t="shared" si="5"/>
        <v/>
      </c>
      <c r="M34" s="72" t="str">
        <f t="array" ref="M34">IF($AK34="","",INDEX(Com_Rate,MATCH(L34,Com_From,1)))</f>
        <v/>
      </c>
      <c r="N34" s="16" t="str">
        <f t="shared" si="6"/>
        <v/>
      </c>
      <c r="O34" s="16" t="str">
        <f t="array" ref="O34">IF($AK34="","",INDEX(Com_Bonus,MATCH(L34,Com_From,1)))</f>
        <v/>
      </c>
      <c r="P34" s="52" t="str">
        <f>IF($AK34="","",N('Dữ liệu tháng'!G33))</f>
        <v/>
      </c>
      <c r="Q34" s="16" t="str">
        <f>IF($AK34="","",P34*New_Cust_Bonus)</f>
        <v/>
      </c>
      <c r="R34" s="16" t="str">
        <f t="array" ref="R34">IF($AK34="","",ROUND(N(INDEX('Nhân viên'!$J$6:$J$45,$AK34))/G34*H34,0))</f>
        <v/>
      </c>
      <c r="S34" s="16" t="str">
        <f t="array" ref="S34">IF($AK34="","",N(INDEX('Nhân viên'!$K$6:$K$45,$AK34)))</f>
        <v/>
      </c>
      <c r="T34" s="16" t="str">
        <f>IF($AK34="","",N('Dữ liệu tháng'!H33))</f>
        <v/>
      </c>
      <c r="U34" s="78" t="str">
        <f t="shared" si="7"/>
        <v/>
      </c>
      <c r="V34" s="16" t="str">
        <f t="array" ref="V34">IF($AK34="","",IF(INDEX('Nhân viên'!$H$6:$H$45,$AK34)="Có",IF(N(INDEX('Nhân viên'!$I$6:$I$45,$AK34))&gt;0,INDEX('Nhân viên'!$I$6:$I$45,$AK34),F34),0))</f>
        <v/>
      </c>
      <c r="W34" s="16" t="str">
        <f>IF($AK34="","",ROUND(MIN(V34,Cap_BHXH)*BHXH_NV,0))</f>
        <v/>
      </c>
      <c r="X34" s="16" t="str">
        <f>IF($AK34="","",ROUND(MIN(V34,Cap_BHXH)*BHYT_NV,0))</f>
        <v/>
      </c>
      <c r="Y34" s="16" t="str">
        <f>IF($AK34="","",ROUND(MIN(V34,Cap_BHTN)*BHTN_NV,0))</f>
        <v/>
      </c>
      <c r="Z34" s="16" t="str">
        <f t="shared" si="8"/>
        <v/>
      </c>
      <c r="AA34" s="16" t="str">
        <f>IF($AK34="","",MIN(R34,Lunch_Cap))</f>
        <v/>
      </c>
      <c r="AB34" s="16" t="str">
        <f t="array" ref="AB34">IF($AK34="","",Self_Ded+N(INDEX('Nhân viên'!$L$6:$L$45,$AK34))*Dep_Ded)</f>
        <v/>
      </c>
      <c r="AC34" s="16" t="str">
        <f t="shared" si="9"/>
        <v/>
      </c>
      <c r="AD34" s="16" t="str">
        <f>IF($AK34="","",ROUND(SUMPRODUCT((AC34&gt;Tax_From)*(AC34-Tax_From)*Tax_Delta),0))</f>
        <v/>
      </c>
      <c r="AE34" s="16" t="str">
        <f>IF($AK34="","",N('Dữ liệu tháng'!I33))</f>
        <v/>
      </c>
      <c r="AF34" s="16" t="str">
        <f>IF($AK34="","",N('Dữ liệu tháng'!J33))</f>
        <v/>
      </c>
      <c r="AG34" s="78" t="str">
        <f t="shared" si="10"/>
        <v/>
      </c>
      <c r="AH34" s="16" t="str">
        <f>IF($AK34="","",ROUND(MIN(V34,Cap_BHXH)*(BHXH_DN+BHYT_DN)+MIN(V34,Cap_BHTN)*BHTN_DN,0))</f>
        <v/>
      </c>
      <c r="AI34" s="16" t="str">
        <f t="shared" si="11"/>
        <v/>
      </c>
      <c r="AJ34" s="22" t="str">
        <f>IF($B34="","",'Dữ liệu tháng'!K33&amp;"")</f>
        <v/>
      </c>
      <c r="AK34" s="91" t="str">
        <f>IF($B34="","",IFERROR(MATCH($B34,'Nhân viên'!$B$6:$B$45,0),""))</f>
        <v/>
      </c>
      <c r="AL34" s="91" t="str">
        <f t="shared" si="12"/>
        <v/>
      </c>
    </row>
    <row r="35" ht="19.5" customHeight="1">
      <c r="A35" s="52" t="str">
        <f t="shared" si="3"/>
        <v/>
      </c>
      <c r="B35" s="63" t="str">
        <f>IF('Dữ liệu tháng'!B34="","",'Dữ liệu tháng'!B34)</f>
        <v/>
      </c>
      <c r="C35" s="22" t="str">
        <f t="array" ref="C35">IF($B35="","",IF($AK35="","⚠ Mã NV không tồn tại",INDEX('Nhân viên'!$C$6:$C$45,$AK35)))</f>
        <v/>
      </c>
      <c r="D35" s="22" t="str">
        <f t="array" ref="D35">IF($AK35="","",INDEX('Nhân viên'!$D$6:$D$45,$AK35)&amp;"")</f>
        <v/>
      </c>
      <c r="E35" s="22" t="str">
        <f t="array" ref="E35">IF($AK35="","",INDEX('Nhân viên'!$E$6:$E$45,$AK35)&amp;"")</f>
        <v/>
      </c>
      <c r="F35" s="16" t="str">
        <f t="array" ref="F35">IF($AK35="","",N(INDEX('Nhân viên'!$G$6:$G$45,$AK35)))</f>
        <v/>
      </c>
      <c r="G35" s="52" t="str">
        <f>IF($AK35="","",Std_Days)</f>
        <v/>
      </c>
      <c r="H35" s="67" t="str">
        <f>IF($AK35="","",MIN(G35,N('Dữ liệu tháng'!D34)+N('Dữ liệu tháng'!E34)))</f>
        <v/>
      </c>
      <c r="I35" s="16" t="str">
        <f t="shared" si="4"/>
        <v/>
      </c>
      <c r="J35" s="16" t="str">
        <f t="array" ref="J35">IF($AK35="","",N(INDEX('Nhân viên'!$M$6:$M$45,$AK35)))</f>
        <v/>
      </c>
      <c r="K35" s="16" t="str">
        <f>IF($AK35="","",N('Dữ liệu tháng'!F34))</f>
        <v/>
      </c>
      <c r="L35" s="71" t="str">
        <f t="shared" si="5"/>
        <v/>
      </c>
      <c r="M35" s="72" t="str">
        <f t="array" ref="M35">IF($AK35="","",INDEX(Com_Rate,MATCH(L35,Com_From,1)))</f>
        <v/>
      </c>
      <c r="N35" s="16" t="str">
        <f t="shared" si="6"/>
        <v/>
      </c>
      <c r="O35" s="16" t="str">
        <f t="array" ref="O35">IF($AK35="","",INDEX(Com_Bonus,MATCH(L35,Com_From,1)))</f>
        <v/>
      </c>
      <c r="P35" s="52" t="str">
        <f>IF($AK35="","",N('Dữ liệu tháng'!G34))</f>
        <v/>
      </c>
      <c r="Q35" s="16" t="str">
        <f>IF($AK35="","",P35*New_Cust_Bonus)</f>
        <v/>
      </c>
      <c r="R35" s="16" t="str">
        <f t="array" ref="R35">IF($AK35="","",ROUND(N(INDEX('Nhân viên'!$J$6:$J$45,$AK35))/G35*H35,0))</f>
        <v/>
      </c>
      <c r="S35" s="16" t="str">
        <f t="array" ref="S35">IF($AK35="","",N(INDEX('Nhân viên'!$K$6:$K$45,$AK35)))</f>
        <v/>
      </c>
      <c r="T35" s="16" t="str">
        <f>IF($AK35="","",N('Dữ liệu tháng'!H34))</f>
        <v/>
      </c>
      <c r="U35" s="78" t="str">
        <f t="shared" si="7"/>
        <v/>
      </c>
      <c r="V35" s="16" t="str">
        <f t="array" ref="V35">IF($AK35="","",IF(INDEX('Nhân viên'!$H$6:$H$45,$AK35)="Có",IF(N(INDEX('Nhân viên'!$I$6:$I$45,$AK35))&gt;0,INDEX('Nhân viên'!$I$6:$I$45,$AK35),F35),0))</f>
        <v/>
      </c>
      <c r="W35" s="16" t="str">
        <f>IF($AK35="","",ROUND(MIN(V35,Cap_BHXH)*BHXH_NV,0))</f>
        <v/>
      </c>
      <c r="X35" s="16" t="str">
        <f>IF($AK35="","",ROUND(MIN(V35,Cap_BHXH)*BHYT_NV,0))</f>
        <v/>
      </c>
      <c r="Y35" s="16" t="str">
        <f>IF($AK35="","",ROUND(MIN(V35,Cap_BHTN)*BHTN_NV,0))</f>
        <v/>
      </c>
      <c r="Z35" s="16" t="str">
        <f t="shared" si="8"/>
        <v/>
      </c>
      <c r="AA35" s="16" t="str">
        <f>IF($AK35="","",MIN(R35,Lunch_Cap))</f>
        <v/>
      </c>
      <c r="AB35" s="16" t="str">
        <f t="array" ref="AB35">IF($AK35="","",Self_Ded+N(INDEX('Nhân viên'!$L$6:$L$45,$AK35))*Dep_Ded)</f>
        <v/>
      </c>
      <c r="AC35" s="16" t="str">
        <f t="shared" si="9"/>
        <v/>
      </c>
      <c r="AD35" s="16" t="str">
        <f>IF($AK35="","",ROUND(SUMPRODUCT((AC35&gt;Tax_From)*(AC35-Tax_From)*Tax_Delta),0))</f>
        <v/>
      </c>
      <c r="AE35" s="16" t="str">
        <f>IF($AK35="","",N('Dữ liệu tháng'!I34))</f>
        <v/>
      </c>
      <c r="AF35" s="16" t="str">
        <f>IF($AK35="","",N('Dữ liệu tháng'!J34))</f>
        <v/>
      </c>
      <c r="AG35" s="78" t="str">
        <f t="shared" si="10"/>
        <v/>
      </c>
      <c r="AH35" s="16" t="str">
        <f>IF($AK35="","",ROUND(MIN(V35,Cap_BHXH)*(BHXH_DN+BHYT_DN)+MIN(V35,Cap_BHTN)*BHTN_DN,0))</f>
        <v/>
      </c>
      <c r="AI35" s="16" t="str">
        <f t="shared" si="11"/>
        <v/>
      </c>
      <c r="AJ35" s="22" t="str">
        <f>IF($B35="","",'Dữ liệu tháng'!K34&amp;"")</f>
        <v/>
      </c>
      <c r="AK35" s="91" t="str">
        <f>IF($B35="","",IFERROR(MATCH($B35,'Nhân viên'!$B$6:$B$45,0),""))</f>
        <v/>
      </c>
      <c r="AL35" s="91" t="str">
        <f t="shared" si="12"/>
        <v/>
      </c>
    </row>
    <row r="36" ht="19.5" customHeight="1">
      <c r="A36" s="52" t="str">
        <f t="shared" si="3"/>
        <v/>
      </c>
      <c r="B36" s="63" t="str">
        <f>IF('Dữ liệu tháng'!B35="","",'Dữ liệu tháng'!B35)</f>
        <v/>
      </c>
      <c r="C36" s="22" t="str">
        <f t="array" ref="C36">IF($B36="","",IF($AK36="","⚠ Mã NV không tồn tại",INDEX('Nhân viên'!$C$6:$C$45,$AK36)))</f>
        <v/>
      </c>
      <c r="D36" s="22" t="str">
        <f t="array" ref="D36">IF($AK36="","",INDEX('Nhân viên'!$D$6:$D$45,$AK36)&amp;"")</f>
        <v/>
      </c>
      <c r="E36" s="22" t="str">
        <f t="array" ref="E36">IF($AK36="","",INDEX('Nhân viên'!$E$6:$E$45,$AK36)&amp;"")</f>
        <v/>
      </c>
      <c r="F36" s="16" t="str">
        <f t="array" ref="F36">IF($AK36="","",N(INDEX('Nhân viên'!$G$6:$G$45,$AK36)))</f>
        <v/>
      </c>
      <c r="G36" s="52" t="str">
        <f>IF($AK36="","",Std_Days)</f>
        <v/>
      </c>
      <c r="H36" s="67" t="str">
        <f>IF($AK36="","",MIN(G36,N('Dữ liệu tháng'!D35)+N('Dữ liệu tháng'!E35)))</f>
        <v/>
      </c>
      <c r="I36" s="16" t="str">
        <f t="shared" si="4"/>
        <v/>
      </c>
      <c r="J36" s="16" t="str">
        <f t="array" ref="J36">IF($AK36="","",N(INDEX('Nhân viên'!$M$6:$M$45,$AK36)))</f>
        <v/>
      </c>
      <c r="K36" s="16" t="str">
        <f>IF($AK36="","",N('Dữ liệu tháng'!F35))</f>
        <v/>
      </c>
      <c r="L36" s="71" t="str">
        <f t="shared" si="5"/>
        <v/>
      </c>
      <c r="M36" s="72" t="str">
        <f t="array" ref="M36">IF($AK36="","",INDEX(Com_Rate,MATCH(L36,Com_From,1)))</f>
        <v/>
      </c>
      <c r="N36" s="16" t="str">
        <f t="shared" si="6"/>
        <v/>
      </c>
      <c r="O36" s="16" t="str">
        <f t="array" ref="O36">IF($AK36="","",INDEX(Com_Bonus,MATCH(L36,Com_From,1)))</f>
        <v/>
      </c>
      <c r="P36" s="52" t="str">
        <f>IF($AK36="","",N('Dữ liệu tháng'!G35))</f>
        <v/>
      </c>
      <c r="Q36" s="16" t="str">
        <f>IF($AK36="","",P36*New_Cust_Bonus)</f>
        <v/>
      </c>
      <c r="R36" s="16" t="str">
        <f t="array" ref="R36">IF($AK36="","",ROUND(N(INDEX('Nhân viên'!$J$6:$J$45,$AK36))/G36*H36,0))</f>
        <v/>
      </c>
      <c r="S36" s="16" t="str">
        <f t="array" ref="S36">IF($AK36="","",N(INDEX('Nhân viên'!$K$6:$K$45,$AK36)))</f>
        <v/>
      </c>
      <c r="T36" s="16" t="str">
        <f>IF($AK36="","",N('Dữ liệu tháng'!H35))</f>
        <v/>
      </c>
      <c r="U36" s="78" t="str">
        <f t="shared" si="7"/>
        <v/>
      </c>
      <c r="V36" s="16" t="str">
        <f t="array" ref="V36">IF($AK36="","",IF(INDEX('Nhân viên'!$H$6:$H$45,$AK36)="Có",IF(N(INDEX('Nhân viên'!$I$6:$I$45,$AK36))&gt;0,INDEX('Nhân viên'!$I$6:$I$45,$AK36),F36),0))</f>
        <v/>
      </c>
      <c r="W36" s="16" t="str">
        <f>IF($AK36="","",ROUND(MIN(V36,Cap_BHXH)*BHXH_NV,0))</f>
        <v/>
      </c>
      <c r="X36" s="16" t="str">
        <f>IF($AK36="","",ROUND(MIN(V36,Cap_BHXH)*BHYT_NV,0))</f>
        <v/>
      </c>
      <c r="Y36" s="16" t="str">
        <f>IF($AK36="","",ROUND(MIN(V36,Cap_BHTN)*BHTN_NV,0))</f>
        <v/>
      </c>
      <c r="Z36" s="16" t="str">
        <f t="shared" si="8"/>
        <v/>
      </c>
      <c r="AA36" s="16" t="str">
        <f>IF($AK36="","",MIN(R36,Lunch_Cap))</f>
        <v/>
      </c>
      <c r="AB36" s="16" t="str">
        <f t="array" ref="AB36">IF($AK36="","",Self_Ded+N(INDEX('Nhân viên'!$L$6:$L$45,$AK36))*Dep_Ded)</f>
        <v/>
      </c>
      <c r="AC36" s="16" t="str">
        <f t="shared" si="9"/>
        <v/>
      </c>
      <c r="AD36" s="16" t="str">
        <f>IF($AK36="","",ROUND(SUMPRODUCT((AC36&gt;Tax_From)*(AC36-Tax_From)*Tax_Delta),0))</f>
        <v/>
      </c>
      <c r="AE36" s="16" t="str">
        <f>IF($AK36="","",N('Dữ liệu tháng'!I35))</f>
        <v/>
      </c>
      <c r="AF36" s="16" t="str">
        <f>IF($AK36="","",N('Dữ liệu tháng'!J35))</f>
        <v/>
      </c>
      <c r="AG36" s="78" t="str">
        <f t="shared" si="10"/>
        <v/>
      </c>
      <c r="AH36" s="16" t="str">
        <f>IF($AK36="","",ROUND(MIN(V36,Cap_BHXH)*(BHXH_DN+BHYT_DN)+MIN(V36,Cap_BHTN)*BHTN_DN,0))</f>
        <v/>
      </c>
      <c r="AI36" s="16" t="str">
        <f t="shared" si="11"/>
        <v/>
      </c>
      <c r="AJ36" s="22" t="str">
        <f>IF($B36="","",'Dữ liệu tháng'!K35&amp;"")</f>
        <v/>
      </c>
      <c r="AK36" s="91" t="str">
        <f>IF($B36="","",IFERROR(MATCH($B36,'Nhân viên'!$B$6:$B$45,0),""))</f>
        <v/>
      </c>
      <c r="AL36" s="91" t="str">
        <f t="shared" si="12"/>
        <v/>
      </c>
    </row>
    <row r="37" ht="19.5" customHeight="1">
      <c r="A37" s="52" t="str">
        <f t="shared" si="3"/>
        <v/>
      </c>
      <c r="B37" s="63" t="str">
        <f>IF('Dữ liệu tháng'!B36="","",'Dữ liệu tháng'!B36)</f>
        <v/>
      </c>
      <c r="C37" s="22" t="str">
        <f t="array" ref="C37">IF($B37="","",IF($AK37="","⚠ Mã NV không tồn tại",INDEX('Nhân viên'!$C$6:$C$45,$AK37)))</f>
        <v/>
      </c>
      <c r="D37" s="22" t="str">
        <f t="array" ref="D37">IF($AK37="","",INDEX('Nhân viên'!$D$6:$D$45,$AK37)&amp;"")</f>
        <v/>
      </c>
      <c r="E37" s="22" t="str">
        <f t="array" ref="E37">IF($AK37="","",INDEX('Nhân viên'!$E$6:$E$45,$AK37)&amp;"")</f>
        <v/>
      </c>
      <c r="F37" s="16" t="str">
        <f t="array" ref="F37">IF($AK37="","",N(INDEX('Nhân viên'!$G$6:$G$45,$AK37)))</f>
        <v/>
      </c>
      <c r="G37" s="52" t="str">
        <f>IF($AK37="","",Std_Days)</f>
        <v/>
      </c>
      <c r="H37" s="67" t="str">
        <f>IF($AK37="","",MIN(G37,N('Dữ liệu tháng'!D36)+N('Dữ liệu tháng'!E36)))</f>
        <v/>
      </c>
      <c r="I37" s="16" t="str">
        <f t="shared" si="4"/>
        <v/>
      </c>
      <c r="J37" s="16" t="str">
        <f t="array" ref="J37">IF($AK37="","",N(INDEX('Nhân viên'!$M$6:$M$45,$AK37)))</f>
        <v/>
      </c>
      <c r="K37" s="16" t="str">
        <f>IF($AK37="","",N('Dữ liệu tháng'!F36))</f>
        <v/>
      </c>
      <c r="L37" s="71" t="str">
        <f t="shared" si="5"/>
        <v/>
      </c>
      <c r="M37" s="72" t="str">
        <f t="array" ref="M37">IF($AK37="","",INDEX(Com_Rate,MATCH(L37,Com_From,1)))</f>
        <v/>
      </c>
      <c r="N37" s="16" t="str">
        <f t="shared" si="6"/>
        <v/>
      </c>
      <c r="O37" s="16" t="str">
        <f t="array" ref="O37">IF($AK37="","",INDEX(Com_Bonus,MATCH(L37,Com_From,1)))</f>
        <v/>
      </c>
      <c r="P37" s="52" t="str">
        <f>IF($AK37="","",N('Dữ liệu tháng'!G36))</f>
        <v/>
      </c>
      <c r="Q37" s="16" t="str">
        <f>IF($AK37="","",P37*New_Cust_Bonus)</f>
        <v/>
      </c>
      <c r="R37" s="16" t="str">
        <f t="array" ref="R37">IF($AK37="","",ROUND(N(INDEX('Nhân viên'!$J$6:$J$45,$AK37))/G37*H37,0))</f>
        <v/>
      </c>
      <c r="S37" s="16" t="str">
        <f t="array" ref="S37">IF($AK37="","",N(INDEX('Nhân viên'!$K$6:$K$45,$AK37)))</f>
        <v/>
      </c>
      <c r="T37" s="16" t="str">
        <f>IF($AK37="","",N('Dữ liệu tháng'!H36))</f>
        <v/>
      </c>
      <c r="U37" s="78" t="str">
        <f t="shared" si="7"/>
        <v/>
      </c>
      <c r="V37" s="16" t="str">
        <f t="array" ref="V37">IF($AK37="","",IF(INDEX('Nhân viên'!$H$6:$H$45,$AK37)="Có",IF(N(INDEX('Nhân viên'!$I$6:$I$45,$AK37))&gt;0,INDEX('Nhân viên'!$I$6:$I$45,$AK37),F37),0))</f>
        <v/>
      </c>
      <c r="W37" s="16" t="str">
        <f>IF($AK37="","",ROUND(MIN(V37,Cap_BHXH)*BHXH_NV,0))</f>
        <v/>
      </c>
      <c r="X37" s="16" t="str">
        <f>IF($AK37="","",ROUND(MIN(V37,Cap_BHXH)*BHYT_NV,0))</f>
        <v/>
      </c>
      <c r="Y37" s="16" t="str">
        <f>IF($AK37="","",ROUND(MIN(V37,Cap_BHTN)*BHTN_NV,0))</f>
        <v/>
      </c>
      <c r="Z37" s="16" t="str">
        <f t="shared" si="8"/>
        <v/>
      </c>
      <c r="AA37" s="16" t="str">
        <f>IF($AK37="","",MIN(R37,Lunch_Cap))</f>
        <v/>
      </c>
      <c r="AB37" s="16" t="str">
        <f t="array" ref="AB37">IF($AK37="","",Self_Ded+N(INDEX('Nhân viên'!$L$6:$L$45,$AK37))*Dep_Ded)</f>
        <v/>
      </c>
      <c r="AC37" s="16" t="str">
        <f t="shared" si="9"/>
        <v/>
      </c>
      <c r="AD37" s="16" t="str">
        <f>IF($AK37="","",ROUND(SUMPRODUCT((AC37&gt;Tax_From)*(AC37-Tax_From)*Tax_Delta),0))</f>
        <v/>
      </c>
      <c r="AE37" s="16" t="str">
        <f>IF($AK37="","",N('Dữ liệu tháng'!I36))</f>
        <v/>
      </c>
      <c r="AF37" s="16" t="str">
        <f>IF($AK37="","",N('Dữ liệu tháng'!J36))</f>
        <v/>
      </c>
      <c r="AG37" s="78" t="str">
        <f t="shared" si="10"/>
        <v/>
      </c>
      <c r="AH37" s="16" t="str">
        <f>IF($AK37="","",ROUND(MIN(V37,Cap_BHXH)*(BHXH_DN+BHYT_DN)+MIN(V37,Cap_BHTN)*BHTN_DN,0))</f>
        <v/>
      </c>
      <c r="AI37" s="16" t="str">
        <f t="shared" si="11"/>
        <v/>
      </c>
      <c r="AJ37" s="22" t="str">
        <f>IF($B37="","",'Dữ liệu tháng'!K36&amp;"")</f>
        <v/>
      </c>
      <c r="AK37" s="91" t="str">
        <f>IF($B37="","",IFERROR(MATCH($B37,'Nhân viên'!$B$6:$B$45,0),""))</f>
        <v/>
      </c>
      <c r="AL37" s="91" t="str">
        <f t="shared" si="12"/>
        <v/>
      </c>
    </row>
    <row r="38" ht="19.5" customHeight="1">
      <c r="A38" s="52" t="str">
        <f t="shared" si="3"/>
        <v/>
      </c>
      <c r="B38" s="63" t="str">
        <f>IF('Dữ liệu tháng'!B37="","",'Dữ liệu tháng'!B37)</f>
        <v/>
      </c>
      <c r="C38" s="22" t="str">
        <f t="array" ref="C38">IF($B38="","",IF($AK38="","⚠ Mã NV không tồn tại",INDEX('Nhân viên'!$C$6:$C$45,$AK38)))</f>
        <v/>
      </c>
      <c r="D38" s="22" t="str">
        <f t="array" ref="D38">IF($AK38="","",INDEX('Nhân viên'!$D$6:$D$45,$AK38)&amp;"")</f>
        <v/>
      </c>
      <c r="E38" s="22" t="str">
        <f t="array" ref="E38">IF($AK38="","",INDEX('Nhân viên'!$E$6:$E$45,$AK38)&amp;"")</f>
        <v/>
      </c>
      <c r="F38" s="16" t="str">
        <f t="array" ref="F38">IF($AK38="","",N(INDEX('Nhân viên'!$G$6:$G$45,$AK38)))</f>
        <v/>
      </c>
      <c r="G38" s="52" t="str">
        <f>IF($AK38="","",Std_Days)</f>
        <v/>
      </c>
      <c r="H38" s="67" t="str">
        <f>IF($AK38="","",MIN(G38,N('Dữ liệu tháng'!D37)+N('Dữ liệu tháng'!E37)))</f>
        <v/>
      </c>
      <c r="I38" s="16" t="str">
        <f t="shared" si="4"/>
        <v/>
      </c>
      <c r="J38" s="16" t="str">
        <f t="array" ref="J38">IF($AK38="","",N(INDEX('Nhân viên'!$M$6:$M$45,$AK38)))</f>
        <v/>
      </c>
      <c r="K38" s="16" t="str">
        <f>IF($AK38="","",N('Dữ liệu tháng'!F37))</f>
        <v/>
      </c>
      <c r="L38" s="71" t="str">
        <f t="shared" si="5"/>
        <v/>
      </c>
      <c r="M38" s="72" t="str">
        <f t="array" ref="M38">IF($AK38="","",INDEX(Com_Rate,MATCH(L38,Com_From,1)))</f>
        <v/>
      </c>
      <c r="N38" s="16" t="str">
        <f t="shared" si="6"/>
        <v/>
      </c>
      <c r="O38" s="16" t="str">
        <f t="array" ref="O38">IF($AK38="","",INDEX(Com_Bonus,MATCH(L38,Com_From,1)))</f>
        <v/>
      </c>
      <c r="P38" s="52" t="str">
        <f>IF($AK38="","",N('Dữ liệu tháng'!G37))</f>
        <v/>
      </c>
      <c r="Q38" s="16" t="str">
        <f>IF($AK38="","",P38*New_Cust_Bonus)</f>
        <v/>
      </c>
      <c r="R38" s="16" t="str">
        <f t="array" ref="R38">IF($AK38="","",ROUND(N(INDEX('Nhân viên'!$J$6:$J$45,$AK38))/G38*H38,0))</f>
        <v/>
      </c>
      <c r="S38" s="16" t="str">
        <f t="array" ref="S38">IF($AK38="","",N(INDEX('Nhân viên'!$K$6:$K$45,$AK38)))</f>
        <v/>
      </c>
      <c r="T38" s="16" t="str">
        <f>IF($AK38="","",N('Dữ liệu tháng'!H37))</f>
        <v/>
      </c>
      <c r="U38" s="78" t="str">
        <f t="shared" si="7"/>
        <v/>
      </c>
      <c r="V38" s="16" t="str">
        <f t="array" ref="V38">IF($AK38="","",IF(INDEX('Nhân viên'!$H$6:$H$45,$AK38)="Có",IF(N(INDEX('Nhân viên'!$I$6:$I$45,$AK38))&gt;0,INDEX('Nhân viên'!$I$6:$I$45,$AK38),F38),0))</f>
        <v/>
      </c>
      <c r="W38" s="16" t="str">
        <f>IF($AK38="","",ROUND(MIN(V38,Cap_BHXH)*BHXH_NV,0))</f>
        <v/>
      </c>
      <c r="X38" s="16" t="str">
        <f>IF($AK38="","",ROUND(MIN(V38,Cap_BHXH)*BHYT_NV,0))</f>
        <v/>
      </c>
      <c r="Y38" s="16" t="str">
        <f>IF($AK38="","",ROUND(MIN(V38,Cap_BHTN)*BHTN_NV,0))</f>
        <v/>
      </c>
      <c r="Z38" s="16" t="str">
        <f t="shared" si="8"/>
        <v/>
      </c>
      <c r="AA38" s="16" t="str">
        <f>IF($AK38="","",MIN(R38,Lunch_Cap))</f>
        <v/>
      </c>
      <c r="AB38" s="16" t="str">
        <f t="array" ref="AB38">IF($AK38="","",Self_Ded+N(INDEX('Nhân viên'!$L$6:$L$45,$AK38))*Dep_Ded)</f>
        <v/>
      </c>
      <c r="AC38" s="16" t="str">
        <f t="shared" si="9"/>
        <v/>
      </c>
      <c r="AD38" s="16" t="str">
        <f>IF($AK38="","",ROUND(SUMPRODUCT((AC38&gt;Tax_From)*(AC38-Tax_From)*Tax_Delta),0))</f>
        <v/>
      </c>
      <c r="AE38" s="16" t="str">
        <f>IF($AK38="","",N('Dữ liệu tháng'!I37))</f>
        <v/>
      </c>
      <c r="AF38" s="16" t="str">
        <f>IF($AK38="","",N('Dữ liệu tháng'!J37))</f>
        <v/>
      </c>
      <c r="AG38" s="78" t="str">
        <f t="shared" si="10"/>
        <v/>
      </c>
      <c r="AH38" s="16" t="str">
        <f>IF($AK38="","",ROUND(MIN(V38,Cap_BHXH)*(BHXH_DN+BHYT_DN)+MIN(V38,Cap_BHTN)*BHTN_DN,0))</f>
        <v/>
      </c>
      <c r="AI38" s="16" t="str">
        <f t="shared" si="11"/>
        <v/>
      </c>
      <c r="AJ38" s="22" t="str">
        <f>IF($B38="","",'Dữ liệu tháng'!K37&amp;"")</f>
        <v/>
      </c>
      <c r="AK38" s="91" t="str">
        <f>IF($B38="","",IFERROR(MATCH($B38,'Nhân viên'!$B$6:$B$45,0),""))</f>
        <v/>
      </c>
      <c r="AL38" s="91" t="str">
        <f t="shared" si="12"/>
        <v/>
      </c>
    </row>
    <row r="39" ht="19.5" customHeight="1">
      <c r="A39" s="52" t="str">
        <f t="shared" si="3"/>
        <v/>
      </c>
      <c r="B39" s="63" t="str">
        <f>IF('Dữ liệu tháng'!B38="","",'Dữ liệu tháng'!B38)</f>
        <v/>
      </c>
      <c r="C39" s="22" t="str">
        <f t="array" ref="C39">IF($B39="","",IF($AK39="","⚠ Mã NV không tồn tại",INDEX('Nhân viên'!$C$6:$C$45,$AK39)))</f>
        <v/>
      </c>
      <c r="D39" s="22" t="str">
        <f t="array" ref="D39">IF($AK39="","",INDEX('Nhân viên'!$D$6:$D$45,$AK39)&amp;"")</f>
        <v/>
      </c>
      <c r="E39" s="22" t="str">
        <f t="array" ref="E39">IF($AK39="","",INDEX('Nhân viên'!$E$6:$E$45,$AK39)&amp;"")</f>
        <v/>
      </c>
      <c r="F39" s="16" t="str">
        <f t="array" ref="F39">IF($AK39="","",N(INDEX('Nhân viên'!$G$6:$G$45,$AK39)))</f>
        <v/>
      </c>
      <c r="G39" s="52" t="str">
        <f>IF($AK39="","",Std_Days)</f>
        <v/>
      </c>
      <c r="H39" s="67" t="str">
        <f>IF($AK39="","",MIN(G39,N('Dữ liệu tháng'!D38)+N('Dữ liệu tháng'!E38)))</f>
        <v/>
      </c>
      <c r="I39" s="16" t="str">
        <f t="shared" si="4"/>
        <v/>
      </c>
      <c r="J39" s="16" t="str">
        <f t="array" ref="J39">IF($AK39="","",N(INDEX('Nhân viên'!$M$6:$M$45,$AK39)))</f>
        <v/>
      </c>
      <c r="K39" s="16" t="str">
        <f>IF($AK39="","",N('Dữ liệu tháng'!F38))</f>
        <v/>
      </c>
      <c r="L39" s="71" t="str">
        <f t="shared" si="5"/>
        <v/>
      </c>
      <c r="M39" s="72" t="str">
        <f t="array" ref="M39">IF($AK39="","",INDEX(Com_Rate,MATCH(L39,Com_From,1)))</f>
        <v/>
      </c>
      <c r="N39" s="16" t="str">
        <f t="shared" si="6"/>
        <v/>
      </c>
      <c r="O39" s="16" t="str">
        <f t="array" ref="O39">IF($AK39="","",INDEX(Com_Bonus,MATCH(L39,Com_From,1)))</f>
        <v/>
      </c>
      <c r="P39" s="52" t="str">
        <f>IF($AK39="","",N('Dữ liệu tháng'!G38))</f>
        <v/>
      </c>
      <c r="Q39" s="16" t="str">
        <f>IF($AK39="","",P39*New_Cust_Bonus)</f>
        <v/>
      </c>
      <c r="R39" s="16" t="str">
        <f t="array" ref="R39">IF($AK39="","",ROUND(N(INDEX('Nhân viên'!$J$6:$J$45,$AK39))/G39*H39,0))</f>
        <v/>
      </c>
      <c r="S39" s="16" t="str">
        <f t="array" ref="S39">IF($AK39="","",N(INDEX('Nhân viên'!$K$6:$K$45,$AK39)))</f>
        <v/>
      </c>
      <c r="T39" s="16" t="str">
        <f>IF($AK39="","",N('Dữ liệu tháng'!H38))</f>
        <v/>
      </c>
      <c r="U39" s="78" t="str">
        <f t="shared" si="7"/>
        <v/>
      </c>
      <c r="V39" s="16" t="str">
        <f t="array" ref="V39">IF($AK39="","",IF(INDEX('Nhân viên'!$H$6:$H$45,$AK39)="Có",IF(N(INDEX('Nhân viên'!$I$6:$I$45,$AK39))&gt;0,INDEX('Nhân viên'!$I$6:$I$45,$AK39),F39),0))</f>
        <v/>
      </c>
      <c r="W39" s="16" t="str">
        <f>IF($AK39="","",ROUND(MIN(V39,Cap_BHXH)*BHXH_NV,0))</f>
        <v/>
      </c>
      <c r="X39" s="16" t="str">
        <f>IF($AK39="","",ROUND(MIN(V39,Cap_BHXH)*BHYT_NV,0))</f>
        <v/>
      </c>
      <c r="Y39" s="16" t="str">
        <f>IF($AK39="","",ROUND(MIN(V39,Cap_BHTN)*BHTN_NV,0))</f>
        <v/>
      </c>
      <c r="Z39" s="16" t="str">
        <f t="shared" si="8"/>
        <v/>
      </c>
      <c r="AA39" s="16" t="str">
        <f>IF($AK39="","",MIN(R39,Lunch_Cap))</f>
        <v/>
      </c>
      <c r="AB39" s="16" t="str">
        <f t="array" ref="AB39">IF($AK39="","",Self_Ded+N(INDEX('Nhân viên'!$L$6:$L$45,$AK39))*Dep_Ded)</f>
        <v/>
      </c>
      <c r="AC39" s="16" t="str">
        <f t="shared" si="9"/>
        <v/>
      </c>
      <c r="AD39" s="16" t="str">
        <f>IF($AK39="","",ROUND(SUMPRODUCT((AC39&gt;Tax_From)*(AC39-Tax_From)*Tax_Delta),0))</f>
        <v/>
      </c>
      <c r="AE39" s="16" t="str">
        <f>IF($AK39="","",N('Dữ liệu tháng'!I38))</f>
        <v/>
      </c>
      <c r="AF39" s="16" t="str">
        <f>IF($AK39="","",N('Dữ liệu tháng'!J38))</f>
        <v/>
      </c>
      <c r="AG39" s="78" t="str">
        <f t="shared" si="10"/>
        <v/>
      </c>
      <c r="AH39" s="16" t="str">
        <f>IF($AK39="","",ROUND(MIN(V39,Cap_BHXH)*(BHXH_DN+BHYT_DN)+MIN(V39,Cap_BHTN)*BHTN_DN,0))</f>
        <v/>
      </c>
      <c r="AI39" s="16" t="str">
        <f t="shared" si="11"/>
        <v/>
      </c>
      <c r="AJ39" s="22" t="str">
        <f>IF($B39="","",'Dữ liệu tháng'!K38&amp;"")</f>
        <v/>
      </c>
      <c r="AK39" s="91" t="str">
        <f>IF($B39="","",IFERROR(MATCH($B39,'Nhân viên'!$B$6:$B$45,0),""))</f>
        <v/>
      </c>
      <c r="AL39" s="91" t="str">
        <f t="shared" si="12"/>
        <v/>
      </c>
    </row>
    <row r="40" ht="19.5" customHeight="1">
      <c r="A40" s="52" t="str">
        <f t="shared" si="3"/>
        <v/>
      </c>
      <c r="B40" s="63" t="str">
        <f>IF('Dữ liệu tháng'!B39="","",'Dữ liệu tháng'!B39)</f>
        <v/>
      </c>
      <c r="C40" s="22" t="str">
        <f t="array" ref="C40">IF($B40="","",IF($AK40="","⚠ Mã NV không tồn tại",INDEX('Nhân viên'!$C$6:$C$45,$AK40)))</f>
        <v/>
      </c>
      <c r="D40" s="22" t="str">
        <f t="array" ref="D40">IF($AK40="","",INDEX('Nhân viên'!$D$6:$D$45,$AK40)&amp;"")</f>
        <v/>
      </c>
      <c r="E40" s="22" t="str">
        <f t="array" ref="E40">IF($AK40="","",INDEX('Nhân viên'!$E$6:$E$45,$AK40)&amp;"")</f>
        <v/>
      </c>
      <c r="F40" s="16" t="str">
        <f t="array" ref="F40">IF($AK40="","",N(INDEX('Nhân viên'!$G$6:$G$45,$AK40)))</f>
        <v/>
      </c>
      <c r="G40" s="52" t="str">
        <f>IF($AK40="","",Std_Days)</f>
        <v/>
      </c>
      <c r="H40" s="67" t="str">
        <f>IF($AK40="","",MIN(G40,N('Dữ liệu tháng'!D39)+N('Dữ liệu tháng'!E39)))</f>
        <v/>
      </c>
      <c r="I40" s="16" t="str">
        <f t="shared" si="4"/>
        <v/>
      </c>
      <c r="J40" s="16" t="str">
        <f t="array" ref="J40">IF($AK40="","",N(INDEX('Nhân viên'!$M$6:$M$45,$AK40)))</f>
        <v/>
      </c>
      <c r="K40" s="16" t="str">
        <f>IF($AK40="","",N('Dữ liệu tháng'!F39))</f>
        <v/>
      </c>
      <c r="L40" s="71" t="str">
        <f t="shared" si="5"/>
        <v/>
      </c>
      <c r="M40" s="72" t="str">
        <f t="array" ref="M40">IF($AK40="","",INDEX(Com_Rate,MATCH(L40,Com_From,1)))</f>
        <v/>
      </c>
      <c r="N40" s="16" t="str">
        <f t="shared" si="6"/>
        <v/>
      </c>
      <c r="O40" s="16" t="str">
        <f t="array" ref="O40">IF($AK40="","",INDEX(Com_Bonus,MATCH(L40,Com_From,1)))</f>
        <v/>
      </c>
      <c r="P40" s="52" t="str">
        <f>IF($AK40="","",N('Dữ liệu tháng'!G39))</f>
        <v/>
      </c>
      <c r="Q40" s="16" t="str">
        <f>IF($AK40="","",P40*New_Cust_Bonus)</f>
        <v/>
      </c>
      <c r="R40" s="16" t="str">
        <f t="array" ref="R40">IF($AK40="","",ROUND(N(INDEX('Nhân viên'!$J$6:$J$45,$AK40))/G40*H40,0))</f>
        <v/>
      </c>
      <c r="S40" s="16" t="str">
        <f t="array" ref="S40">IF($AK40="","",N(INDEX('Nhân viên'!$K$6:$K$45,$AK40)))</f>
        <v/>
      </c>
      <c r="T40" s="16" t="str">
        <f>IF($AK40="","",N('Dữ liệu tháng'!H39))</f>
        <v/>
      </c>
      <c r="U40" s="78" t="str">
        <f t="shared" si="7"/>
        <v/>
      </c>
      <c r="V40" s="16" t="str">
        <f t="array" ref="V40">IF($AK40="","",IF(INDEX('Nhân viên'!$H$6:$H$45,$AK40)="Có",IF(N(INDEX('Nhân viên'!$I$6:$I$45,$AK40))&gt;0,INDEX('Nhân viên'!$I$6:$I$45,$AK40),F40),0))</f>
        <v/>
      </c>
      <c r="W40" s="16" t="str">
        <f>IF($AK40="","",ROUND(MIN(V40,Cap_BHXH)*BHXH_NV,0))</f>
        <v/>
      </c>
      <c r="X40" s="16" t="str">
        <f>IF($AK40="","",ROUND(MIN(V40,Cap_BHXH)*BHYT_NV,0))</f>
        <v/>
      </c>
      <c r="Y40" s="16" t="str">
        <f>IF($AK40="","",ROUND(MIN(V40,Cap_BHTN)*BHTN_NV,0))</f>
        <v/>
      </c>
      <c r="Z40" s="16" t="str">
        <f t="shared" si="8"/>
        <v/>
      </c>
      <c r="AA40" s="16" t="str">
        <f>IF($AK40="","",MIN(R40,Lunch_Cap))</f>
        <v/>
      </c>
      <c r="AB40" s="16" t="str">
        <f t="array" ref="AB40">IF($AK40="","",Self_Ded+N(INDEX('Nhân viên'!$L$6:$L$45,$AK40))*Dep_Ded)</f>
        <v/>
      </c>
      <c r="AC40" s="16" t="str">
        <f t="shared" si="9"/>
        <v/>
      </c>
      <c r="AD40" s="16" t="str">
        <f>IF($AK40="","",ROUND(SUMPRODUCT((AC40&gt;Tax_From)*(AC40-Tax_From)*Tax_Delta),0))</f>
        <v/>
      </c>
      <c r="AE40" s="16" t="str">
        <f>IF($AK40="","",N('Dữ liệu tháng'!I39))</f>
        <v/>
      </c>
      <c r="AF40" s="16" t="str">
        <f>IF($AK40="","",N('Dữ liệu tháng'!J39))</f>
        <v/>
      </c>
      <c r="AG40" s="78" t="str">
        <f t="shared" si="10"/>
        <v/>
      </c>
      <c r="AH40" s="16" t="str">
        <f>IF($AK40="","",ROUND(MIN(V40,Cap_BHXH)*(BHXH_DN+BHYT_DN)+MIN(V40,Cap_BHTN)*BHTN_DN,0))</f>
        <v/>
      </c>
      <c r="AI40" s="16" t="str">
        <f t="shared" si="11"/>
        <v/>
      </c>
      <c r="AJ40" s="22" t="str">
        <f>IF($B40="","",'Dữ liệu tháng'!K39&amp;"")</f>
        <v/>
      </c>
      <c r="AK40" s="91" t="str">
        <f>IF($B40="","",IFERROR(MATCH($B40,'Nhân viên'!$B$6:$B$45,0),""))</f>
        <v/>
      </c>
      <c r="AL40" s="91" t="str">
        <f t="shared" si="12"/>
        <v/>
      </c>
    </row>
    <row r="41" ht="19.5" customHeight="1">
      <c r="A41" s="52" t="str">
        <f t="shared" si="3"/>
        <v/>
      </c>
      <c r="B41" s="63" t="str">
        <f>IF('Dữ liệu tháng'!B40="","",'Dữ liệu tháng'!B40)</f>
        <v/>
      </c>
      <c r="C41" s="22" t="str">
        <f t="array" ref="C41">IF($B41="","",IF($AK41="","⚠ Mã NV không tồn tại",INDEX('Nhân viên'!$C$6:$C$45,$AK41)))</f>
        <v/>
      </c>
      <c r="D41" s="22" t="str">
        <f t="array" ref="D41">IF($AK41="","",INDEX('Nhân viên'!$D$6:$D$45,$AK41)&amp;"")</f>
        <v/>
      </c>
      <c r="E41" s="22" t="str">
        <f t="array" ref="E41">IF($AK41="","",INDEX('Nhân viên'!$E$6:$E$45,$AK41)&amp;"")</f>
        <v/>
      </c>
      <c r="F41" s="16" t="str">
        <f t="array" ref="F41">IF($AK41="","",N(INDEX('Nhân viên'!$G$6:$G$45,$AK41)))</f>
        <v/>
      </c>
      <c r="G41" s="52" t="str">
        <f>IF($AK41="","",Std_Days)</f>
        <v/>
      </c>
      <c r="H41" s="67" t="str">
        <f>IF($AK41="","",MIN(G41,N('Dữ liệu tháng'!D40)+N('Dữ liệu tháng'!E40)))</f>
        <v/>
      </c>
      <c r="I41" s="16" t="str">
        <f t="shared" si="4"/>
        <v/>
      </c>
      <c r="J41" s="16" t="str">
        <f t="array" ref="J41">IF($AK41="","",N(INDEX('Nhân viên'!$M$6:$M$45,$AK41)))</f>
        <v/>
      </c>
      <c r="K41" s="16" t="str">
        <f>IF($AK41="","",N('Dữ liệu tháng'!F40))</f>
        <v/>
      </c>
      <c r="L41" s="71" t="str">
        <f t="shared" si="5"/>
        <v/>
      </c>
      <c r="M41" s="72" t="str">
        <f t="array" ref="M41">IF($AK41="","",INDEX(Com_Rate,MATCH(L41,Com_From,1)))</f>
        <v/>
      </c>
      <c r="N41" s="16" t="str">
        <f t="shared" si="6"/>
        <v/>
      </c>
      <c r="O41" s="16" t="str">
        <f t="array" ref="O41">IF($AK41="","",INDEX(Com_Bonus,MATCH(L41,Com_From,1)))</f>
        <v/>
      </c>
      <c r="P41" s="52" t="str">
        <f>IF($AK41="","",N('Dữ liệu tháng'!G40))</f>
        <v/>
      </c>
      <c r="Q41" s="16" t="str">
        <f>IF($AK41="","",P41*New_Cust_Bonus)</f>
        <v/>
      </c>
      <c r="R41" s="16" t="str">
        <f t="array" ref="R41">IF($AK41="","",ROUND(N(INDEX('Nhân viên'!$J$6:$J$45,$AK41))/G41*H41,0))</f>
        <v/>
      </c>
      <c r="S41" s="16" t="str">
        <f t="array" ref="S41">IF($AK41="","",N(INDEX('Nhân viên'!$K$6:$K$45,$AK41)))</f>
        <v/>
      </c>
      <c r="T41" s="16" t="str">
        <f>IF($AK41="","",N('Dữ liệu tháng'!H40))</f>
        <v/>
      </c>
      <c r="U41" s="78" t="str">
        <f t="shared" si="7"/>
        <v/>
      </c>
      <c r="V41" s="16" t="str">
        <f t="array" ref="V41">IF($AK41="","",IF(INDEX('Nhân viên'!$H$6:$H$45,$AK41)="Có",IF(N(INDEX('Nhân viên'!$I$6:$I$45,$AK41))&gt;0,INDEX('Nhân viên'!$I$6:$I$45,$AK41),F41),0))</f>
        <v/>
      </c>
      <c r="W41" s="16" t="str">
        <f>IF($AK41="","",ROUND(MIN(V41,Cap_BHXH)*BHXH_NV,0))</f>
        <v/>
      </c>
      <c r="X41" s="16" t="str">
        <f>IF($AK41="","",ROUND(MIN(V41,Cap_BHXH)*BHYT_NV,0))</f>
        <v/>
      </c>
      <c r="Y41" s="16" t="str">
        <f>IF($AK41="","",ROUND(MIN(V41,Cap_BHTN)*BHTN_NV,0))</f>
        <v/>
      </c>
      <c r="Z41" s="16" t="str">
        <f t="shared" si="8"/>
        <v/>
      </c>
      <c r="AA41" s="16" t="str">
        <f>IF($AK41="","",MIN(R41,Lunch_Cap))</f>
        <v/>
      </c>
      <c r="AB41" s="16" t="str">
        <f t="array" ref="AB41">IF($AK41="","",Self_Ded+N(INDEX('Nhân viên'!$L$6:$L$45,$AK41))*Dep_Ded)</f>
        <v/>
      </c>
      <c r="AC41" s="16" t="str">
        <f t="shared" si="9"/>
        <v/>
      </c>
      <c r="AD41" s="16" t="str">
        <f>IF($AK41="","",ROUND(SUMPRODUCT((AC41&gt;Tax_From)*(AC41-Tax_From)*Tax_Delta),0))</f>
        <v/>
      </c>
      <c r="AE41" s="16" t="str">
        <f>IF($AK41="","",N('Dữ liệu tháng'!I40))</f>
        <v/>
      </c>
      <c r="AF41" s="16" t="str">
        <f>IF($AK41="","",N('Dữ liệu tháng'!J40))</f>
        <v/>
      </c>
      <c r="AG41" s="78" t="str">
        <f t="shared" si="10"/>
        <v/>
      </c>
      <c r="AH41" s="16" t="str">
        <f>IF($AK41="","",ROUND(MIN(V41,Cap_BHXH)*(BHXH_DN+BHYT_DN)+MIN(V41,Cap_BHTN)*BHTN_DN,0))</f>
        <v/>
      </c>
      <c r="AI41" s="16" t="str">
        <f t="shared" si="11"/>
        <v/>
      </c>
      <c r="AJ41" s="22" t="str">
        <f>IF($B41="","",'Dữ liệu tháng'!K40&amp;"")</f>
        <v/>
      </c>
      <c r="AK41" s="91" t="str">
        <f>IF($B41="","",IFERROR(MATCH($B41,'Nhân viên'!$B$6:$B$45,0),""))</f>
        <v/>
      </c>
      <c r="AL41" s="91" t="str">
        <f t="shared" si="12"/>
        <v/>
      </c>
    </row>
    <row r="42" ht="19.5" customHeight="1">
      <c r="A42" s="52" t="str">
        <f t="shared" si="3"/>
        <v/>
      </c>
      <c r="B42" s="63" t="str">
        <f>IF('Dữ liệu tháng'!B41="","",'Dữ liệu tháng'!B41)</f>
        <v/>
      </c>
      <c r="C42" s="22" t="str">
        <f t="array" ref="C42">IF($B42="","",IF($AK42="","⚠ Mã NV không tồn tại",INDEX('Nhân viên'!$C$6:$C$45,$AK42)))</f>
        <v/>
      </c>
      <c r="D42" s="22" t="str">
        <f t="array" ref="D42">IF($AK42="","",INDEX('Nhân viên'!$D$6:$D$45,$AK42)&amp;"")</f>
        <v/>
      </c>
      <c r="E42" s="22" t="str">
        <f t="array" ref="E42">IF($AK42="","",INDEX('Nhân viên'!$E$6:$E$45,$AK42)&amp;"")</f>
        <v/>
      </c>
      <c r="F42" s="16" t="str">
        <f t="array" ref="F42">IF($AK42="","",N(INDEX('Nhân viên'!$G$6:$G$45,$AK42)))</f>
        <v/>
      </c>
      <c r="G42" s="52" t="str">
        <f>IF($AK42="","",Std_Days)</f>
        <v/>
      </c>
      <c r="H42" s="67" t="str">
        <f>IF($AK42="","",MIN(G42,N('Dữ liệu tháng'!D41)+N('Dữ liệu tháng'!E41)))</f>
        <v/>
      </c>
      <c r="I42" s="16" t="str">
        <f t="shared" si="4"/>
        <v/>
      </c>
      <c r="J42" s="16" t="str">
        <f t="array" ref="J42">IF($AK42="","",N(INDEX('Nhân viên'!$M$6:$M$45,$AK42)))</f>
        <v/>
      </c>
      <c r="K42" s="16" t="str">
        <f>IF($AK42="","",N('Dữ liệu tháng'!F41))</f>
        <v/>
      </c>
      <c r="L42" s="71" t="str">
        <f t="shared" si="5"/>
        <v/>
      </c>
      <c r="M42" s="72" t="str">
        <f t="array" ref="M42">IF($AK42="","",INDEX(Com_Rate,MATCH(L42,Com_From,1)))</f>
        <v/>
      </c>
      <c r="N42" s="16" t="str">
        <f t="shared" si="6"/>
        <v/>
      </c>
      <c r="O42" s="16" t="str">
        <f t="array" ref="O42">IF($AK42="","",INDEX(Com_Bonus,MATCH(L42,Com_From,1)))</f>
        <v/>
      </c>
      <c r="P42" s="52" t="str">
        <f>IF($AK42="","",N('Dữ liệu tháng'!G41))</f>
        <v/>
      </c>
      <c r="Q42" s="16" t="str">
        <f>IF($AK42="","",P42*New_Cust_Bonus)</f>
        <v/>
      </c>
      <c r="R42" s="16" t="str">
        <f t="array" ref="R42">IF($AK42="","",ROUND(N(INDEX('Nhân viên'!$J$6:$J$45,$AK42))/G42*H42,0))</f>
        <v/>
      </c>
      <c r="S42" s="16" t="str">
        <f t="array" ref="S42">IF($AK42="","",N(INDEX('Nhân viên'!$K$6:$K$45,$AK42)))</f>
        <v/>
      </c>
      <c r="T42" s="16" t="str">
        <f>IF($AK42="","",N('Dữ liệu tháng'!H41))</f>
        <v/>
      </c>
      <c r="U42" s="78" t="str">
        <f t="shared" si="7"/>
        <v/>
      </c>
      <c r="V42" s="16" t="str">
        <f t="array" ref="V42">IF($AK42="","",IF(INDEX('Nhân viên'!$H$6:$H$45,$AK42)="Có",IF(N(INDEX('Nhân viên'!$I$6:$I$45,$AK42))&gt;0,INDEX('Nhân viên'!$I$6:$I$45,$AK42),F42),0))</f>
        <v/>
      </c>
      <c r="W42" s="16" t="str">
        <f>IF($AK42="","",ROUND(MIN(V42,Cap_BHXH)*BHXH_NV,0))</f>
        <v/>
      </c>
      <c r="X42" s="16" t="str">
        <f>IF($AK42="","",ROUND(MIN(V42,Cap_BHXH)*BHYT_NV,0))</f>
        <v/>
      </c>
      <c r="Y42" s="16" t="str">
        <f>IF($AK42="","",ROUND(MIN(V42,Cap_BHTN)*BHTN_NV,0))</f>
        <v/>
      </c>
      <c r="Z42" s="16" t="str">
        <f t="shared" si="8"/>
        <v/>
      </c>
      <c r="AA42" s="16" t="str">
        <f>IF($AK42="","",MIN(R42,Lunch_Cap))</f>
        <v/>
      </c>
      <c r="AB42" s="16" t="str">
        <f t="array" ref="AB42">IF($AK42="","",Self_Ded+N(INDEX('Nhân viên'!$L$6:$L$45,$AK42))*Dep_Ded)</f>
        <v/>
      </c>
      <c r="AC42" s="16" t="str">
        <f t="shared" si="9"/>
        <v/>
      </c>
      <c r="AD42" s="16" t="str">
        <f>IF($AK42="","",ROUND(SUMPRODUCT((AC42&gt;Tax_From)*(AC42-Tax_From)*Tax_Delta),0))</f>
        <v/>
      </c>
      <c r="AE42" s="16" t="str">
        <f>IF($AK42="","",N('Dữ liệu tháng'!I41))</f>
        <v/>
      </c>
      <c r="AF42" s="16" t="str">
        <f>IF($AK42="","",N('Dữ liệu tháng'!J41))</f>
        <v/>
      </c>
      <c r="AG42" s="78" t="str">
        <f t="shared" si="10"/>
        <v/>
      </c>
      <c r="AH42" s="16" t="str">
        <f>IF($AK42="","",ROUND(MIN(V42,Cap_BHXH)*(BHXH_DN+BHYT_DN)+MIN(V42,Cap_BHTN)*BHTN_DN,0))</f>
        <v/>
      </c>
      <c r="AI42" s="16" t="str">
        <f t="shared" si="11"/>
        <v/>
      </c>
      <c r="AJ42" s="22" t="str">
        <f>IF($B42="","",'Dữ liệu tháng'!K41&amp;"")</f>
        <v/>
      </c>
      <c r="AK42" s="91" t="str">
        <f>IF($B42="","",IFERROR(MATCH($B42,'Nhân viên'!$B$6:$B$45,0),""))</f>
        <v/>
      </c>
      <c r="AL42" s="91" t="str">
        <f t="shared" si="12"/>
        <v/>
      </c>
    </row>
    <row r="43" ht="19.5" customHeight="1">
      <c r="A43" s="52" t="str">
        <f t="shared" si="3"/>
        <v/>
      </c>
      <c r="B43" s="63" t="str">
        <f>IF('Dữ liệu tháng'!B42="","",'Dữ liệu tháng'!B42)</f>
        <v/>
      </c>
      <c r="C43" s="22" t="str">
        <f t="array" ref="C43">IF($B43="","",IF($AK43="","⚠ Mã NV không tồn tại",INDEX('Nhân viên'!$C$6:$C$45,$AK43)))</f>
        <v/>
      </c>
      <c r="D43" s="22" t="str">
        <f t="array" ref="D43">IF($AK43="","",INDEX('Nhân viên'!$D$6:$D$45,$AK43)&amp;"")</f>
        <v/>
      </c>
      <c r="E43" s="22" t="str">
        <f t="array" ref="E43">IF($AK43="","",INDEX('Nhân viên'!$E$6:$E$45,$AK43)&amp;"")</f>
        <v/>
      </c>
      <c r="F43" s="16" t="str">
        <f t="array" ref="F43">IF($AK43="","",N(INDEX('Nhân viên'!$G$6:$G$45,$AK43)))</f>
        <v/>
      </c>
      <c r="G43" s="52" t="str">
        <f>IF($AK43="","",Std_Days)</f>
        <v/>
      </c>
      <c r="H43" s="67" t="str">
        <f>IF($AK43="","",MIN(G43,N('Dữ liệu tháng'!D42)+N('Dữ liệu tháng'!E42)))</f>
        <v/>
      </c>
      <c r="I43" s="16" t="str">
        <f t="shared" si="4"/>
        <v/>
      </c>
      <c r="J43" s="16" t="str">
        <f t="array" ref="J43">IF($AK43="","",N(INDEX('Nhân viên'!$M$6:$M$45,$AK43)))</f>
        <v/>
      </c>
      <c r="K43" s="16" t="str">
        <f>IF($AK43="","",N('Dữ liệu tháng'!F42))</f>
        <v/>
      </c>
      <c r="L43" s="71" t="str">
        <f t="shared" si="5"/>
        <v/>
      </c>
      <c r="M43" s="72" t="str">
        <f t="array" ref="M43">IF($AK43="","",INDEX(Com_Rate,MATCH(L43,Com_From,1)))</f>
        <v/>
      </c>
      <c r="N43" s="16" t="str">
        <f t="shared" si="6"/>
        <v/>
      </c>
      <c r="O43" s="16" t="str">
        <f t="array" ref="O43">IF($AK43="","",INDEX(Com_Bonus,MATCH(L43,Com_From,1)))</f>
        <v/>
      </c>
      <c r="P43" s="52" t="str">
        <f>IF($AK43="","",N('Dữ liệu tháng'!G42))</f>
        <v/>
      </c>
      <c r="Q43" s="16" t="str">
        <f>IF($AK43="","",P43*New_Cust_Bonus)</f>
        <v/>
      </c>
      <c r="R43" s="16" t="str">
        <f t="array" ref="R43">IF($AK43="","",ROUND(N(INDEX('Nhân viên'!$J$6:$J$45,$AK43))/G43*H43,0))</f>
        <v/>
      </c>
      <c r="S43" s="16" t="str">
        <f t="array" ref="S43">IF($AK43="","",N(INDEX('Nhân viên'!$K$6:$K$45,$AK43)))</f>
        <v/>
      </c>
      <c r="T43" s="16" t="str">
        <f>IF($AK43="","",N('Dữ liệu tháng'!H42))</f>
        <v/>
      </c>
      <c r="U43" s="78" t="str">
        <f t="shared" si="7"/>
        <v/>
      </c>
      <c r="V43" s="16" t="str">
        <f t="array" ref="V43">IF($AK43="","",IF(INDEX('Nhân viên'!$H$6:$H$45,$AK43)="Có",IF(N(INDEX('Nhân viên'!$I$6:$I$45,$AK43))&gt;0,INDEX('Nhân viên'!$I$6:$I$45,$AK43),F43),0))</f>
        <v/>
      </c>
      <c r="W43" s="16" t="str">
        <f>IF($AK43="","",ROUND(MIN(V43,Cap_BHXH)*BHXH_NV,0))</f>
        <v/>
      </c>
      <c r="X43" s="16" t="str">
        <f>IF($AK43="","",ROUND(MIN(V43,Cap_BHXH)*BHYT_NV,0))</f>
        <v/>
      </c>
      <c r="Y43" s="16" t="str">
        <f>IF($AK43="","",ROUND(MIN(V43,Cap_BHTN)*BHTN_NV,0))</f>
        <v/>
      </c>
      <c r="Z43" s="16" t="str">
        <f t="shared" si="8"/>
        <v/>
      </c>
      <c r="AA43" s="16" t="str">
        <f>IF($AK43="","",MIN(R43,Lunch_Cap))</f>
        <v/>
      </c>
      <c r="AB43" s="16" t="str">
        <f t="array" ref="AB43">IF($AK43="","",Self_Ded+N(INDEX('Nhân viên'!$L$6:$L$45,$AK43))*Dep_Ded)</f>
        <v/>
      </c>
      <c r="AC43" s="16" t="str">
        <f t="shared" si="9"/>
        <v/>
      </c>
      <c r="AD43" s="16" t="str">
        <f>IF($AK43="","",ROUND(SUMPRODUCT((AC43&gt;Tax_From)*(AC43-Tax_From)*Tax_Delta),0))</f>
        <v/>
      </c>
      <c r="AE43" s="16" t="str">
        <f>IF($AK43="","",N('Dữ liệu tháng'!I42))</f>
        <v/>
      </c>
      <c r="AF43" s="16" t="str">
        <f>IF($AK43="","",N('Dữ liệu tháng'!J42))</f>
        <v/>
      </c>
      <c r="AG43" s="78" t="str">
        <f t="shared" si="10"/>
        <v/>
      </c>
      <c r="AH43" s="16" t="str">
        <f>IF($AK43="","",ROUND(MIN(V43,Cap_BHXH)*(BHXH_DN+BHYT_DN)+MIN(V43,Cap_BHTN)*BHTN_DN,0))</f>
        <v/>
      </c>
      <c r="AI43" s="16" t="str">
        <f t="shared" si="11"/>
        <v/>
      </c>
      <c r="AJ43" s="22" t="str">
        <f>IF($B43="","",'Dữ liệu tháng'!K42&amp;"")</f>
        <v/>
      </c>
      <c r="AK43" s="91" t="str">
        <f>IF($B43="","",IFERROR(MATCH($B43,'Nhân viên'!$B$6:$B$45,0),""))</f>
        <v/>
      </c>
      <c r="AL43" s="91" t="str">
        <f t="shared" si="12"/>
        <v/>
      </c>
    </row>
    <row r="44" ht="19.5" customHeight="1">
      <c r="A44" s="52" t="str">
        <f t="shared" si="3"/>
        <v/>
      </c>
      <c r="B44" s="63" t="str">
        <f>IF('Dữ liệu tháng'!B43="","",'Dữ liệu tháng'!B43)</f>
        <v/>
      </c>
      <c r="C44" s="22" t="str">
        <f t="array" ref="C44">IF($B44="","",IF($AK44="","⚠ Mã NV không tồn tại",INDEX('Nhân viên'!$C$6:$C$45,$AK44)))</f>
        <v/>
      </c>
      <c r="D44" s="22" t="str">
        <f t="array" ref="D44">IF($AK44="","",INDEX('Nhân viên'!$D$6:$D$45,$AK44)&amp;"")</f>
        <v/>
      </c>
      <c r="E44" s="22" t="str">
        <f t="array" ref="E44">IF($AK44="","",INDEX('Nhân viên'!$E$6:$E$45,$AK44)&amp;"")</f>
        <v/>
      </c>
      <c r="F44" s="16" t="str">
        <f t="array" ref="F44">IF($AK44="","",N(INDEX('Nhân viên'!$G$6:$G$45,$AK44)))</f>
        <v/>
      </c>
      <c r="G44" s="52" t="str">
        <f>IF($AK44="","",Std_Days)</f>
        <v/>
      </c>
      <c r="H44" s="67" t="str">
        <f>IF($AK44="","",MIN(G44,N('Dữ liệu tháng'!D43)+N('Dữ liệu tháng'!E43)))</f>
        <v/>
      </c>
      <c r="I44" s="16" t="str">
        <f t="shared" si="4"/>
        <v/>
      </c>
      <c r="J44" s="16" t="str">
        <f t="array" ref="J44">IF($AK44="","",N(INDEX('Nhân viên'!$M$6:$M$45,$AK44)))</f>
        <v/>
      </c>
      <c r="K44" s="16" t="str">
        <f>IF($AK44="","",N('Dữ liệu tháng'!F43))</f>
        <v/>
      </c>
      <c r="L44" s="71" t="str">
        <f t="shared" si="5"/>
        <v/>
      </c>
      <c r="M44" s="72" t="str">
        <f t="array" ref="M44">IF($AK44="","",INDEX(Com_Rate,MATCH(L44,Com_From,1)))</f>
        <v/>
      </c>
      <c r="N44" s="16" t="str">
        <f t="shared" si="6"/>
        <v/>
      </c>
      <c r="O44" s="16" t="str">
        <f t="array" ref="O44">IF($AK44="","",INDEX(Com_Bonus,MATCH(L44,Com_From,1)))</f>
        <v/>
      </c>
      <c r="P44" s="52" t="str">
        <f>IF($AK44="","",N('Dữ liệu tháng'!G43))</f>
        <v/>
      </c>
      <c r="Q44" s="16" t="str">
        <f>IF($AK44="","",P44*New_Cust_Bonus)</f>
        <v/>
      </c>
      <c r="R44" s="16" t="str">
        <f t="array" ref="R44">IF($AK44="","",ROUND(N(INDEX('Nhân viên'!$J$6:$J$45,$AK44))/G44*H44,0))</f>
        <v/>
      </c>
      <c r="S44" s="16" t="str">
        <f t="array" ref="S44">IF($AK44="","",N(INDEX('Nhân viên'!$K$6:$K$45,$AK44)))</f>
        <v/>
      </c>
      <c r="T44" s="16" t="str">
        <f>IF($AK44="","",N('Dữ liệu tháng'!H43))</f>
        <v/>
      </c>
      <c r="U44" s="78" t="str">
        <f t="shared" si="7"/>
        <v/>
      </c>
      <c r="V44" s="16" t="str">
        <f t="array" ref="V44">IF($AK44="","",IF(INDEX('Nhân viên'!$H$6:$H$45,$AK44)="Có",IF(N(INDEX('Nhân viên'!$I$6:$I$45,$AK44))&gt;0,INDEX('Nhân viên'!$I$6:$I$45,$AK44),F44),0))</f>
        <v/>
      </c>
      <c r="W44" s="16" t="str">
        <f>IF($AK44="","",ROUND(MIN(V44,Cap_BHXH)*BHXH_NV,0))</f>
        <v/>
      </c>
      <c r="X44" s="16" t="str">
        <f>IF($AK44="","",ROUND(MIN(V44,Cap_BHXH)*BHYT_NV,0))</f>
        <v/>
      </c>
      <c r="Y44" s="16" t="str">
        <f>IF($AK44="","",ROUND(MIN(V44,Cap_BHTN)*BHTN_NV,0))</f>
        <v/>
      </c>
      <c r="Z44" s="16" t="str">
        <f t="shared" si="8"/>
        <v/>
      </c>
      <c r="AA44" s="16" t="str">
        <f>IF($AK44="","",MIN(R44,Lunch_Cap))</f>
        <v/>
      </c>
      <c r="AB44" s="16" t="str">
        <f t="array" ref="AB44">IF($AK44="","",Self_Ded+N(INDEX('Nhân viên'!$L$6:$L$45,$AK44))*Dep_Ded)</f>
        <v/>
      </c>
      <c r="AC44" s="16" t="str">
        <f t="shared" si="9"/>
        <v/>
      </c>
      <c r="AD44" s="16" t="str">
        <f>IF($AK44="","",ROUND(SUMPRODUCT((AC44&gt;Tax_From)*(AC44-Tax_From)*Tax_Delta),0))</f>
        <v/>
      </c>
      <c r="AE44" s="16" t="str">
        <f>IF($AK44="","",N('Dữ liệu tháng'!I43))</f>
        <v/>
      </c>
      <c r="AF44" s="16" t="str">
        <f>IF($AK44="","",N('Dữ liệu tháng'!J43))</f>
        <v/>
      </c>
      <c r="AG44" s="78" t="str">
        <f t="shared" si="10"/>
        <v/>
      </c>
      <c r="AH44" s="16" t="str">
        <f>IF($AK44="","",ROUND(MIN(V44,Cap_BHXH)*(BHXH_DN+BHYT_DN)+MIN(V44,Cap_BHTN)*BHTN_DN,0))</f>
        <v/>
      </c>
      <c r="AI44" s="16" t="str">
        <f t="shared" si="11"/>
        <v/>
      </c>
      <c r="AJ44" s="22" t="str">
        <f>IF($B44="","",'Dữ liệu tháng'!K43&amp;"")</f>
        <v/>
      </c>
      <c r="AK44" s="91" t="str">
        <f>IF($B44="","",IFERROR(MATCH($B44,'Nhân viên'!$B$6:$B$45,0),""))</f>
        <v/>
      </c>
      <c r="AL44" s="91" t="str">
        <f t="shared" si="12"/>
        <v/>
      </c>
    </row>
    <row r="45" ht="19.5" customHeight="1">
      <c r="A45" s="52" t="str">
        <f t="shared" si="3"/>
        <v/>
      </c>
      <c r="B45" s="63" t="str">
        <f>IF('Dữ liệu tháng'!B44="","",'Dữ liệu tháng'!B44)</f>
        <v/>
      </c>
      <c r="C45" s="22" t="str">
        <f t="array" ref="C45">IF($B45="","",IF($AK45="","⚠ Mã NV không tồn tại",INDEX('Nhân viên'!$C$6:$C$45,$AK45)))</f>
        <v/>
      </c>
      <c r="D45" s="22" t="str">
        <f t="array" ref="D45">IF($AK45="","",INDEX('Nhân viên'!$D$6:$D$45,$AK45)&amp;"")</f>
        <v/>
      </c>
      <c r="E45" s="22" t="str">
        <f t="array" ref="E45">IF($AK45="","",INDEX('Nhân viên'!$E$6:$E$45,$AK45)&amp;"")</f>
        <v/>
      </c>
      <c r="F45" s="16" t="str">
        <f t="array" ref="F45">IF($AK45="","",N(INDEX('Nhân viên'!$G$6:$G$45,$AK45)))</f>
        <v/>
      </c>
      <c r="G45" s="52" t="str">
        <f>IF($AK45="","",Std_Days)</f>
        <v/>
      </c>
      <c r="H45" s="67" t="str">
        <f>IF($AK45="","",MIN(G45,N('Dữ liệu tháng'!D44)+N('Dữ liệu tháng'!E44)))</f>
        <v/>
      </c>
      <c r="I45" s="16" t="str">
        <f t="shared" si="4"/>
        <v/>
      </c>
      <c r="J45" s="16" t="str">
        <f t="array" ref="J45">IF($AK45="","",N(INDEX('Nhân viên'!$M$6:$M$45,$AK45)))</f>
        <v/>
      </c>
      <c r="K45" s="16" t="str">
        <f>IF($AK45="","",N('Dữ liệu tháng'!F44))</f>
        <v/>
      </c>
      <c r="L45" s="71" t="str">
        <f t="shared" si="5"/>
        <v/>
      </c>
      <c r="M45" s="72" t="str">
        <f t="array" ref="M45">IF($AK45="","",INDEX(Com_Rate,MATCH(L45,Com_From,1)))</f>
        <v/>
      </c>
      <c r="N45" s="16" t="str">
        <f t="shared" si="6"/>
        <v/>
      </c>
      <c r="O45" s="16" t="str">
        <f t="array" ref="O45">IF($AK45="","",INDEX(Com_Bonus,MATCH(L45,Com_From,1)))</f>
        <v/>
      </c>
      <c r="P45" s="52" t="str">
        <f>IF($AK45="","",N('Dữ liệu tháng'!G44))</f>
        <v/>
      </c>
      <c r="Q45" s="16" t="str">
        <f>IF($AK45="","",P45*New_Cust_Bonus)</f>
        <v/>
      </c>
      <c r="R45" s="16" t="str">
        <f t="array" ref="R45">IF($AK45="","",ROUND(N(INDEX('Nhân viên'!$J$6:$J$45,$AK45))/G45*H45,0))</f>
        <v/>
      </c>
      <c r="S45" s="16" t="str">
        <f t="array" ref="S45">IF($AK45="","",N(INDEX('Nhân viên'!$K$6:$K$45,$AK45)))</f>
        <v/>
      </c>
      <c r="T45" s="16" t="str">
        <f>IF($AK45="","",N('Dữ liệu tháng'!H44))</f>
        <v/>
      </c>
      <c r="U45" s="78" t="str">
        <f t="shared" si="7"/>
        <v/>
      </c>
      <c r="V45" s="16" t="str">
        <f t="array" ref="V45">IF($AK45="","",IF(INDEX('Nhân viên'!$H$6:$H$45,$AK45)="Có",IF(N(INDEX('Nhân viên'!$I$6:$I$45,$AK45))&gt;0,INDEX('Nhân viên'!$I$6:$I$45,$AK45),F45),0))</f>
        <v/>
      </c>
      <c r="W45" s="16" t="str">
        <f>IF($AK45="","",ROUND(MIN(V45,Cap_BHXH)*BHXH_NV,0))</f>
        <v/>
      </c>
      <c r="X45" s="16" t="str">
        <f>IF($AK45="","",ROUND(MIN(V45,Cap_BHXH)*BHYT_NV,0))</f>
        <v/>
      </c>
      <c r="Y45" s="16" t="str">
        <f>IF($AK45="","",ROUND(MIN(V45,Cap_BHTN)*BHTN_NV,0))</f>
        <v/>
      </c>
      <c r="Z45" s="16" t="str">
        <f t="shared" si="8"/>
        <v/>
      </c>
      <c r="AA45" s="16" t="str">
        <f>IF($AK45="","",MIN(R45,Lunch_Cap))</f>
        <v/>
      </c>
      <c r="AB45" s="16" t="str">
        <f t="array" ref="AB45">IF($AK45="","",Self_Ded+N(INDEX('Nhân viên'!$L$6:$L$45,$AK45))*Dep_Ded)</f>
        <v/>
      </c>
      <c r="AC45" s="16" t="str">
        <f t="shared" si="9"/>
        <v/>
      </c>
      <c r="AD45" s="16" t="str">
        <f>IF($AK45="","",ROUND(SUMPRODUCT((AC45&gt;Tax_From)*(AC45-Tax_From)*Tax_Delta),0))</f>
        <v/>
      </c>
      <c r="AE45" s="16" t="str">
        <f>IF($AK45="","",N('Dữ liệu tháng'!I44))</f>
        <v/>
      </c>
      <c r="AF45" s="16" t="str">
        <f>IF($AK45="","",N('Dữ liệu tháng'!J44))</f>
        <v/>
      </c>
      <c r="AG45" s="78" t="str">
        <f t="shared" si="10"/>
        <v/>
      </c>
      <c r="AH45" s="16" t="str">
        <f>IF($AK45="","",ROUND(MIN(V45,Cap_BHXH)*(BHXH_DN+BHYT_DN)+MIN(V45,Cap_BHTN)*BHTN_DN,0))</f>
        <v/>
      </c>
      <c r="AI45" s="16" t="str">
        <f t="shared" si="11"/>
        <v/>
      </c>
      <c r="AJ45" s="22" t="str">
        <f>IF($B45="","",'Dữ liệu tháng'!K44&amp;"")</f>
        <v/>
      </c>
      <c r="AK45" s="91" t="str">
        <f>IF($B45="","",IFERROR(MATCH($B45,'Nhân viên'!$B$6:$B$45,0),""))</f>
        <v/>
      </c>
      <c r="AL45" s="91" t="str">
        <f t="shared" si="12"/>
        <v/>
      </c>
    </row>
    <row r="46" ht="19.5" customHeight="1">
      <c r="A46" s="52" t="str">
        <f t="shared" si="3"/>
        <v/>
      </c>
      <c r="B46" s="63" t="str">
        <f>IF('Dữ liệu tháng'!B45="","",'Dữ liệu tháng'!B45)</f>
        <v/>
      </c>
      <c r="C46" s="22" t="str">
        <f t="array" ref="C46">IF($B46="","",IF($AK46="","⚠ Mã NV không tồn tại",INDEX('Nhân viên'!$C$6:$C$45,$AK46)))</f>
        <v/>
      </c>
      <c r="D46" s="22" t="str">
        <f t="array" ref="D46">IF($AK46="","",INDEX('Nhân viên'!$D$6:$D$45,$AK46)&amp;"")</f>
        <v/>
      </c>
      <c r="E46" s="22" t="str">
        <f t="array" ref="E46">IF($AK46="","",INDEX('Nhân viên'!$E$6:$E$45,$AK46)&amp;"")</f>
        <v/>
      </c>
      <c r="F46" s="16" t="str">
        <f t="array" ref="F46">IF($AK46="","",N(INDEX('Nhân viên'!$G$6:$G$45,$AK46)))</f>
        <v/>
      </c>
      <c r="G46" s="52" t="str">
        <f>IF($AK46="","",Std_Days)</f>
        <v/>
      </c>
      <c r="H46" s="67" t="str">
        <f>IF($AK46="","",MIN(G46,N('Dữ liệu tháng'!D45)+N('Dữ liệu tháng'!E45)))</f>
        <v/>
      </c>
      <c r="I46" s="16" t="str">
        <f t="shared" si="4"/>
        <v/>
      </c>
      <c r="J46" s="16" t="str">
        <f t="array" ref="J46">IF($AK46="","",N(INDEX('Nhân viên'!$M$6:$M$45,$AK46)))</f>
        <v/>
      </c>
      <c r="K46" s="16" t="str">
        <f>IF($AK46="","",N('Dữ liệu tháng'!F45))</f>
        <v/>
      </c>
      <c r="L46" s="71" t="str">
        <f t="shared" si="5"/>
        <v/>
      </c>
      <c r="M46" s="72" t="str">
        <f t="array" ref="M46">IF($AK46="","",INDEX(Com_Rate,MATCH(L46,Com_From,1)))</f>
        <v/>
      </c>
      <c r="N46" s="16" t="str">
        <f t="shared" si="6"/>
        <v/>
      </c>
      <c r="O46" s="16" t="str">
        <f t="array" ref="O46">IF($AK46="","",INDEX(Com_Bonus,MATCH(L46,Com_From,1)))</f>
        <v/>
      </c>
      <c r="P46" s="52" t="str">
        <f>IF($AK46="","",N('Dữ liệu tháng'!G45))</f>
        <v/>
      </c>
      <c r="Q46" s="16" t="str">
        <f>IF($AK46="","",P46*New_Cust_Bonus)</f>
        <v/>
      </c>
      <c r="R46" s="16" t="str">
        <f t="array" ref="R46">IF($AK46="","",ROUND(N(INDEX('Nhân viên'!$J$6:$J$45,$AK46))/G46*H46,0))</f>
        <v/>
      </c>
      <c r="S46" s="16" t="str">
        <f t="array" ref="S46">IF($AK46="","",N(INDEX('Nhân viên'!$K$6:$K$45,$AK46)))</f>
        <v/>
      </c>
      <c r="T46" s="16" t="str">
        <f>IF($AK46="","",N('Dữ liệu tháng'!H45))</f>
        <v/>
      </c>
      <c r="U46" s="78" t="str">
        <f t="shared" si="7"/>
        <v/>
      </c>
      <c r="V46" s="16" t="str">
        <f t="array" ref="V46">IF($AK46="","",IF(INDEX('Nhân viên'!$H$6:$H$45,$AK46)="Có",IF(N(INDEX('Nhân viên'!$I$6:$I$45,$AK46))&gt;0,INDEX('Nhân viên'!$I$6:$I$45,$AK46),F46),0))</f>
        <v/>
      </c>
      <c r="W46" s="16" t="str">
        <f>IF($AK46="","",ROUND(MIN(V46,Cap_BHXH)*BHXH_NV,0))</f>
        <v/>
      </c>
      <c r="X46" s="16" t="str">
        <f>IF($AK46="","",ROUND(MIN(V46,Cap_BHXH)*BHYT_NV,0))</f>
        <v/>
      </c>
      <c r="Y46" s="16" t="str">
        <f>IF($AK46="","",ROUND(MIN(V46,Cap_BHTN)*BHTN_NV,0))</f>
        <v/>
      </c>
      <c r="Z46" s="16" t="str">
        <f t="shared" si="8"/>
        <v/>
      </c>
      <c r="AA46" s="16" t="str">
        <f>IF($AK46="","",MIN(R46,Lunch_Cap))</f>
        <v/>
      </c>
      <c r="AB46" s="16" t="str">
        <f t="array" ref="AB46">IF($AK46="","",Self_Ded+N(INDEX('Nhân viên'!$L$6:$L$45,$AK46))*Dep_Ded)</f>
        <v/>
      </c>
      <c r="AC46" s="16" t="str">
        <f t="shared" si="9"/>
        <v/>
      </c>
      <c r="AD46" s="16" t="str">
        <f>IF($AK46="","",ROUND(SUMPRODUCT((AC46&gt;Tax_From)*(AC46-Tax_From)*Tax_Delta),0))</f>
        <v/>
      </c>
      <c r="AE46" s="16" t="str">
        <f>IF($AK46="","",N('Dữ liệu tháng'!I45))</f>
        <v/>
      </c>
      <c r="AF46" s="16" t="str">
        <f>IF($AK46="","",N('Dữ liệu tháng'!J45))</f>
        <v/>
      </c>
      <c r="AG46" s="78" t="str">
        <f t="shared" si="10"/>
        <v/>
      </c>
      <c r="AH46" s="16" t="str">
        <f>IF($AK46="","",ROUND(MIN(V46,Cap_BHXH)*(BHXH_DN+BHYT_DN)+MIN(V46,Cap_BHTN)*BHTN_DN,0))</f>
        <v/>
      </c>
      <c r="AI46" s="16" t="str">
        <f t="shared" si="11"/>
        <v/>
      </c>
      <c r="AJ46" s="22" t="str">
        <f>IF($B46="","",'Dữ liệu tháng'!K45&amp;"")</f>
        <v/>
      </c>
      <c r="AK46" s="91" t="str">
        <f>IF($B46="","",IFERROR(MATCH($B46,'Nhân viên'!$B$6:$B$45,0),""))</f>
        <v/>
      </c>
      <c r="AL46" s="91" t="str">
        <f t="shared" si="12"/>
        <v/>
      </c>
    </row>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0">
    <mergeCell ref="AE4:AG4"/>
    <mergeCell ref="AH4:AI4"/>
    <mergeCell ref="A1:AJ1"/>
    <mergeCell ref="A4:E4"/>
    <mergeCell ref="F4:I4"/>
    <mergeCell ref="J4:Q4"/>
    <mergeCell ref="R4:U4"/>
    <mergeCell ref="V4:Z4"/>
    <mergeCell ref="AA4:AD4"/>
    <mergeCell ref="A6:E6"/>
  </mergeCells>
  <conditionalFormatting sqref="L7:L46">
    <cfRule type="expression" dxfId="1" priority="1">
      <formula>AND($B7&lt;&gt;"",ISNUMBER($L7),$L7&lt;0.7)</formula>
    </cfRule>
  </conditionalFormatting>
  <conditionalFormatting sqref="L7:L46">
    <cfRule type="expression" dxfId="2" priority="2">
      <formula>AND($B7&lt;&gt;"",ISNUMBER($L7),$L7&gt;=1)</formula>
    </cfRule>
  </conditionalFormatting>
  <conditionalFormatting sqref="C7:C46">
    <cfRule type="expression" dxfId="0" priority="3">
      <formula>LEFT($C7,1)="⚠"</formula>
    </cfRule>
  </conditionalFormatting>
  <printOptions/>
  <pageMargins bottom="1.0" footer="0.0" header="0.0" left="0.75" right="0.75" top="1.0"/>
  <pageSetup fitToHeight="0" paperSize="8"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26B1D"/>
    <pageSetUpPr fitToPage="1"/>
  </sheetPr>
  <sheetViews>
    <sheetView showGridLines="0" workbookViewId="0"/>
  </sheetViews>
  <sheetFormatPr customHeight="1" defaultColWidth="14.43" defaultRowHeight="15.0"/>
  <cols>
    <col customWidth="1" min="1" max="1" width="2.0"/>
    <col customWidth="1" min="2" max="2" width="32.0"/>
    <col customWidth="1" min="3" max="3" width="20.0"/>
    <col customWidth="1" min="4" max="4" width="3.0"/>
    <col customWidth="1" min="5" max="5" width="32.0"/>
    <col customWidth="1" min="6" max="6" width="20.0"/>
    <col customWidth="1" min="7" max="7" width="2.0"/>
    <col customWidth="1" hidden="1" min="8" max="8" width="13.0"/>
    <col customWidth="1" min="9" max="26" width="8.57"/>
  </cols>
  <sheetData>
    <row r="1" ht="39.75" customHeight="1">
      <c r="B1" s="42" t="s">
        <v>212</v>
      </c>
      <c r="C1" s="2"/>
      <c r="D1" s="2"/>
      <c r="E1" s="2"/>
      <c r="F1" s="3"/>
      <c r="H1" s="61">
        <f>IFERROR(MATCH(C5,'Bảng lương'!$B$7:$B$46,0),"")</f>
        <v>1</v>
      </c>
    </row>
    <row r="2">
      <c r="B2" s="43" t="str">
        <f>'Cài đặt'!C4</f>
        <v>Công ty CP Thương mại ABC</v>
      </c>
    </row>
    <row r="3">
      <c r="B3" s="62" t="str">
        <f>"Kỳ lương: Tháng "&amp;'Cài đặt'!C8&amp;"/"&amp;'Cài đặt'!C9</f>
        <v>Kỳ lương: Tháng 10/2026</v>
      </c>
    </row>
    <row r="5">
      <c r="B5" s="64" t="s">
        <v>213</v>
      </c>
      <c r="C5" s="65" t="s">
        <v>33</v>
      </c>
    </row>
    <row r="7" ht="21.75" customHeight="1">
      <c r="B7" s="6" t="s">
        <v>12</v>
      </c>
      <c r="C7" s="66" t="str">
        <f t="array" ref="C7">IF($H$1="","",INDEX('Bảng lương'!$C$7:$C$46,$H$1))</f>
        <v>Nguyễn Minh Tuấn</v>
      </c>
      <c r="E7" s="6" t="s">
        <v>13</v>
      </c>
      <c r="F7" s="66" t="str">
        <f t="array" ref="F7">IF($H$1="","",INDEX('Bảng lương'!$D$7:$D$46,$H$1))</f>
        <v>Giám đốc kinh doanh</v>
      </c>
    </row>
    <row r="8" ht="21.75" customHeight="1">
      <c r="B8" s="6" t="s">
        <v>214</v>
      </c>
      <c r="C8" s="66" t="str">
        <f t="array" ref="C8">IF($H$1="","",INDEX('Bảng lương'!$E$7:$E$46,$H$1))</f>
        <v>Nhóm Miền Bắc</v>
      </c>
      <c r="E8" s="6" t="s">
        <v>30</v>
      </c>
      <c r="F8" s="66" t="str">
        <f t="array" ref="F8">IF($H$1="","",IFERROR(INDEX('Nhân viên'!$N$6:$N$45,MATCH($C$5,'Nhân viên'!$B$6:$B$45,0))&amp;"",""))</f>
        <v>8123456701</v>
      </c>
    </row>
    <row r="9" ht="21.75" customHeight="1">
      <c r="B9" s="6" t="s">
        <v>31</v>
      </c>
      <c r="C9" s="66" t="str">
        <f t="array" ref="C9">IF($H$1="","",IFERROR(INDEX('Nhân viên'!$O$6:$O$45,MATCH($C$5,'Nhân viên'!$B$6:$B$45,0))&amp;"",""))</f>
        <v>0011002233445</v>
      </c>
      <c r="E9" s="6" t="s">
        <v>32</v>
      </c>
      <c r="F9" s="66" t="str">
        <f t="array" ref="F9">IF($H$1="","",IFERROR(INDEX('Nhân viên'!$P$6:$P$45,MATCH($C$5,'Nhân viên'!$B$6:$B$45,0))&amp;"",""))</f>
        <v>Vietcombank</v>
      </c>
    </row>
    <row r="10" ht="21.75" customHeight="1">
      <c r="B10" s="6" t="s">
        <v>184</v>
      </c>
      <c r="C10" s="68">
        <f t="array" ref="C10">IF($H$1="","",INDEX('Bảng lương'!$G$7:$G$46,$H$1))</f>
        <v>22</v>
      </c>
      <c r="E10" s="6" t="s">
        <v>185</v>
      </c>
      <c r="F10" s="69">
        <f t="array" ref="F10">IF($H$1="","",INDEX('Bảng lương'!$H$7:$H$46,$H$1))</f>
        <v>22</v>
      </c>
    </row>
    <row r="12">
      <c r="B12" s="70" t="s">
        <v>215</v>
      </c>
      <c r="C12" s="3"/>
      <c r="E12" s="5" t="s">
        <v>216</v>
      </c>
      <c r="F12" s="3"/>
    </row>
    <row r="13">
      <c r="B13" s="22" t="s">
        <v>186</v>
      </c>
      <c r="C13" s="16">
        <f t="array" ref="C13">IF($H$1="","",INDEX('Bảng lương'!$I$7:$I$46,$H$1))</f>
        <v>30000000</v>
      </c>
      <c r="E13" s="22" t="s">
        <v>217</v>
      </c>
      <c r="F13" s="16">
        <f t="array" ref="F13">IF($H$1="","",INDEX('Bảng lương'!$W$7:$W$46,$H$1))</f>
        <v>2000000</v>
      </c>
    </row>
    <row r="14">
      <c r="B14" s="22" t="s">
        <v>218</v>
      </c>
      <c r="C14" s="16">
        <f t="array" ref="C14">IF($H$1="","",INDEX('Bảng lương'!$N$7:$N$46,$H$1))</f>
        <v>11200000</v>
      </c>
      <c r="E14" s="22" t="s">
        <v>219</v>
      </c>
      <c r="F14" s="16">
        <f t="array" ref="F14">IF($H$1="","",INDEX('Bảng lương'!$X$7:$X$46,$H$1))</f>
        <v>375000</v>
      </c>
    </row>
    <row r="15">
      <c r="B15" s="22" t="s">
        <v>191</v>
      </c>
      <c r="C15" s="16">
        <f t="array" ref="C15">IF($H$1="","",INDEX('Bảng lương'!$O$7:$O$46,$H$1))</f>
        <v>1000000</v>
      </c>
      <c r="E15" s="22" t="s">
        <v>220</v>
      </c>
      <c r="F15" s="16">
        <f t="array" ref="F15">IF($H$1="","",INDEX('Bảng lương'!$Y$7:$Y$46,$H$1))</f>
        <v>250000</v>
      </c>
    </row>
    <row r="16">
      <c r="B16" s="22" t="s">
        <v>223</v>
      </c>
      <c r="C16" s="16">
        <f t="array" ref="C16">IF($H$1="","",INDEX('Bảng lương'!$Q$7:$Q$46,$H$1))</f>
        <v>1200000</v>
      </c>
      <c r="E16" s="22" t="s">
        <v>233</v>
      </c>
      <c r="F16" s="16">
        <f t="array" ref="F16">IF($H$1="","",INDEX('Bảng lương'!$AD$7:$AD$46,$H$1))</f>
        <v>987500</v>
      </c>
    </row>
    <row r="17">
      <c r="B17" s="22" t="s">
        <v>194</v>
      </c>
      <c r="C17" s="16">
        <f t="array" ref="C17">IF($H$1="","",INDEX('Bảng lương'!$R$7:$R$46,$H$1))</f>
        <v>730000</v>
      </c>
      <c r="E17" s="22" t="s">
        <v>206</v>
      </c>
      <c r="F17" s="16">
        <f t="array" ref="F17">IF($H$1="","",INDEX('Bảng lương'!$AE$7:$AE$46,$H$1))</f>
        <v>0</v>
      </c>
    </row>
    <row r="18">
      <c r="B18" s="22" t="s">
        <v>195</v>
      </c>
      <c r="C18" s="16">
        <f t="array" ref="C18">IF($H$1="","",INDEX('Bảng lương'!$S$7:$S$46,$H$1))</f>
        <v>2000000</v>
      </c>
      <c r="E18" s="22" t="s">
        <v>207</v>
      </c>
      <c r="F18" s="16">
        <f t="array" ref="F18">IF($H$1="","",INDEX('Bảng lương'!$AF$7:$AF$46,$H$1))</f>
        <v>0</v>
      </c>
    </row>
    <row r="19">
      <c r="B19" s="22" t="s">
        <v>196</v>
      </c>
      <c r="C19" s="16">
        <f t="array" ref="C19">IF($H$1="","",INDEX('Bảng lương'!$T$7:$T$46,$H$1))</f>
        <v>0</v>
      </c>
      <c r="E19" s="74"/>
      <c r="F19" s="74"/>
    </row>
    <row r="20">
      <c r="B20" s="75" t="s">
        <v>177</v>
      </c>
      <c r="C20" s="76">
        <f t="array" ref="C20">IF($H$1="","",INDEX('Bảng lương'!$U$7:$U$46,$H$1))</f>
        <v>46130000</v>
      </c>
      <c r="E20" s="77" t="s">
        <v>262</v>
      </c>
      <c r="F20" s="79">
        <f>IF($H$1="","",F13+F14+F15+F16+F17+F18)</f>
        <v>3612500</v>
      </c>
    </row>
    <row r="21" ht="15.75" customHeight="1"/>
    <row r="22" ht="33.75" customHeight="1">
      <c r="B22" s="80" t="s">
        <v>208</v>
      </c>
      <c r="C22" s="2"/>
      <c r="D22" s="2"/>
      <c r="E22" s="3"/>
      <c r="F22" s="81">
        <f t="array" ref="F22">IF($H$1="","",INDEX('Bảng lương'!$AG$7:$AG$46,$H$1))</f>
        <v>42517500</v>
      </c>
    </row>
    <row r="23" ht="15.75" customHeight="1"/>
    <row r="24" ht="15.75" customHeight="1">
      <c r="B24" s="5" t="s">
        <v>263</v>
      </c>
      <c r="C24" s="2"/>
      <c r="D24" s="2"/>
      <c r="E24" s="2"/>
      <c r="F24" s="3"/>
    </row>
    <row r="25" ht="21.75" customHeight="1">
      <c r="B25" s="6" t="s">
        <v>187</v>
      </c>
      <c r="C25" s="82">
        <f t="array" ref="C25">IF($H$1="","",INDEX('Bảng lương'!$J$7:$J$46,$H$1))</f>
        <v>500000000</v>
      </c>
      <c r="E25" s="6" t="s">
        <v>188</v>
      </c>
      <c r="F25" s="82">
        <f t="array" ref="F25">IF($H$1="","",INDEX('Bảng lương'!$K$7:$K$46,$H$1))</f>
        <v>560000000</v>
      </c>
    </row>
    <row r="26" ht="21.75" customHeight="1">
      <c r="B26" s="6" t="s">
        <v>237</v>
      </c>
      <c r="C26" s="83">
        <f t="array" ref="C26">IF($H$1="","",INDEX('Bảng lương'!$L$7:$L$46,$H$1))</f>
        <v>1.12</v>
      </c>
      <c r="E26" s="6" t="s">
        <v>189</v>
      </c>
      <c r="F26" s="84">
        <f t="array" ref="F26">IF($H$1="","",INDEX('Bảng lương'!$M$7:$M$46,$H$1))</f>
        <v>0.02</v>
      </c>
    </row>
    <row r="27" ht="21.75" customHeight="1">
      <c r="B27" s="6" t="s">
        <v>43</v>
      </c>
      <c r="C27" s="85">
        <f t="array" ref="C27">IF($H$1="","",INDEX('Bảng lương'!$P$7:$P$46,$H$1))</f>
        <v>6</v>
      </c>
      <c r="E27" s="6" t="s">
        <v>205</v>
      </c>
      <c r="F27" s="82">
        <f t="array" ref="F27">IF($H$1="","",INDEX('Bảng lương'!$AC$7:$AC$46,$H$1))</f>
        <v>14875000</v>
      </c>
    </row>
    <row r="28" ht="15.75" customHeight="1"/>
    <row r="29" ht="15.75" customHeight="1"/>
    <row r="30" ht="15.0" customHeight="1">
      <c r="B30" s="86" t="s">
        <v>264</v>
      </c>
      <c r="E30" s="86" t="s">
        <v>265</v>
      </c>
    </row>
    <row r="31" ht="15.0" customHeight="1">
      <c r="B31" s="87" t="s">
        <v>266</v>
      </c>
      <c r="E31" s="87" t="s">
        <v>266</v>
      </c>
    </row>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9">
    <mergeCell ref="E30:F30"/>
    <mergeCell ref="E31:F31"/>
    <mergeCell ref="B1:F1"/>
    <mergeCell ref="B12:C12"/>
    <mergeCell ref="E12:F12"/>
    <mergeCell ref="B22:E22"/>
    <mergeCell ref="B24:F24"/>
    <mergeCell ref="B30:C30"/>
    <mergeCell ref="B31:C31"/>
  </mergeCells>
  <dataValidations>
    <dataValidation type="list" allowBlank="1" sqref="C5">
      <formula1>'Nhân viên'!$B$6:$B$45</formula1>
    </dataValidation>
  </dataValidations>
  <printOptions/>
  <pageMargins bottom="1.0" footer="0.0" header="0.0" left="0.75" right="0.75" top="1.0"/>
  <pageSetup paperSize="9"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6B7280"/>
    <pageSetUpPr/>
  </sheetPr>
  <sheetViews>
    <sheetView showGridLines="0" workbookViewId="0"/>
  </sheetViews>
  <sheetFormatPr customHeight="1" defaultColWidth="14.43" defaultRowHeight="15.0"/>
  <cols>
    <col customWidth="1" min="1" max="1" width="3.0"/>
    <col customWidth="1" min="2" max="2" width="28.0"/>
    <col customWidth="1" min="3" max="3" width="105.0"/>
    <col customWidth="1" min="4" max="26" width="8.57"/>
  </cols>
  <sheetData>
    <row r="1" ht="37.5" customHeight="1">
      <c r="B1" s="1" t="s">
        <v>221</v>
      </c>
      <c r="C1" s="3"/>
    </row>
    <row r="3" ht="21.75" customHeight="1">
      <c r="B3" s="5" t="s">
        <v>222</v>
      </c>
      <c r="C3" s="3"/>
    </row>
    <row r="4" ht="36.0" customHeight="1">
      <c r="B4" s="73" t="s">
        <v>224</v>
      </c>
      <c r="C4" s="22" t="s">
        <v>225</v>
      </c>
    </row>
    <row r="5" ht="36.0" customHeight="1">
      <c r="B5" s="73" t="s">
        <v>226</v>
      </c>
      <c r="C5" s="22" t="s">
        <v>227</v>
      </c>
    </row>
    <row r="6" ht="36.0" customHeight="1">
      <c r="B6" s="73" t="s">
        <v>228</v>
      </c>
      <c r="C6" s="22" t="s">
        <v>229</v>
      </c>
    </row>
    <row r="7" ht="36.0" customHeight="1">
      <c r="B7" s="73" t="s">
        <v>230</v>
      </c>
      <c r="C7" s="22" t="s">
        <v>231</v>
      </c>
    </row>
    <row r="8" ht="36.0" customHeight="1">
      <c r="B8" s="73" t="s">
        <v>232</v>
      </c>
      <c r="C8" s="22" t="s">
        <v>234</v>
      </c>
    </row>
    <row r="9" ht="21.75" customHeight="1">
      <c r="B9" s="5" t="s">
        <v>235</v>
      </c>
      <c r="C9" s="3"/>
    </row>
    <row r="10" ht="36.0" customHeight="1">
      <c r="B10" s="73" t="s">
        <v>186</v>
      </c>
      <c r="C10" s="22" t="s">
        <v>236</v>
      </c>
    </row>
    <row r="11" ht="36.0" customHeight="1">
      <c r="B11" s="73" t="s">
        <v>237</v>
      </c>
      <c r="C11" s="22" t="s">
        <v>238</v>
      </c>
    </row>
    <row r="12" ht="36.0" customHeight="1">
      <c r="B12" s="73" t="s">
        <v>190</v>
      </c>
      <c r="C12" s="22" t="s">
        <v>239</v>
      </c>
    </row>
    <row r="13" ht="36.0" customHeight="1">
      <c r="B13" s="73" t="s">
        <v>191</v>
      </c>
      <c r="C13" s="22" t="s">
        <v>240</v>
      </c>
    </row>
    <row r="14" ht="36.0" customHeight="1">
      <c r="B14" s="73" t="s">
        <v>223</v>
      </c>
      <c r="C14" s="22" t="s">
        <v>241</v>
      </c>
    </row>
    <row r="15" ht="36.0" customHeight="1">
      <c r="B15" s="73" t="s">
        <v>194</v>
      </c>
      <c r="C15" s="22" t="s">
        <v>242</v>
      </c>
    </row>
    <row r="16" ht="51.75" customHeight="1">
      <c r="B16" s="73" t="s">
        <v>243</v>
      </c>
      <c r="C16" s="22" t="s">
        <v>244</v>
      </c>
    </row>
    <row r="17" ht="51.75" customHeight="1">
      <c r="B17" s="73" t="s">
        <v>179</v>
      </c>
      <c r="C17" s="22" t="s">
        <v>245</v>
      </c>
    </row>
    <row r="18" ht="36.0" customHeight="1">
      <c r="B18" s="73" t="s">
        <v>178</v>
      </c>
      <c r="C18" s="22" t="s">
        <v>246</v>
      </c>
    </row>
    <row r="19" ht="36.0" customHeight="1">
      <c r="B19" s="73" t="s">
        <v>247</v>
      </c>
      <c r="C19" s="22" t="s">
        <v>248</v>
      </c>
    </row>
    <row r="20" ht="21.75" customHeight="1">
      <c r="B20" s="5" t="s">
        <v>249</v>
      </c>
      <c r="C20" s="3"/>
    </row>
    <row r="21" ht="51.75" customHeight="1">
      <c r="B21" s="73" t="s">
        <v>250</v>
      </c>
      <c r="C21" s="22" t="s">
        <v>251</v>
      </c>
    </row>
    <row r="22" ht="51.75" customHeight="1">
      <c r="B22" s="73" t="s">
        <v>252</v>
      </c>
      <c r="C22" s="22" t="s">
        <v>253</v>
      </c>
    </row>
    <row r="23" ht="36.0" customHeight="1">
      <c r="B23" s="73" t="s">
        <v>254</v>
      </c>
      <c r="C23" s="22" t="s">
        <v>255</v>
      </c>
    </row>
    <row r="24" ht="36.0" customHeight="1">
      <c r="B24" s="73" t="s">
        <v>256</v>
      </c>
      <c r="C24" s="22" t="s">
        <v>257</v>
      </c>
    </row>
    <row r="25" ht="36.0" customHeight="1">
      <c r="B25" s="73" t="s">
        <v>258</v>
      </c>
      <c r="C25" s="22" t="s">
        <v>259</v>
      </c>
    </row>
    <row r="26" ht="36.0" customHeight="1">
      <c r="B26" s="73" t="s">
        <v>260</v>
      </c>
      <c r="C26" s="22" t="s">
        <v>261</v>
      </c>
    </row>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4">
    <mergeCell ref="B1:C1"/>
    <mergeCell ref="B3:C3"/>
    <mergeCell ref="B9:C9"/>
    <mergeCell ref="B20:C20"/>
  </mergeCells>
  <printOptions/>
  <pageMargins bottom="1.0" footer="0.0" header="0.0" left="0.75" right="0.75" top="1.0"/>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2026-10-28T04:05:52Z</dcterms:created>
  <dc:creator>openpyxl</dc:creator>
</cp:coreProperties>
</file>

<file path=docProps/custom.xml><?xml version="1.0" encoding="utf-8"?>
<Properties xmlns="http://schemas.openxmlformats.org/officeDocument/2006/custom-properties" xmlns:vt="http://schemas.openxmlformats.org/officeDocument/2006/docPropsVTypes"/>
</file>