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ảng lương KT" sheetId="1" r:id="rId4"/>
    <sheet state="visible" name="Tổng hợp" sheetId="2" r:id="rId5"/>
    <sheet state="visible" name="Nhân viên" sheetId="3" r:id="rId6"/>
    <sheet state="visible" name="Cài đặt" sheetId="4" r:id="rId7"/>
  </sheets>
  <definedNames/>
  <calcPr/>
  <extLst>
    <ext uri="GoogleSheetsCustomDataVersion2">
      <go:sheetsCustomData xmlns:go="http://customooxmlschemas.google.com/" r:id="rId8" roundtripDataChecksum="9mdvWEkXOxQVyvcqh1Egr/NVybQLv4suCMYzHjfp6us="/>
    </ext>
  </extLst>
</workbook>
</file>

<file path=xl/sharedStrings.xml><?xml version="1.0" encoding="utf-8"?>
<sst xmlns="http://schemas.openxmlformats.org/spreadsheetml/2006/main" count="282" uniqueCount="236">
  <si>
    <t>DANH SÁCH NHÂN VIÊN KỸ THUẬT VÀ THÔNG TIN NHẬN LƯƠNG</t>
  </si>
  <si>
    <t>CÀI ĐẶT THÔNG SỐ</t>
  </si>
  <si>
    <t>Tỷ lệ bảo hiểm, giảm trừ, đơn giá phụ cấp, hệ số làm thêm giờ và biểu thuế. Sửa tại đây khi quy định hoặc chính sách thay đổi.</t>
  </si>
  <si>
    <t>Nhập một lần. Bảng lương tự lấy dữ liệu theo thứ tự dòng.</t>
  </si>
  <si>
    <t>BẢNG LƯƠNG NHÂN VIÊN KỸ THUẬT</t>
  </si>
  <si>
    <t>Thông số</t>
  </si>
  <si>
    <t>Lưu ý: sheet chứa số tài khoản, mã số thuế và mức lương – hãy kiểm tra độ chính xác và giới hạn quyền truy cập (đặt mật khẩu file hoặc chỉ chia sẻ cho người có thẩm quyền).</t>
  </si>
  <si>
    <t>Giá trị</t>
  </si>
  <si>
    <t>Căn cứ / ghi chú</t>
  </si>
  <si>
    <t>Mã NV</t>
  </si>
  <si>
    <t>Họ và tên</t>
  </si>
  <si>
    <t>Chức danh / bậc kỹ thuật</t>
  </si>
  <si>
    <t>Tổ / Nhóm</t>
  </si>
  <si>
    <t>Ngân hàng</t>
  </si>
  <si>
    <t>Số tài khoản</t>
  </si>
  <si>
    <t>BHXH – người lao động đóng</t>
  </si>
  <si>
    <t>Mã số thuế</t>
  </si>
  <si>
    <t>Số người phụ thuộc</t>
  </si>
  <si>
    <t>Lương cơ bản theo hợp đồng (VNĐ)</t>
  </si>
  <si>
    <t>Phụ cấp chức danh / bậc (VNĐ)</t>
  </si>
  <si>
    <t>Phụ cấp chứng chỉ, chuyên môn (VNĐ)</t>
  </si>
  <si>
    <t>Đóng bảo hiểm? (Có/Không)</t>
  </si>
  <si>
    <t>Lương đóng BH – nếu khác (VNĐ)</t>
  </si>
  <si>
    <t>Mức lương tính BH (tự động)</t>
  </si>
  <si>
    <t>Hưu trí, tử tuất 8%</t>
  </si>
  <si>
    <t>KT001</t>
  </si>
  <si>
    <t>Nguyễn Hữu Phúc</t>
  </si>
  <si>
    <t>Kỹ sư trưởng (bậc 5)</t>
  </si>
  <si>
    <t>BHYT – người lao động đóng</t>
  </si>
  <si>
    <t>1,5%</t>
  </si>
  <si>
    <t>Hạ tầng – Mạng</t>
  </si>
  <si>
    <t>Vietcombank</t>
  </si>
  <si>
    <t>0011001234567</t>
  </si>
  <si>
    <t>BHTN – người lao động đóng</t>
  </si>
  <si>
    <t>8012345678</t>
  </si>
  <si>
    <t>1%</t>
  </si>
  <si>
    <t>Mức lương cơ sở (mức tham chiếu) – VNĐ</t>
  </si>
  <si>
    <t>Áp dụng từ 01/07/2026</t>
  </si>
  <si>
    <t>Có</t>
  </si>
  <si>
    <t>Hệ số trần tiền lương đóng bảo hiểm</t>
  </si>
  <si>
    <t>Tối đa 20 lần</t>
  </si>
  <si>
    <t>Trần đóng BHXH, BHYT – VNĐ</t>
  </si>
  <si>
    <t>Lương cơ sở × hệ số trần (tự tính)</t>
  </si>
  <si>
    <t>Lương tối thiểu vùng áp dụng – VNĐ</t>
  </si>
  <si>
    <t>Vùng I (NĐ 293/2025/NĐ-CP) – đổi theo vùng của đơn vị</t>
  </si>
  <si>
    <t>Trần đóng BHTN – VNĐ</t>
  </si>
  <si>
    <t>Lương tối thiểu vùng × hệ số trần (tự tính)</t>
  </si>
  <si>
    <t>Tên đơn vị</t>
  </si>
  <si>
    <t>Giảm trừ gia cảnh – bản thân (VNĐ/tháng)</t>
  </si>
  <si>
    <t>Công ty TNHH ABC</t>
  </si>
  <si>
    <t>NQ 110/2025/UBTVQH15, từ kỳ tính thuế 2026</t>
  </si>
  <si>
    <t>Giảm trừ gia cảnh – mỗi người phụ thuộc (VNĐ/tháng)</t>
  </si>
  <si>
    <t>Số nhân viên</t>
  </si>
  <si>
    <t>Số giờ làm việc chuẩn mỗi ngày</t>
  </si>
  <si>
    <t>Dùng tính lương giờ = (Lương cơ bản + PC chức danh) ÷ (Ngày công chuẩn × giờ chuẩn)</t>
  </si>
  <si>
    <t>Tổng thu nhập (VNĐ)</t>
  </si>
  <si>
    <t>Hệ số làm thêm giờ – ngày thường</t>
  </si>
  <si>
    <t>BLLĐ 2019, Điều 98: tối thiểu 150%</t>
  </si>
  <si>
    <t>Tổng khấu trừ (VNĐ)</t>
  </si>
  <si>
    <t>Hệ số làm thêm giờ – ngày nghỉ hằng tuần</t>
  </si>
  <si>
    <t>Tối thiểu 200%</t>
  </si>
  <si>
    <t>Tổng thực nhận (VNĐ)</t>
  </si>
  <si>
    <t>Hệ số làm thêm giờ – ngày lễ, Tết</t>
  </si>
  <si>
    <t>Tối thiểu 300% (chưa kể lương ngày lễ được hưởng)</t>
  </si>
  <si>
    <t>KT002</t>
  </si>
  <si>
    <t>Bộ phận / Chi nhánh</t>
  </si>
  <si>
    <t>Phòng Kỹ thuật – Trụ sở chính</t>
  </si>
  <si>
    <t>Phụ cấp làm việc ban đêm (% lương giờ)</t>
  </si>
  <si>
    <t>Trần Minh Quân</t>
  </si>
  <si>
    <t>Tối thiểu 30% – tính thêm cho giờ làm đêm. Làm thêm giờ vào ban đêm cần cộng thêm 20% – nhập tay ở cột Điều chỉnh</t>
  </si>
  <si>
    <t>Kỹ sư phần mềm (bậc 4)</t>
  </si>
  <si>
    <t>Phần mềm</t>
  </si>
  <si>
    <t>Giới hạn giờ làm thêm tối đa mỗi tháng</t>
  </si>
  <si>
    <t>Techcombank</t>
  </si>
  <si>
    <t>19031234567890</t>
  </si>
  <si>
    <t>Theo NĐ 145/2020/NĐ-CP – vượt mức sẽ tô đỏ cảnh báo</t>
  </si>
  <si>
    <t>8012345679</t>
  </si>
  <si>
    <t>Miễn thuế TNCN tiền làm thêm giờ / làm đêm</t>
  </si>
  <si>
    <t>Phần chênh lệch</t>
  </si>
  <si>
    <t>Chọn 'Phần chênh lệch' (theo NĐ 253/2026/NĐ-CP) hoặc 'Toàn bộ' nếu đơn vị áp dụng miễn toàn bộ – cần đối chiếu cơ quan thuế</t>
  </si>
  <si>
    <t>Đơn giá phụ cấp trực (VNĐ/ca)</t>
  </si>
  <si>
    <t>Theo quy chế của đơn vị</t>
  </si>
  <si>
    <t>KT003</t>
  </si>
  <si>
    <t>Lê Thị Hương</t>
  </si>
  <si>
    <t>Kỹ sư phần mềm (bậc 3)</t>
  </si>
  <si>
    <t>Đơn giá phụ cấp hiện trường (VNĐ/ngày)</t>
  </si>
  <si>
    <t>BIDV</t>
  </si>
  <si>
    <t>31410001234567</t>
  </si>
  <si>
    <t>8012345680</t>
  </si>
  <si>
    <t>Đơn giá phụ cấp ăn trưa (VNĐ/ngày công)</t>
  </si>
  <si>
    <t>Mức phụ cấp ăn trưa miễn thuế (VNĐ/tháng)</t>
  </si>
  <si>
    <t>KT004</t>
  </si>
  <si>
    <t>Phạm Đức Thịnh</t>
  </si>
  <si>
    <t>Phần vượt mức tính vào thu nhập chịu thuế – cần đối chiếu quy định hiện hành</t>
  </si>
  <si>
    <t>Kỹ thuật viên vận hành (bậc 3)</t>
  </si>
  <si>
    <t>Vận hành – Bảo trì</t>
  </si>
  <si>
    <t>MB Bank</t>
  </si>
  <si>
    <t>0123456789012</t>
  </si>
  <si>
    <t>Biểu thuế thu nhập cá nhân lũy tiến từng phần (tính theo tháng)</t>
  </si>
  <si>
    <t>8012345681</t>
  </si>
  <si>
    <t>Bậc</t>
  </si>
  <si>
    <t>Thu nhập tính thuế trên (VNĐ)</t>
  </si>
  <si>
    <t>Đến (VNĐ)</t>
  </si>
  <si>
    <t>Thuế suất</t>
  </si>
  <si>
    <t>Chênh lệch thuế suất so với bậc trước</t>
  </si>
  <si>
    <t>Bậc 1</t>
  </si>
  <si>
    <t>KT005</t>
  </si>
  <si>
    <t>Hoàng Văn Sơn</t>
  </si>
  <si>
    <t>Kỹ thuật viên điện (bậc 2)</t>
  </si>
  <si>
    <t>Tháng thanh toán</t>
  </si>
  <si>
    <t>Điện – Tự động hóa</t>
  </si>
  <si>
    <t>ACB</t>
  </si>
  <si>
    <t>2001234567</t>
  </si>
  <si>
    <t>8012345682</t>
  </si>
  <si>
    <t>KT006</t>
  </si>
  <si>
    <t>Đỗ Thanh Tùng</t>
  </si>
  <si>
    <t>Kỹ thuật viên hỗ trợ (bậc 2)</t>
  </si>
  <si>
    <t>Hỗ trợ kỹ thuật</t>
  </si>
  <si>
    <t>VPBank</t>
  </si>
  <si>
    <t>123456789</t>
  </si>
  <si>
    <t>8012345683</t>
  </si>
  <si>
    <t>Bậc 2</t>
  </si>
  <si>
    <t>Kỳ công từ ngày</t>
  </si>
  <si>
    <t>KT007</t>
  </si>
  <si>
    <t>Vũ Thị Mai</t>
  </si>
  <si>
    <t>Kỹ sư mạng (bậc 3)</t>
  </si>
  <si>
    <t>Agribank</t>
  </si>
  <si>
    <t>5100205123456</t>
  </si>
  <si>
    <t>8012345684</t>
  </si>
  <si>
    <t>Bậc 3</t>
  </si>
  <si>
    <t>Kỳ công đến ngày</t>
  </si>
  <si>
    <t>KT008</t>
  </si>
  <si>
    <t>Bùi Anh Khoa</t>
  </si>
  <si>
    <t>Kỹ thuật viên (thử việc)</t>
  </si>
  <si>
    <t>Sacombank</t>
  </si>
  <si>
    <t>060123456789</t>
  </si>
  <si>
    <t>Bậc 4</t>
  </si>
  <si>
    <t>Đã thanh toán (VNĐ)</t>
  </si>
  <si>
    <t>Không</t>
  </si>
  <si>
    <t>Bậc 5</t>
  </si>
  <si>
    <t>Còn phải chi (VNĐ)</t>
  </si>
  <si>
    <t>Không giới hạn</t>
  </si>
  <si>
    <t>Tổng giờ làm thêm</t>
  </si>
  <si>
    <t>Danh mục tổ / nhóm kỹ thuật (dùng cho danh sách chọn và sheet Tổng hợp)</t>
  </si>
  <si>
    <t>NV vượt giới hạn giờ làm thêm</t>
  </si>
  <si>
    <t>TỔNG HỢP LƯƠNG THEO TỔ / NHÓM KỸ THUẬT</t>
  </si>
  <si>
    <t>Ngày lập bảng</t>
  </si>
  <si>
    <t>Khác</t>
  </si>
  <si>
    <t>Ghi chú</t>
  </si>
  <si>
    <t>•  Các thông số pháp lý được tra cứu tại thời điểm tạo mẫu (tháng 10/2026). Hãy đối chiếu lại với văn bản mới nhất trước khi chi lương.</t>
  </si>
  <si>
    <t>Tự động cộng dồn từ sheet 'Bảng lương KT'.</t>
  </si>
  <si>
    <t>•  Quy định về miễn thuế tiền làm thêm giờ, làm đêm còn có cách hiểu khác nhau (chỉ miễn phần chênh lệch hay toàn bộ) – đã để thành tham số chọn ở trên.</t>
  </si>
  <si>
    <t>•  Mẫu tính thuế TNCN theo biểu lũy tiến cho cá nhân cư trú ký hợp đồng từ 3 tháng trở lên. Hợp đồng dưới 3 tháng, không cư trú… cần xử lý riêng.</t>
  </si>
  <si>
    <t>•  Chữ xanh dương = ô có thể sửa. Chữ đen = ô tự tính.</t>
  </si>
  <si>
    <t>Giờ làm thêm</t>
  </si>
  <si>
    <t>Tiền làm thêm giờ &amp; đêm (VNĐ)</t>
  </si>
  <si>
    <t>Thực nhận (VNĐ)</t>
  </si>
  <si>
    <t>Ngày công chuẩn của kỳ</t>
  </si>
  <si>
    <t>Kiểm tra kỳ công</t>
  </si>
  <si>
    <t>THÔNG TIN NHÂN VIÊN</t>
  </si>
  <si>
    <t>LƯƠNG VÀ NGÀY CÔNG</t>
  </si>
  <si>
    <t>LÀM THÊM GIỜ VÀ LÀM ĐÊM</t>
  </si>
  <si>
    <t>PHỤ CẤP KỸ THUẬT</t>
  </si>
  <si>
    <t>THƯỞNG VÀ BỔ SUNG</t>
  </si>
  <si>
    <t>KHẤU TRỪ VÀ SỐ TIỀN THỰC NHẬN</t>
  </si>
  <si>
    <t>XÁC NHẬN THANH TOÁN</t>
  </si>
  <si>
    <t>STT</t>
  </si>
  <si>
    <t>Lương cơ bản (VNĐ)</t>
  </si>
  <si>
    <t>Ngày công chuẩn</t>
  </si>
  <si>
    <t>Ngày công xác nhận</t>
  </si>
  <si>
    <t>Lương theo ngày công (VNĐ)</t>
  </si>
  <si>
    <t>Điều chỉnh +/− (VNĐ)</t>
  </si>
  <si>
    <t>Tổng lương theo kỳ (VNĐ)</t>
  </si>
  <si>
    <t>Lương giờ (VNĐ)</t>
  </si>
  <si>
    <t>Giờ làm thêm ngày thường</t>
  </si>
  <si>
    <t>Giờ làm thêm ngày nghỉ tuần</t>
  </si>
  <si>
    <t>Giờ làm thêm ngày lễ</t>
  </si>
  <si>
    <t>Giờ làm đêm</t>
  </si>
  <si>
    <t>Tiền làm thêm giờ &amp; làm đêm (VNĐ)</t>
  </si>
  <si>
    <t>Trong đó miễn thuế (VNĐ)</t>
  </si>
  <si>
    <t>PC chứng chỉ, chuyên môn (VNĐ)</t>
  </si>
  <si>
    <t>Số ca trực</t>
  </si>
  <si>
    <t>Phụ cấp trực (VNĐ)</t>
  </si>
  <si>
    <t>Số ngày hiện trường</t>
  </si>
  <si>
    <t>Phụ cấp hiện trường (VNĐ)</t>
  </si>
  <si>
    <t>Phụ cấp ăn trưa (VNĐ)</t>
  </si>
  <si>
    <t>Công tác phí, hỗ trợ có chứng từ (VNĐ)</t>
  </si>
  <si>
    <t>Thưởng dự án / KPI (VNĐ)</t>
  </si>
  <si>
    <t>Thưởng sự cố, bổ sung khác (VNĐ)</t>
  </si>
  <si>
    <t>Căn cứ / diễn giải</t>
  </si>
  <si>
    <t>Xác nhận thưởng &amp; bổ sung</t>
  </si>
  <si>
    <t>BHXH người lao động (VNĐ)</t>
  </si>
  <si>
    <t>BHYT người lao động (VNĐ)</t>
  </si>
  <si>
    <t>BHTN người lao động (VNĐ)</t>
  </si>
  <si>
    <t>Giảm trừ gia cảnh (VNĐ)</t>
  </si>
  <si>
    <t>Thu nhập tính thuế (VNĐ)</t>
  </si>
  <si>
    <t>Thuế TNCN (VNĐ)</t>
  </si>
  <si>
    <t>Tạm ứng (VNĐ)</t>
  </si>
  <si>
    <t>Khấu trừ khác (VNĐ)</t>
  </si>
  <si>
    <t>THỰC NHẬN (VNĐ)</t>
  </si>
  <si>
    <t>Tình trạng thanh toán</t>
  </si>
  <si>
    <t>Ngày thanh toán</t>
  </si>
  <si>
    <t>Số chứng từ</t>
  </si>
  <si>
    <t>Đã thanh toán</t>
  </si>
  <si>
    <t>UNC-1029-001</t>
  </si>
  <si>
    <t>TỔNG CỘNG</t>
  </si>
  <si>
    <t>Tổ / nhóm lấy từ sheet 'Cài đặt'. Tổng ở dòng này phải bằng tổng ở sheet 'Bảng lương KT'.</t>
  </si>
  <si>
    <t>Kiểm tra khớp với bảng lương:</t>
  </si>
  <si>
    <t>Thưởng hoàn thành dự án Kho thông minh</t>
  </si>
  <si>
    <t>Đã xác nhận</t>
  </si>
  <si>
    <t>UNC-1029-002</t>
  </si>
  <si>
    <t>Thưởng KPI quý 3 – chờ duyệt</t>
  </si>
  <si>
    <t>Chờ xác nhận</t>
  </si>
  <si>
    <t>UNC-1029-003</t>
  </si>
  <si>
    <t>Chưa thanh toán</t>
  </si>
  <si>
    <t>Khấu trừ khác: bồi hoàn thiết bị</t>
  </si>
  <si>
    <t>Thưởng xử lý sự cố nguồn điện khẩn cấp</t>
  </si>
  <si>
    <t>Công tác phí khảo sát hiện trường (có chứng từ)</t>
  </si>
  <si>
    <t>Thử việc, ca đêm</t>
  </si>
  <si>
    <t>Đối chiếu với chứng từ chuyển khoản / chi tiền thực tế</t>
  </si>
  <si>
    <t>Tổng tiền theo chứng từ thực chi (VNĐ) – nhập</t>
  </si>
  <si>
    <t>Số tiền đã thanh toán theo bảng lương (VNĐ)</t>
  </si>
  <si>
    <t>Chênh lệch (bảng lương − chứng từ)</t>
  </si>
  <si>
    <t>NGƯỜI LẬP BẢNG</t>
  </si>
  <si>
    <t>NGƯỜI KIỂM TRA</t>
  </si>
  <si>
    <t>NGƯỜI DUYỆT</t>
  </si>
  <si>
    <t>(Ký, ghi rõ họ tên)</t>
  </si>
  <si>
    <t>Nguyễn Văn A</t>
  </si>
  <si>
    <t>Trần Thị B</t>
  </si>
  <si>
    <t>Lê Văn C</t>
  </si>
  <si>
    <t>Hướng dẫn sử dụng</t>
  </si>
  <si>
    <t>•  Nhập: (1) sheet 'Nhân viên' – lương cơ bản, phụ cấp cố định, số người phụ thuộc, nhập một lần; (2) sheet này – kỳ công, ngày công, giờ làm thêm, giờ làm đêm, số ca trực, số ngày hiện trường, thưởng, tạm ứng, thanh toán; (3) sheet 'Cài đặt' – đơn giá, hệ số, tỷ lệ khi chính sách thay đổi. Chữ xanh dương = ô nhập, chữ đen = ô tự tính.</t>
  </si>
  <si>
    <t>•  Lương giờ = (Lương cơ bản + PC chức danh) ÷ (Ngày công chuẩn × giờ chuẩn/ngày). Tiền làm thêm giờ = Lương giờ × Số giờ × Hệ số (150% / 200% / 300%); giờ làm đêm được cộng thêm phụ cấp 30% lương giờ. Giờ làm thêm vượt giới hạn tháng sẽ tô đỏ.</t>
  </si>
  <si>
    <t>•  Phụ cấp trực = Số ca × đơn giá; Phụ cấp hiện trường = Số ngày × đơn giá; Phụ cấp ăn trưa = Ngày công × đơn giá, phần vượt mức miễn thuế tính vào thu nhập chịu thuế. Công tác phí / hỗ trợ có chứng từ nhập ở cột riêng và không tính thuế.</t>
  </si>
  <si>
    <t>•  Thưởng và bổ sung ở trạng thái 'Chờ xác nhận' chưa được tính vào thu nhập. Thu nhập tính thuế = Lương + phần làm thêm giờ chịu thuế + phụ cấp chịu thuế + thưởng đã xác nhận − BHXH − BHYT − BHTN − Giảm trừ gia cảnh; thuế theo biểu lũy tiến ở sheet 'Cài đặt'.</t>
  </si>
  <si>
    <t>•  Dữ liệu mẫu (8 nhân viên kỹ thuật, tháng 10/2026) chỉ để minh họa – hãy xóa và thay bằng dữ liệu thật. Bảng chứa tối đa 40 nhân viên; cần thêm, chèn dòng giữa bảng và chép công thức từ dòng trên.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</si>
</sst>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%"/>
    <numFmt numFmtId="165" formatCode="#,##0;\(#,##0\);\-"/>
    <numFmt numFmtId="166" formatCode="mm/yyyy"/>
    <numFmt numFmtId="167" formatCode="dd/mm/yyyy"/>
    <numFmt numFmtId="168" formatCode="#,##0.0"/>
    <numFmt numFmtId="169" formatCode="0.0"/>
    <numFmt numFmtId="170" formatCode="&quot;Ngày ký: &quot;dd/mm/yyyy"/>
  </numFmts>
  <fonts count="20">
    <font>
      <sz val="11.0"/>
      <color theme="1"/>
      <name val="Calibri"/>
      <scheme val="minor"/>
    </font>
    <font>
      <b/>
      <sz val="22.0"/>
      <color rgb="FFFFFFFF"/>
      <name val="Inter Tight"/>
    </font>
    <font/>
    <font>
      <i/>
      <sz val="10.0"/>
      <color rgb="FF71717A"/>
      <name val="Inter Tight"/>
    </font>
    <font>
      <b/>
      <sz val="10.0"/>
      <color rgb="FFFFFFFF"/>
      <name val="Inter Tight"/>
    </font>
    <font>
      <i/>
      <sz val="9.0"/>
      <color rgb="FFDC2626"/>
      <name val="Inter Tight"/>
    </font>
    <font>
      <sz val="10.0"/>
      <color rgb="FF18181B"/>
      <name val="Inter Tight"/>
    </font>
    <font>
      <sz val="10.0"/>
      <color rgb="FF1F4FBF"/>
      <name val="Inter Tight"/>
    </font>
    <font>
      <sz val="9.0"/>
      <color rgb="FF71717A"/>
      <name val="Inter Tight"/>
    </font>
    <font>
      <b/>
      <sz val="10.0"/>
      <color rgb="FF3F3F46"/>
      <name val="Inter Tight"/>
    </font>
    <font>
      <b/>
      <sz val="9.0"/>
      <color rgb="FF71717A"/>
      <name val="Inter Tight"/>
    </font>
    <font>
      <b/>
      <sz val="16.0"/>
      <color rgb="FFF26A1B"/>
      <name val="Inter Tight"/>
    </font>
    <font>
      <b/>
      <sz val="11.0"/>
      <color rgb="FFF26A1B"/>
      <name val="Inter Tight"/>
    </font>
    <font>
      <b/>
      <sz val="9.0"/>
      <color rgb="FFF26A1B"/>
      <name val="Inter Tight"/>
    </font>
    <font>
      <b/>
      <sz val="10.0"/>
      <color rgb="FFF26A1B"/>
      <name val="Inter Tight"/>
    </font>
    <font>
      <b/>
      <sz val="16.0"/>
      <color rgb="FFDC2626"/>
      <name val="Inter Tight"/>
    </font>
    <font>
      <b/>
      <sz val="10.0"/>
      <color rgb="FF18181B"/>
      <name val="Inter Tight"/>
    </font>
    <font>
      <b/>
      <sz val="10.0"/>
      <color rgb="FF1F4FBF"/>
      <name val="Inter Tight"/>
    </font>
    <font>
      <i/>
      <sz val="9.0"/>
      <color rgb="FF71717A"/>
      <name val="Inter Tight"/>
    </font>
    <font>
      <sz val="9.0"/>
      <color rgb="FF1F4FBF"/>
      <name val="Inter Tight"/>
    </font>
  </fonts>
  <fills count="8">
    <fill>
      <patternFill patternType="none"/>
    </fill>
    <fill>
      <patternFill patternType="lightGray"/>
    </fill>
    <fill>
      <patternFill patternType="solid">
        <fgColor rgb="FFF26A1B"/>
        <bgColor rgb="FFF26A1B"/>
      </patternFill>
    </fill>
    <fill>
      <patternFill patternType="solid">
        <fgColor rgb="FF3F3F46"/>
        <bgColor rgb="FF3F3F46"/>
      </patternFill>
    </fill>
    <fill>
      <patternFill patternType="solid">
        <fgColor rgb="FFFFFFFF"/>
        <bgColor rgb="FFFFFFFF"/>
      </patternFill>
    </fill>
    <fill>
      <patternFill patternType="solid">
        <fgColor rgb="FFF4F4F5"/>
        <bgColor rgb="FFF4F4F5"/>
      </patternFill>
    </fill>
    <fill>
      <patternFill patternType="solid">
        <fgColor rgb="FFFDE9DB"/>
        <bgColor rgb="FFFDE9DB"/>
      </patternFill>
    </fill>
    <fill>
      <patternFill patternType="solid">
        <fgColor rgb="FFE4E4E7"/>
        <bgColor rgb="FFE4E4E7"/>
      </patternFill>
    </fill>
  </fills>
  <borders count="15">
    <border/>
    <border>
      <left/>
      <top/>
      <bottom/>
    </border>
    <border>
      <top/>
      <bottom/>
    </border>
    <border>
      <right/>
      <top/>
      <bottom/>
    </border>
    <border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</border>
    <border>
      <left style="thin">
        <color rgb="FFD4D4D8"/>
      </left>
      <top style="thin">
        <color rgb="FFD4D4D8"/>
      </top>
      <bottom style="thin">
        <color rgb="FFD4D4D8"/>
      </bottom>
    </border>
    <border>
      <top style="thin">
        <color rgb="FFD4D4D8"/>
      </top>
      <bottom style="thin">
        <color rgb="FFD4D4D8"/>
      </bottom>
    </border>
    <border>
      <right style="thin">
        <color rgb="FFD4D4D8"/>
      </right>
      <top style="thin">
        <color rgb="FFD4D4D8"/>
      </top>
      <bottom style="thin">
        <color rgb="FFD4D4D8"/>
      </bottom>
    </border>
    <border>
      <left style="thick">
        <color rgb="FFF26A1B"/>
      </left>
      <top/>
      <bottom/>
    </border>
    <border>
      <left style="thick">
        <color rgb="FFF26A1B"/>
      </left>
      <top/>
    </border>
    <border>
      <top/>
    </border>
    <border>
      <right/>
      <top/>
    </border>
    <border>
      <left style="thick">
        <color rgb="FFF26A1B"/>
      </left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0"/>
    </xf>
    <xf borderId="2" fillId="0" fontId="2" numFmtId="0" xfId="0" applyBorder="1" applyFont="1"/>
    <xf borderId="3" fillId="0" fontId="2" numFmtId="0" xfId="0" applyBorder="1" applyFont="1"/>
    <xf borderId="2" fillId="2" fontId="1" numFmtId="0" xfId="0" applyAlignment="1" applyBorder="1" applyFill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4" fillId="3" fontId="4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0"/>
    </xf>
    <xf borderId="0" fillId="0" fontId="5" numFmtId="0" xfId="0" applyAlignment="1" applyFont="1">
      <alignment shrinkToFit="0" vertical="center" wrapText="0"/>
    </xf>
    <xf borderId="5" fillId="3" fontId="4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4" fillId="4" fontId="6" numFmtId="0" xfId="0" applyAlignment="1" applyBorder="1" applyFill="1" applyFont="1">
      <alignment horizontal="left" shrinkToFit="0" vertical="center" wrapText="0"/>
    </xf>
    <xf borderId="4" fillId="4" fontId="7" numFmtId="164" xfId="0" applyAlignment="1" applyBorder="1" applyFill="1" applyFont="1" applyNumberFormat="1">
      <alignment horizontal="right" shrinkToFit="0" vertical="center" wrapText="0"/>
    </xf>
    <xf borderId="4" fillId="4" fontId="7" numFmtId="0" xfId="0" applyAlignment="1" applyBorder="1" applyFill="1" applyFont="1">
      <alignment horizontal="center" shrinkToFit="0" vertical="center" wrapText="0"/>
    </xf>
    <xf borderId="5" fillId="4" fontId="8" numFmtId="0" xfId="0" applyAlignment="1" applyBorder="1" applyFill="1" applyFont="1">
      <alignment shrinkToFit="0" vertical="center" wrapText="1"/>
    </xf>
    <xf borderId="4" fillId="4" fontId="7" numFmtId="0" xfId="0" applyAlignment="1" applyBorder="1" applyFill="1" applyFont="1">
      <alignment horizontal="left"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7" numFmtId="164" xfId="0" applyAlignment="1" applyBorder="1" applyFill="1" applyFont="1" applyNumberFormat="1">
      <alignment horizontal="right" shrinkToFit="0" vertical="center" wrapText="0"/>
    </xf>
    <xf borderId="5" fillId="5" fontId="8" numFmtId="0" xfId="0" applyAlignment="1" applyBorder="1" applyFill="1" applyFont="1">
      <alignment shrinkToFit="0" vertical="center" wrapText="1"/>
    </xf>
    <xf borderId="4" fillId="4" fontId="7" numFmtId="49" xfId="0" applyAlignment="1" applyBorder="1" applyFill="1" applyFont="1" applyNumberFormat="1">
      <alignment horizontal="left" shrinkToFit="0" vertical="center" wrapText="0"/>
    </xf>
    <xf borderId="4" fillId="4" fontId="7" numFmtId="165" xfId="0" applyAlignment="1" applyBorder="1" applyFill="1" applyFont="1" applyNumberFormat="1">
      <alignment horizontal="right" shrinkToFit="0" vertical="center" wrapText="0"/>
    </xf>
    <xf borderId="4" fillId="5" fontId="7" numFmtId="165" xfId="0" applyAlignment="1" applyBorder="1" applyFill="1" applyFont="1" applyNumberFormat="1">
      <alignment horizontal="right" shrinkToFit="0" vertical="center" wrapText="0"/>
    </xf>
    <xf borderId="4" fillId="4" fontId="7" numFmtId="1" xfId="0" applyAlignment="1" applyBorder="1" applyFill="1" applyFont="1" applyNumberFormat="1">
      <alignment horizontal="right" shrinkToFit="0" vertical="center" wrapText="0"/>
    </xf>
    <xf borderId="3" fillId="2" fontId="1" numFmtId="0" xfId="0" applyAlignment="1" applyBorder="1" applyFill="1" applyFont="1">
      <alignment shrinkToFit="0" vertical="center" wrapText="0"/>
    </xf>
    <xf borderId="4" fillId="5" fontId="6" numFmtId="165" xfId="0" applyAlignment="1" applyBorder="1" applyFill="1" applyFont="1" applyNumberFormat="1">
      <alignment horizontal="right" shrinkToFit="0" vertical="center" wrapText="0"/>
    </xf>
    <xf borderId="0" fillId="0" fontId="9" numFmtId="0" xfId="0" applyAlignment="1" applyFont="1">
      <alignment shrinkToFit="0" vertical="bottom" wrapText="0"/>
    </xf>
    <xf borderId="1" fillId="6" fontId="7" numFmtId="0" xfId="0" applyAlignment="1" applyBorder="1" applyFill="1" applyFont="1">
      <alignment horizontal="left" shrinkToFit="0" vertical="bottom" wrapText="0"/>
    </xf>
    <xf borderId="8" fillId="5" fontId="10" numFmtId="0" xfId="0" applyAlignment="1" applyBorder="1" applyFill="1" applyFont="1">
      <alignment horizontal="center" shrinkToFit="0" vertical="center" wrapText="0"/>
    </xf>
    <xf borderId="4" fillId="5" fontId="7" numFmtId="9" xfId="0" applyAlignment="1" applyBorder="1" applyFill="1" applyFont="1" applyNumberFormat="1">
      <alignment horizontal="right" shrinkToFit="0" vertical="center" wrapText="0"/>
    </xf>
    <xf borderId="4" fillId="4" fontId="7" numFmtId="9" xfId="0" applyAlignment="1" applyBorder="1" applyFill="1" applyFont="1" applyNumberFormat="1">
      <alignment horizontal="right" shrinkToFit="0" vertical="center" wrapText="0"/>
    </xf>
    <xf borderId="4" fillId="4" fontId="6" numFmtId="165" xfId="0" applyAlignment="1" applyBorder="1" applyFill="1" applyFont="1" applyNumberFormat="1">
      <alignment horizontal="right" shrinkToFit="0" vertical="center" wrapText="0"/>
    </xf>
    <xf borderId="4" fillId="5" fontId="7" numFmtId="0" xfId="0" applyAlignment="1" applyBorder="1" applyFill="1" applyFont="1">
      <alignment horizontal="center" shrinkToFit="0" vertical="center" wrapText="0"/>
    </xf>
    <xf borderId="4" fillId="5" fontId="7" numFmtId="0" xfId="0" applyAlignment="1" applyBorder="1" applyFill="1" applyFont="1">
      <alignment horizontal="left" shrinkToFit="0" vertical="center" wrapText="0"/>
    </xf>
    <xf borderId="4" fillId="5" fontId="7" numFmtId="1" xfId="0" applyAlignment="1" applyBorder="1" applyFill="1" applyFont="1" applyNumberFormat="1">
      <alignment horizontal="right" shrinkToFit="0" vertical="center" wrapText="0"/>
    </xf>
    <xf borderId="4" fillId="5" fontId="7" numFmtId="49" xfId="0" applyAlignment="1" applyBorder="1" applyFill="1" applyFont="1" applyNumberFormat="1">
      <alignment horizontal="left" shrinkToFit="0" vertical="center" wrapText="0"/>
    </xf>
    <xf borderId="4" fillId="4" fontId="7" numFmtId="0" xfId="0" applyAlignment="1" applyBorder="1" applyFill="1" applyFont="1">
      <alignment horizontal="right" shrinkToFit="0" vertical="center" wrapText="0"/>
    </xf>
    <xf borderId="9" fillId="5" fontId="11" numFmtId="1" xfId="0" applyAlignment="1" applyBorder="1" applyFill="1" applyFont="1" applyNumberFormat="1">
      <alignment horizontal="center" shrinkToFit="0" vertical="center" wrapText="0"/>
    </xf>
    <xf borderId="10" fillId="0" fontId="2" numFmtId="0" xfId="0" applyBorder="1" applyFont="1"/>
    <xf borderId="11" fillId="0" fontId="2" numFmtId="0" xfId="0" applyBorder="1" applyFont="1"/>
    <xf borderId="9" fillId="5" fontId="11" numFmtId="3" xfId="0" applyAlignment="1" applyBorder="1" applyFill="1" applyFont="1" applyNumberFormat="1">
      <alignment horizontal="center" shrinkToFit="0" vertical="center" wrapText="0"/>
    </xf>
    <xf borderId="0" fillId="0" fontId="12" numFmtId="0" xfId="0" applyAlignment="1" applyFont="1">
      <alignment shrinkToFit="0" vertical="bottom" wrapText="0"/>
    </xf>
    <xf borderId="4" fillId="4" fontId="6" numFmtId="0" xfId="0" applyAlignment="1" applyBorder="1" applyFill="1" applyFont="1">
      <alignment horizontal="center" shrinkToFit="0" vertical="center" wrapText="0"/>
    </xf>
    <xf borderId="1" fillId="6" fontId="7" numFmtId="166" xfId="0" applyAlignment="1" applyBorder="1" applyFill="1" applyFont="1" applyNumberFormat="1">
      <alignment horizontal="left" shrinkToFit="0" vertical="bottom" wrapText="0"/>
    </xf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4" fillId="4" fontId="6" numFmtId="9" xfId="0" applyAlignment="1" applyBorder="1" applyFill="1" applyFont="1" applyNumberFormat="1">
      <alignment horizontal="right" shrinkToFit="0" vertical="center" wrapText="0"/>
    </xf>
    <xf borderId="4" fillId="5" fontId="6" numFmtId="0" xfId="0" applyAlignment="1" applyBorder="1" applyFill="1" applyFont="1">
      <alignment horizontal="center" shrinkToFit="0" vertical="center" wrapText="0"/>
    </xf>
    <xf borderId="1" fillId="6" fontId="7" numFmtId="167" xfId="0" applyAlignment="1" applyBorder="1" applyFill="1" applyFont="1" applyNumberFormat="1">
      <alignment horizontal="left" shrinkToFit="0" vertical="bottom" wrapText="0"/>
    </xf>
    <xf borderId="4" fillId="5" fontId="6" numFmtId="9" xfId="0" applyAlignment="1" applyBorder="1" applyFill="1" applyFont="1" applyNumberFormat="1">
      <alignment horizontal="right" shrinkToFit="0" vertical="center" wrapText="0"/>
    </xf>
    <xf borderId="0" fillId="0" fontId="13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14" numFmtId="0" xfId="0" applyAlignment="1" applyFont="1">
      <alignment shrinkToFit="0" vertical="bottom" wrapText="0"/>
    </xf>
    <xf borderId="9" fillId="5" fontId="15" numFmtId="1" xfId="0" applyAlignment="1" applyBorder="1" applyFill="1" applyFont="1" applyNumberFormat="1">
      <alignment horizontal="center" shrinkToFit="0" vertical="center" wrapText="0"/>
    </xf>
    <xf borderId="1" fillId="6" fontId="7" numFmtId="1" xfId="0" applyAlignment="1" applyBorder="1" applyFill="1" applyFont="1" applyNumberFormat="1">
      <alignment horizontal="left" shrinkToFit="0" vertical="bottom" wrapText="0"/>
    </xf>
    <xf borderId="1" fillId="6" fontId="13" numFmtId="0" xfId="0" applyAlignment="1" applyBorder="1" applyFill="1" applyFont="1">
      <alignment horizontal="left" shrinkToFit="0" vertical="bottom" wrapText="0"/>
    </xf>
    <xf borderId="4" fillId="4" fontId="6" numFmtId="168" xfId="0" applyAlignment="1" applyBorder="1" applyFill="1" applyFont="1" applyNumberFormat="1">
      <alignment horizontal="right" shrinkToFit="0" vertical="center" wrapText="0"/>
    </xf>
    <xf borderId="1" fillId="2" fontId="4" numFmtId="0" xfId="0" applyAlignment="1" applyBorder="1" applyFill="1" applyFont="1">
      <alignment horizontal="center" shrinkToFit="0" vertical="center" wrapText="0"/>
    </xf>
    <xf borderId="1" fillId="3" fontId="4" numFmtId="0" xfId="0" applyAlignment="1" applyBorder="1" applyFill="1" applyFont="1">
      <alignment horizontal="center" shrinkToFit="0" vertical="center" wrapText="0"/>
    </xf>
    <xf borderId="4" fillId="7" fontId="9" numFmtId="0" xfId="0" applyAlignment="1" applyBorder="1" applyFill="1" applyFont="1">
      <alignment horizontal="center" shrinkToFit="0" vertical="center" wrapText="1"/>
    </xf>
    <xf borderId="4" fillId="6" fontId="9" numFmtId="0" xfId="0" applyAlignment="1" applyBorder="1" applyFill="1" applyFont="1">
      <alignment horizontal="center" shrinkToFit="0" vertical="center" wrapText="1"/>
    </xf>
    <xf borderId="4" fillId="5" fontId="6" numFmtId="168" xfId="0" applyAlignment="1" applyBorder="1" applyFill="1" applyFont="1" applyNumberFormat="1">
      <alignment horizontal="right" shrinkToFit="0" vertical="center" wrapText="0"/>
    </xf>
    <xf borderId="4" fillId="4" fontId="6" numFmtId="49" xfId="0" applyAlignment="1" applyBorder="1" applyFill="1" applyFont="1" applyNumberFormat="1">
      <alignment horizontal="left" shrinkToFit="0" vertical="center" wrapText="0"/>
    </xf>
    <xf borderId="4" fillId="4" fontId="6" numFmtId="169" xfId="0" applyAlignment="1" applyBorder="1" applyFill="1" applyFont="1" applyNumberFormat="1">
      <alignment horizontal="center" shrinkToFit="0" vertical="center" wrapText="0"/>
    </xf>
    <xf borderId="4" fillId="4" fontId="7" numFmtId="169" xfId="0" applyAlignment="1" applyBorder="1" applyFill="1" applyFont="1" applyNumberFormat="1">
      <alignment horizontal="center" shrinkToFit="0" vertical="center" wrapText="0"/>
    </xf>
    <xf borderId="4" fillId="4" fontId="7" numFmtId="1" xfId="0" applyAlignment="1" applyBorder="1" applyFill="1" applyFont="1" applyNumberFormat="1">
      <alignment horizontal="center" shrinkToFit="0" vertical="center" wrapText="0"/>
    </xf>
    <xf borderId="4" fillId="6" fontId="16" numFmtId="165" xfId="0" applyAlignment="1" applyBorder="1" applyFill="1" applyFont="1" applyNumberFormat="1">
      <alignment horizontal="right" shrinkToFit="0" vertical="center" wrapText="0"/>
    </xf>
    <xf borderId="4" fillId="4" fontId="7" numFmtId="167" xfId="0" applyAlignment="1" applyBorder="1" applyFill="1" applyFont="1" applyNumberFormat="1">
      <alignment horizontal="center" shrinkToFit="0" vertical="center" wrapText="0"/>
    </xf>
    <xf borderId="4" fillId="5" fontId="6" numFmtId="49" xfId="0" applyAlignment="1" applyBorder="1" applyFill="1" applyFont="1" applyNumberFormat="1">
      <alignment horizontal="left" shrinkToFit="0" vertical="center" wrapText="0"/>
    </xf>
    <xf borderId="4" fillId="5" fontId="6" numFmtId="169" xfId="0" applyAlignment="1" applyBorder="1" applyFill="1" applyFont="1" applyNumberFormat="1">
      <alignment horizontal="center" shrinkToFit="0" vertical="center" wrapText="0"/>
    </xf>
    <xf borderId="4" fillId="5" fontId="7" numFmtId="169" xfId="0" applyAlignment="1" applyBorder="1" applyFill="1" applyFont="1" applyNumberFormat="1">
      <alignment horizontal="center" shrinkToFit="0" vertical="center" wrapText="0"/>
    </xf>
    <xf borderId="4" fillId="2" fontId="4" numFmtId="0" xfId="0" applyAlignment="1" applyBorder="1" applyFill="1" applyFont="1">
      <alignment horizontal="left" shrinkToFit="0" vertical="center" wrapText="0"/>
    </xf>
    <xf borderId="4" fillId="2" fontId="4" numFmtId="165" xfId="0" applyAlignment="1" applyBorder="1" applyFill="1" applyFont="1" applyNumberFormat="1">
      <alignment horizontal="right" shrinkToFit="0" vertical="center" wrapText="0"/>
    </xf>
    <xf borderId="4" fillId="2" fontId="4" numFmtId="168" xfId="0" applyAlignment="1" applyBorder="1" applyFill="1" applyFont="1" applyNumberFormat="1">
      <alignment horizontal="right" shrinkToFit="0" vertical="center" wrapText="0"/>
    </xf>
    <xf borderId="4" fillId="5" fontId="7" numFmtId="1" xfId="0" applyAlignment="1" applyBorder="1" applyFill="1" applyFont="1" applyNumberFormat="1">
      <alignment horizontal="center" shrinkToFit="0" vertical="center" wrapText="0"/>
    </xf>
    <xf borderId="4" fillId="5" fontId="7" numFmtId="167" xfId="0" applyAlignment="1" applyBorder="1" applyFill="1" applyFont="1" applyNumberFormat="1">
      <alignment horizontal="center" shrinkToFit="0" vertical="center" wrapText="0"/>
    </xf>
    <xf borderId="5" fillId="2" fontId="4" numFmtId="0" xfId="0" applyAlignment="1" applyBorder="1" applyFill="1" applyFont="1">
      <alignment horizontal="center" shrinkToFit="0" vertical="center" wrapText="0"/>
    </xf>
    <xf borderId="4" fillId="2" fontId="4" numFmtId="0" xfId="0" applyAlignment="1" applyBorder="1" applyFill="1" applyFont="1">
      <alignment horizontal="right" shrinkToFit="0" vertical="center" wrapText="0"/>
    </xf>
    <xf borderId="5" fillId="6" fontId="17" numFmtId="165" xfId="0" applyAlignment="1" applyBorder="1" applyFill="1" applyFont="1" applyNumberFormat="1">
      <alignment horizontal="right" shrinkToFit="0" vertical="bottom" wrapText="0"/>
    </xf>
    <xf borderId="5" fillId="5" fontId="16" numFmtId="165" xfId="0" applyAlignment="1" applyBorder="1" applyFill="1" applyFont="1" applyNumberFormat="1">
      <alignment horizontal="right" shrinkToFit="0" vertical="bottom" wrapText="0"/>
    </xf>
    <xf borderId="0" fillId="0" fontId="9" numFmtId="0" xfId="0" applyAlignment="1" applyFon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  <xf borderId="1" fillId="6" fontId="17" numFmtId="0" xfId="0" applyAlignment="1" applyBorder="1" applyFill="1" applyFont="1">
      <alignment horizontal="center" shrinkToFit="0" vertical="center" wrapText="0"/>
    </xf>
    <xf borderId="0" fillId="0" fontId="19" numFmtId="170" xfId="0" applyAlignment="1" applyFont="1" applyNumberFormat="1">
      <alignment horizontal="center" shrinkToFit="0" vertical="bottom" wrapText="0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4">
    <dxf>
      <font>
        <b/>
        <color rgb="FFDC2626"/>
        <name val="Inter Tight"/>
      </font>
      <fill>
        <patternFill patternType="none"/>
      </fill>
      <border/>
    </dxf>
    <dxf>
      <font>
        <b/>
        <color rgb="FFF26A1B"/>
        <name val="Inter Tight"/>
      </font>
      <fill>
        <patternFill patternType="solid">
          <fgColor rgb="FFFDE9DB"/>
          <bgColor rgb="FFFDE9DB"/>
        </patternFill>
      </fill>
      <border/>
    </dxf>
    <dxf>
      <font>
        <color rgb="FF71717A"/>
        <name val="Inter Tight"/>
      </font>
      <fill>
        <patternFill patternType="none"/>
      </fill>
      <border/>
    </dxf>
    <dxf>
      <font>
        <b/>
        <color rgb="FFB45309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Thực nhận theo tổ / nhóm (VNĐ)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Thực nhận (VNĐ)</c:v>
          </c:tx>
          <c:spPr>
            <a:solidFill>
              <a:srgbClr val="F26A1B"/>
            </a:solidFill>
            <a:ln cmpd="sng">
              <a:noFill/>
            </a:ln>
          </c:spPr>
          <c:invertIfNegative val="0"/>
          <c:cat>
            <c:strRef>
              <c:f>'Tổng hợp'!$A$6:$A$11</c:f>
            </c:strRef>
          </c:cat>
          <c:val>
            <c:numRef>
              <c:f>'Tổng hợp'!$G$6:$G$11</c:f>
              <c:numCache/>
            </c:numRef>
          </c:val>
        </c:ser>
        <c:axId val="1905321514"/>
        <c:axId val="1429115042"/>
      </c:barChart>
      <c:catAx>
        <c:axId val="19053215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29115042"/>
      </c:catAx>
      <c:valAx>
        <c:axId val="142911504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905321514"/>
      </c:valAx>
    </c:plotArea>
    <c:plotVisOnly val="1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16</xdr:row>
      <xdr:rowOff>0</xdr:rowOff>
    </xdr:from>
    <xdr:ext cx="7515225" cy="3209925"/>
    <xdr:graphicFrame>
      <xdr:nvGraphicFramePr>
        <xdr:cNvPr id="160616246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6A1B"/>
    <pageSetUpPr fitToPage="1"/>
  </sheetPr>
  <sheetViews>
    <sheetView showGridLines="0" workbookViewId="0">
      <pane xSplit="3.0" topLeftCell="D1" activePane="topRight" state="frozen"/>
      <selection activeCell="E2" sqref="E2" pane="topRigh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24.0"/>
    <col customWidth="1" min="4" max="4" width="26.0"/>
    <col customWidth="1" min="5" max="5" width="18.0"/>
    <col customWidth="1" min="6" max="6" width="14.0"/>
    <col customWidth="1" min="7" max="7" width="17.0"/>
    <col customWidth="1" min="8" max="9" width="15.0"/>
    <col customWidth="1" min="10" max="10" width="10.0"/>
    <col customWidth="1" min="11" max="11" width="11.0"/>
    <col customWidth="1" min="12" max="12" width="16.0"/>
    <col customWidth="1" min="13" max="13" width="14.0"/>
    <col customWidth="1" min="14" max="14" width="16.0"/>
    <col customWidth="1" min="15" max="15" width="12.0"/>
    <col customWidth="1" min="16" max="18" width="11.0"/>
    <col customWidth="1" min="19" max="20" width="10.0"/>
    <col customWidth="1" min="21" max="21" width="16.0"/>
    <col customWidth="1" min="22" max="22" width="15.0"/>
    <col customWidth="1" min="23" max="23" width="14.0"/>
    <col customWidth="1" min="24" max="24" width="8.0"/>
    <col customWidth="1" min="25" max="25" width="13.0"/>
    <col customWidth="1" min="26" max="26" width="10.0"/>
    <col customWidth="1" min="27" max="27" width="14.0"/>
    <col customWidth="1" min="28" max="29" width="13.0"/>
    <col customWidth="1" min="30" max="30" width="16.0"/>
    <col customWidth="1" min="31" max="32" width="15.0"/>
    <col customWidth="1" min="33" max="33" width="28.0"/>
    <col customWidth="1" min="34" max="34" width="15.0"/>
    <col customWidth="1" min="35" max="35" width="16.0"/>
    <col customWidth="1" min="36" max="38" width="14.0"/>
    <col customWidth="1" min="39" max="40" width="15.0"/>
    <col customWidth="1" min="41" max="43" width="14.0"/>
    <col customWidth="1" min="44" max="44" width="15.0"/>
    <col customWidth="1" min="45" max="45" width="17.0"/>
    <col customWidth="1" min="46" max="46" width="16.0"/>
    <col customWidth="1" min="47" max="47" width="13.0"/>
    <col customWidth="1" min="48" max="48" width="14.0"/>
    <col customWidth="1" min="49" max="49" width="24.0"/>
  </cols>
  <sheetData>
    <row r="1" ht="42.0" customHeight="1">
      <c r="A1" s="1"/>
      <c r="B1" s="4"/>
      <c r="C1" s="4"/>
      <c r="D1" s="7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24"/>
    </row>
    <row r="2" ht="19.5" customHeight="1">
      <c r="A2" s="5" t="str">
        <f>"Tháng "&amp;TEXT($C$6,"mm/yyyy")&amp;"  |  Kỳ công: "&amp;TEXT($C$7,"dd/mm/yyyy")&amp;" – "&amp;TEXT($C$8,"dd/mm/yyyy")&amp;"  |  Ngày lập: "&amp;TEXT($C$9,"dd/mm/yyyy")</f>
        <v>Tháng 10/2026  |  Kỳ công: 01/10/2026 – 31/10/2026  |  Ngày lập: 28/10/2026</v>
      </c>
    </row>
    <row r="4">
      <c r="A4" s="26" t="s">
        <v>47</v>
      </c>
      <c r="C4" s="27" t="s">
        <v>49</v>
      </c>
      <c r="D4" s="3"/>
      <c r="E4" s="28" t="s">
        <v>52</v>
      </c>
      <c r="F4" s="2"/>
      <c r="G4" s="3"/>
      <c r="H4" s="28" t="s">
        <v>55</v>
      </c>
      <c r="I4" s="2"/>
      <c r="J4" s="2"/>
      <c r="K4" s="3"/>
      <c r="L4" s="28" t="s">
        <v>58</v>
      </c>
      <c r="M4" s="2"/>
      <c r="N4" s="3"/>
      <c r="O4" s="28" t="s">
        <v>61</v>
      </c>
      <c r="P4" s="2"/>
      <c r="Q4" s="2"/>
      <c r="R4" s="3"/>
    </row>
    <row r="5">
      <c r="A5" s="26" t="s">
        <v>65</v>
      </c>
      <c r="C5" s="27" t="s">
        <v>66</v>
      </c>
      <c r="D5" s="3"/>
      <c r="E5" s="37">
        <f>SUMPRODUCT(--($B$15:$B$54&lt;&gt;""))</f>
        <v>8</v>
      </c>
      <c r="F5" s="38"/>
      <c r="G5" s="39"/>
      <c r="H5" s="40">
        <f>AI55</f>
        <v>183594421</v>
      </c>
      <c r="I5" s="38"/>
      <c r="J5" s="38"/>
      <c r="K5" s="39"/>
      <c r="L5" s="40">
        <f>AR55</f>
        <v>18109566</v>
      </c>
      <c r="M5" s="38"/>
      <c r="N5" s="39"/>
      <c r="O5" s="40">
        <f>AS55</f>
        <v>165484855</v>
      </c>
      <c r="P5" s="38"/>
      <c r="Q5" s="38"/>
      <c r="R5" s="39"/>
    </row>
    <row r="6">
      <c r="A6" s="26" t="s">
        <v>109</v>
      </c>
      <c r="C6" s="43">
        <v>46296.0</v>
      </c>
      <c r="D6" s="3"/>
      <c r="E6" s="44"/>
      <c r="F6" s="45"/>
      <c r="G6" s="46"/>
      <c r="H6" s="44"/>
      <c r="I6" s="45"/>
      <c r="J6" s="45"/>
      <c r="K6" s="46"/>
      <c r="L6" s="44"/>
      <c r="M6" s="45"/>
      <c r="N6" s="46"/>
      <c r="O6" s="44"/>
      <c r="P6" s="45"/>
      <c r="Q6" s="45"/>
      <c r="R6" s="46"/>
    </row>
    <row r="7">
      <c r="A7" s="26" t="s">
        <v>122</v>
      </c>
      <c r="C7" s="49">
        <v>46296.0</v>
      </c>
      <c r="D7" s="3"/>
    </row>
    <row r="8">
      <c r="A8" s="26" t="s">
        <v>130</v>
      </c>
      <c r="C8" s="49">
        <v>46326.0</v>
      </c>
      <c r="D8" s="3"/>
      <c r="E8" s="28" t="s">
        <v>137</v>
      </c>
      <c r="F8" s="2"/>
      <c r="G8" s="3"/>
      <c r="H8" s="28" t="s">
        <v>140</v>
      </c>
      <c r="I8" s="2"/>
      <c r="J8" s="2"/>
      <c r="K8" s="3"/>
      <c r="L8" s="28" t="s">
        <v>142</v>
      </c>
      <c r="M8" s="2"/>
      <c r="N8" s="3"/>
      <c r="O8" s="28" t="s">
        <v>144</v>
      </c>
      <c r="P8" s="2"/>
      <c r="Q8" s="2"/>
      <c r="R8" s="3"/>
    </row>
    <row r="9">
      <c r="A9" s="26" t="s">
        <v>146</v>
      </c>
      <c r="C9" s="49">
        <v>46323.0</v>
      </c>
      <c r="D9" s="3"/>
      <c r="E9" s="40">
        <f>SUMIF($AT$15:$AT$54,"Đã thanh toán",$AS$15:$AS$54)</f>
        <v>89988405</v>
      </c>
      <c r="F9" s="38"/>
      <c r="G9" s="39"/>
      <c r="H9" s="40">
        <f>AS55-E9</f>
        <v>75496450</v>
      </c>
      <c r="I9" s="38"/>
      <c r="J9" s="38"/>
      <c r="K9" s="39"/>
      <c r="L9" s="40">
        <f>T55</f>
        <v>108</v>
      </c>
      <c r="M9" s="38"/>
      <c r="N9" s="39"/>
      <c r="O9" s="54">
        <f>SUMPRODUCT(($B$15:$B$54&lt;&gt;"")*($T$15:$T$54&gt;'Cài đặt'!$B$20))</f>
        <v>1</v>
      </c>
      <c r="P9" s="38"/>
      <c r="Q9" s="38"/>
      <c r="R9" s="39"/>
    </row>
    <row r="10">
      <c r="A10" s="26" t="s">
        <v>157</v>
      </c>
      <c r="C10" s="55">
        <v>26.0</v>
      </c>
      <c r="D10" s="3"/>
      <c r="E10" s="44"/>
      <c r="F10" s="45"/>
      <c r="G10" s="46"/>
      <c r="H10" s="44"/>
      <c r="I10" s="45"/>
      <c r="J10" s="45"/>
      <c r="K10" s="46"/>
      <c r="L10" s="44"/>
      <c r="M10" s="45"/>
      <c r="N10" s="46"/>
      <c r="O10" s="44"/>
      <c r="P10" s="45"/>
      <c r="Q10" s="45"/>
      <c r="R10" s="46"/>
    </row>
    <row r="11">
      <c r="A11" s="26" t="s">
        <v>158</v>
      </c>
      <c r="C11" s="56" t="str">
        <f>IF(OR(C7="",C8="",C6=""),"Chưa nhập đủ kỳ công / tháng lương",IF(C8&lt;C7,"Kiểm tra lại: đến ngày nhỏ hơn từ ngày",IF(AND(C8&gt;=C6,C8&lt;=EOMONTH(C6,0)),"Khớp: kỳ công kết thúc trong tháng lương","Kiểm tra lại: kỳ công kết thúc ngoài tháng lương")))</f>
        <v>Khớp: kỳ công kết thúc trong tháng lương</v>
      </c>
      <c r="D11" s="3"/>
    </row>
    <row r="13" ht="24.0" customHeight="1">
      <c r="A13" s="58" t="s">
        <v>159</v>
      </c>
      <c r="B13" s="2"/>
      <c r="C13" s="2"/>
      <c r="D13" s="2"/>
      <c r="E13" s="2"/>
      <c r="F13" s="2"/>
      <c r="G13" s="3"/>
      <c r="H13" s="59" t="s">
        <v>160</v>
      </c>
      <c r="I13" s="2"/>
      <c r="J13" s="2"/>
      <c r="K13" s="2"/>
      <c r="L13" s="2"/>
      <c r="M13" s="2"/>
      <c r="N13" s="3"/>
      <c r="O13" s="58" t="s">
        <v>161</v>
      </c>
      <c r="P13" s="2"/>
      <c r="Q13" s="2"/>
      <c r="R13" s="2"/>
      <c r="S13" s="2"/>
      <c r="T13" s="2"/>
      <c r="U13" s="2"/>
      <c r="V13" s="3"/>
      <c r="W13" s="59" t="s">
        <v>162</v>
      </c>
      <c r="X13" s="2"/>
      <c r="Y13" s="2"/>
      <c r="Z13" s="2"/>
      <c r="AA13" s="2"/>
      <c r="AB13" s="2"/>
      <c r="AC13" s="2"/>
      <c r="AD13" s="3"/>
      <c r="AE13" s="58" t="s">
        <v>163</v>
      </c>
      <c r="AF13" s="2"/>
      <c r="AG13" s="2"/>
      <c r="AH13" s="2"/>
      <c r="AI13" s="3"/>
      <c r="AJ13" s="59" t="s">
        <v>164</v>
      </c>
      <c r="AK13" s="2"/>
      <c r="AL13" s="2"/>
      <c r="AM13" s="2"/>
      <c r="AN13" s="2"/>
      <c r="AO13" s="2"/>
      <c r="AP13" s="2"/>
      <c r="AQ13" s="2"/>
      <c r="AR13" s="2"/>
      <c r="AS13" s="3"/>
      <c r="AT13" s="58" t="s">
        <v>165</v>
      </c>
      <c r="AU13" s="2"/>
      <c r="AV13" s="2"/>
      <c r="AW13" s="3"/>
    </row>
    <row r="14" ht="61.5" customHeight="1">
      <c r="A14" s="60" t="s">
        <v>166</v>
      </c>
      <c r="B14" s="60" t="s">
        <v>9</v>
      </c>
      <c r="C14" s="60" t="s">
        <v>10</v>
      </c>
      <c r="D14" s="60" t="s">
        <v>11</v>
      </c>
      <c r="E14" s="60" t="s">
        <v>12</v>
      </c>
      <c r="F14" s="60" t="s">
        <v>13</v>
      </c>
      <c r="G14" s="60" t="s">
        <v>14</v>
      </c>
      <c r="H14" s="60" t="s">
        <v>167</v>
      </c>
      <c r="I14" s="60" t="s">
        <v>19</v>
      </c>
      <c r="J14" s="60" t="s">
        <v>168</v>
      </c>
      <c r="K14" s="60" t="s">
        <v>169</v>
      </c>
      <c r="L14" s="60" t="s">
        <v>170</v>
      </c>
      <c r="M14" s="60" t="s">
        <v>171</v>
      </c>
      <c r="N14" s="60" t="s">
        <v>172</v>
      </c>
      <c r="O14" s="60" t="s">
        <v>173</v>
      </c>
      <c r="P14" s="60" t="s">
        <v>174</v>
      </c>
      <c r="Q14" s="60" t="s">
        <v>175</v>
      </c>
      <c r="R14" s="60" t="s">
        <v>176</v>
      </c>
      <c r="S14" s="60" t="s">
        <v>177</v>
      </c>
      <c r="T14" s="60" t="s">
        <v>142</v>
      </c>
      <c r="U14" s="60" t="s">
        <v>178</v>
      </c>
      <c r="V14" s="60" t="s">
        <v>179</v>
      </c>
      <c r="W14" s="60" t="s">
        <v>180</v>
      </c>
      <c r="X14" s="60" t="s">
        <v>181</v>
      </c>
      <c r="Y14" s="60" t="s">
        <v>182</v>
      </c>
      <c r="Z14" s="60" t="s">
        <v>183</v>
      </c>
      <c r="AA14" s="60" t="s">
        <v>184</v>
      </c>
      <c r="AB14" s="60" t="s">
        <v>185</v>
      </c>
      <c r="AC14" s="60" t="s">
        <v>179</v>
      </c>
      <c r="AD14" s="60" t="s">
        <v>186</v>
      </c>
      <c r="AE14" s="60" t="s">
        <v>187</v>
      </c>
      <c r="AF14" s="60" t="s">
        <v>188</v>
      </c>
      <c r="AG14" s="60" t="s">
        <v>189</v>
      </c>
      <c r="AH14" s="60" t="s">
        <v>190</v>
      </c>
      <c r="AI14" s="60" t="s">
        <v>55</v>
      </c>
      <c r="AJ14" s="60" t="s">
        <v>191</v>
      </c>
      <c r="AK14" s="60" t="s">
        <v>192</v>
      </c>
      <c r="AL14" s="60" t="s">
        <v>193</v>
      </c>
      <c r="AM14" s="60" t="s">
        <v>194</v>
      </c>
      <c r="AN14" s="60" t="s">
        <v>195</v>
      </c>
      <c r="AO14" s="60" t="s">
        <v>196</v>
      </c>
      <c r="AP14" s="60" t="s">
        <v>197</v>
      </c>
      <c r="AQ14" s="60" t="s">
        <v>198</v>
      </c>
      <c r="AR14" s="60" t="s">
        <v>58</v>
      </c>
      <c r="AS14" s="61" t="s">
        <v>199</v>
      </c>
      <c r="AT14" s="60" t="s">
        <v>200</v>
      </c>
      <c r="AU14" s="60" t="s">
        <v>201</v>
      </c>
      <c r="AV14" s="60" t="s">
        <v>202</v>
      </c>
      <c r="AW14" s="60" t="s">
        <v>148</v>
      </c>
    </row>
    <row r="15" ht="21.75" customHeight="1">
      <c r="A15" s="42">
        <f t="shared" ref="A15:A54" si="1">IF($B15="","",ROW()-14)</f>
        <v>1</v>
      </c>
      <c r="B15" s="42" t="str">
        <f>IF('Nhân viên'!A5="","",'Nhân viên'!A5)</f>
        <v>KT001</v>
      </c>
      <c r="C15" s="12" t="str">
        <f>IF($B15="","",'Nhân viên'!B5)</f>
        <v>Nguyễn Hữu Phúc</v>
      </c>
      <c r="D15" s="12" t="str">
        <f>IF($B15="","",'Nhân viên'!C5)</f>
        <v>Kỹ sư trưởng (bậc 5)</v>
      </c>
      <c r="E15" s="12" t="str">
        <f>IF($B15="","",'Nhân viên'!D5)</f>
        <v>Hạ tầng – Mạng</v>
      </c>
      <c r="F15" s="12" t="str">
        <f>IF($B15="","",'Nhân viên'!E5)</f>
        <v>Vietcombank</v>
      </c>
      <c r="G15" s="63" t="str">
        <f>IF(OR($B15="",'Nhân viên'!F5=""),"",'Nhân viên'!F5)</f>
        <v>0011001234567</v>
      </c>
      <c r="H15" s="31">
        <f>IF($B15="","",'Nhân viên'!I5)</f>
        <v>30000000</v>
      </c>
      <c r="I15" s="31">
        <f>IF($B15="","",'Nhân viên'!J5)</f>
        <v>4000000</v>
      </c>
      <c r="J15" s="64">
        <f t="shared" ref="J15:J54" si="2">IF($B15="","",$C$10)</f>
        <v>26</v>
      </c>
      <c r="K15" s="65">
        <v>26.0</v>
      </c>
      <c r="L15" s="31">
        <f t="shared" ref="L15:L54" si="3">IF($B15="","",IF(J15=0,0,ROUND((H15+I15)/J15*K15,0)))</f>
        <v>34000000</v>
      </c>
      <c r="M15" s="21"/>
      <c r="N15" s="31">
        <f t="shared" ref="N15:N54" si="4">IF($B15="","",L15+M15)</f>
        <v>34000000</v>
      </c>
      <c r="O15" s="31">
        <f>IF($B15="","",IF(OR(J15=0,'Cài đặt'!$B$15=0),0,ROUND((H15+I15)/(J15*'Cài đặt'!$B$15),0)))</f>
        <v>163462</v>
      </c>
      <c r="P15" s="65">
        <v>6.0</v>
      </c>
      <c r="Q15" s="65"/>
      <c r="R15" s="65"/>
      <c r="S15" s="65"/>
      <c r="T15" s="64">
        <f t="shared" ref="T15:T54" si="5">IF($B15="","",P15+Q15+R15)</f>
        <v>6</v>
      </c>
      <c r="U15" s="31">
        <f>IF($B15="","",ROUND(O15*(P15*'Cài đặt'!$B$16+Q15*'Cài đặt'!$B$17+R15*'Cài đặt'!$B$18+S15*'Cài đặt'!$B$19),0))</f>
        <v>1471158</v>
      </c>
      <c r="V15" s="31">
        <f>IF($B15="","",IF('Cài đặt'!$B$21="Toàn bộ",U15,ROUND(O15*(P15*('Cài đặt'!$B$16-1)+Q15*('Cài đặt'!$B$17-1)+R15*('Cài đặt'!$B$18-1)+S15*'Cài đặt'!$B$19),0)))</f>
        <v>490386</v>
      </c>
      <c r="W15" s="31">
        <f>IF($B15="","",'Nhân viên'!K5)</f>
        <v>2000000</v>
      </c>
      <c r="X15" s="66">
        <v>2.0</v>
      </c>
      <c r="Y15" s="31">
        <f>IF($B15="","",ROUND(X15*'Cài đặt'!$B$22,0))</f>
        <v>600000</v>
      </c>
      <c r="Z15" s="66"/>
      <c r="AA15" s="31">
        <f>IF($B15="","",ROUND(Z15*'Cài đặt'!$B$23,0))</f>
        <v>0</v>
      </c>
      <c r="AB15" s="31">
        <f>IF($B15="","",ROUND(K15*'Cài đặt'!$B$24,0))</f>
        <v>910000</v>
      </c>
      <c r="AC15" s="31">
        <f>IF($B15="","",MIN(AB15,'Cài đặt'!$B$25))</f>
        <v>730000</v>
      </c>
      <c r="AD15" s="21"/>
      <c r="AE15" s="21"/>
      <c r="AF15" s="21"/>
      <c r="AG15" s="16"/>
      <c r="AH15" s="14"/>
      <c r="AI15" s="31">
        <f t="shared" ref="AI15:AI54" si="6">IF($B15="","",N15+U15+W15+Y15+AA15+AB15+AD15+IF(AH15="Chờ xác nhận",0,AE15+AF15))</f>
        <v>38981158</v>
      </c>
      <c r="AJ15" s="31">
        <f>IF($B15="","",ROUND(MIN('Nhân viên'!N5,'Cài đặt'!$B$10)*'Cài đặt'!$B$5,0))</f>
        <v>2880000</v>
      </c>
      <c r="AK15" s="31">
        <f>IF($B15="","",ROUND(MIN('Nhân viên'!N5,'Cài đặt'!$B$10)*'Cài đặt'!$B$6,0))</f>
        <v>540000</v>
      </c>
      <c r="AL15" s="31">
        <f>IF($B15="","",ROUND(MIN('Nhân viên'!N5,'Cài đặt'!$B$12)*'Cài đặt'!$B$7,0))</f>
        <v>360000</v>
      </c>
      <c r="AM15" s="31">
        <f>IF($B15="","",'Cài đặt'!$B$13+'Nhân viên'!H5*'Cài đặt'!$B$14)</f>
        <v>27900000</v>
      </c>
      <c r="AN15" s="31">
        <f t="shared" ref="AN15:AN54" si="7">IF($B15="","",MAX(0,N15+(U15-V15)+W15+Y15+AA15+(AB15-AC15)+IF(AH15="Chờ xác nhận",0,AE15+AF15)-AJ15-AK15-AL15-AM15))</f>
        <v>6080772</v>
      </c>
      <c r="AO15" s="31">
        <f>IF($B15="","",ROUND(SUMPRODUCT((AN15&gt;'Cài đặt'!$B$29:$B$33)*(AN15-'Cài đặt'!$B$29:$B$33)*'Cài đặt'!$E$29:$E$33),0))</f>
        <v>304039</v>
      </c>
      <c r="AP15" s="21"/>
      <c r="AQ15" s="21"/>
      <c r="AR15" s="31">
        <f t="shared" ref="AR15:AR54" si="8">IF($B15="","",AJ15+AK15+AL15+AO15+AP15+AQ15)</f>
        <v>4084039</v>
      </c>
      <c r="AS15" s="67">
        <f t="shared" ref="AS15:AS54" si="9">IF($B15="","",AI15-AR15)</f>
        <v>34897119</v>
      </c>
      <c r="AT15" s="14" t="s">
        <v>203</v>
      </c>
      <c r="AU15" s="68">
        <v>46324.0</v>
      </c>
      <c r="AV15" s="14" t="s">
        <v>204</v>
      </c>
      <c r="AW15" s="16"/>
    </row>
    <row r="16" ht="21.75" customHeight="1">
      <c r="A16" s="48">
        <f t="shared" si="1"/>
        <v>2</v>
      </c>
      <c r="B16" s="48" t="str">
        <f>IF('Nhân viên'!A6="","",'Nhân viên'!A6)</f>
        <v>KT002</v>
      </c>
      <c r="C16" s="17" t="str">
        <f>IF($B16="","",'Nhân viên'!B6)</f>
        <v>Trần Minh Quân</v>
      </c>
      <c r="D16" s="17" t="str">
        <f>IF($B16="","",'Nhân viên'!C6)</f>
        <v>Kỹ sư phần mềm (bậc 4)</v>
      </c>
      <c r="E16" s="17" t="str">
        <f>IF($B16="","",'Nhân viên'!D6)</f>
        <v>Phần mềm</v>
      </c>
      <c r="F16" s="17" t="str">
        <f>IF($B16="","",'Nhân viên'!E6)</f>
        <v>Techcombank</v>
      </c>
      <c r="G16" s="69" t="str">
        <f>IF(OR($B16="",'Nhân viên'!F6=""),"",'Nhân viên'!F6)</f>
        <v>19031234567890</v>
      </c>
      <c r="H16" s="25">
        <f>IF($B16="","",'Nhân viên'!I6)</f>
        <v>24000000</v>
      </c>
      <c r="I16" s="25">
        <f>IF($B16="","",'Nhân viên'!J6)</f>
        <v>2000000</v>
      </c>
      <c r="J16" s="70">
        <f t="shared" si="2"/>
        <v>26</v>
      </c>
      <c r="K16" s="71">
        <v>26.0</v>
      </c>
      <c r="L16" s="25">
        <f t="shared" si="3"/>
        <v>26000000</v>
      </c>
      <c r="M16" s="22"/>
      <c r="N16" s="25">
        <f t="shared" si="4"/>
        <v>26000000</v>
      </c>
      <c r="O16" s="25">
        <f>IF($B16="","",IF(OR(J16=0,'Cài đặt'!$B$15=0),0,ROUND((H16+I16)/(J16*'Cài đặt'!$B$15),0)))</f>
        <v>125000</v>
      </c>
      <c r="P16" s="71">
        <v>16.0</v>
      </c>
      <c r="Q16" s="71">
        <v>8.0</v>
      </c>
      <c r="R16" s="71"/>
      <c r="S16" s="71"/>
      <c r="T16" s="70">
        <f t="shared" si="5"/>
        <v>24</v>
      </c>
      <c r="U16" s="25">
        <f>IF($B16="","",ROUND(O16*(P16*'Cài đặt'!$B$16+Q16*'Cài đặt'!$B$17+R16*'Cài đặt'!$B$18+S16*'Cài đặt'!$B$19),0))</f>
        <v>5000000</v>
      </c>
      <c r="V16" s="25">
        <f>IF($B16="","",IF('Cài đặt'!$B$21="Toàn bộ",U16,ROUND(O16*(P16*('Cài đặt'!$B$16-1)+Q16*('Cài đặt'!$B$17-1)+R16*('Cài đặt'!$B$18-1)+S16*'Cài đặt'!$B$19),0)))</f>
        <v>2000000</v>
      </c>
      <c r="W16" s="25">
        <f>IF($B16="","",'Nhân viên'!K6)</f>
        <v>1500000</v>
      </c>
      <c r="X16" s="75"/>
      <c r="Y16" s="25">
        <f>IF($B16="","",ROUND(X16*'Cài đặt'!$B$22,0))</f>
        <v>0</v>
      </c>
      <c r="Z16" s="75"/>
      <c r="AA16" s="25">
        <f>IF($B16="","",ROUND(Z16*'Cài đặt'!$B$23,0))</f>
        <v>0</v>
      </c>
      <c r="AB16" s="25">
        <f>IF($B16="","",ROUND(K16*'Cài đặt'!$B$24,0))</f>
        <v>910000</v>
      </c>
      <c r="AC16" s="25">
        <f>IF($B16="","",MIN(AB16,'Cài đặt'!$B$25))</f>
        <v>730000</v>
      </c>
      <c r="AD16" s="22"/>
      <c r="AE16" s="22">
        <v>6000000.0</v>
      </c>
      <c r="AF16" s="22"/>
      <c r="AG16" s="33" t="s">
        <v>208</v>
      </c>
      <c r="AH16" s="32" t="s">
        <v>209</v>
      </c>
      <c r="AI16" s="25">
        <f t="shared" si="6"/>
        <v>39410000</v>
      </c>
      <c r="AJ16" s="25">
        <f>IF($B16="","",ROUND(MIN('Nhân viên'!N6,'Cài đặt'!$B$10)*'Cài đặt'!$B$5,0))</f>
        <v>2200000</v>
      </c>
      <c r="AK16" s="25">
        <f>IF($B16="","",ROUND(MIN('Nhân viên'!N6,'Cài đặt'!$B$10)*'Cài đặt'!$B$6,0))</f>
        <v>412500</v>
      </c>
      <c r="AL16" s="25">
        <f>IF($B16="","",ROUND(MIN('Nhân viên'!N6,'Cài đặt'!$B$12)*'Cài đặt'!$B$7,0))</f>
        <v>275000</v>
      </c>
      <c r="AM16" s="25">
        <f>IF($B16="","",'Cài đặt'!$B$13+'Nhân viên'!H6*'Cài đặt'!$B$14)</f>
        <v>21700000</v>
      </c>
      <c r="AN16" s="25">
        <f t="shared" si="7"/>
        <v>12092500</v>
      </c>
      <c r="AO16" s="25">
        <f>IF($B16="","",ROUND(SUMPRODUCT((AN16&gt;'Cài đặt'!$B$29:$B$33)*(AN16-'Cài đặt'!$B$29:$B$33)*'Cài đặt'!$E$29:$E$33),0))</f>
        <v>709250</v>
      </c>
      <c r="AP16" s="22"/>
      <c r="AQ16" s="22"/>
      <c r="AR16" s="25">
        <f t="shared" si="8"/>
        <v>3596750</v>
      </c>
      <c r="AS16" s="67">
        <f t="shared" si="9"/>
        <v>35813250</v>
      </c>
      <c r="AT16" s="32" t="s">
        <v>203</v>
      </c>
      <c r="AU16" s="76">
        <v>46324.0</v>
      </c>
      <c r="AV16" s="32" t="s">
        <v>210</v>
      </c>
      <c r="AW16" s="33"/>
    </row>
    <row r="17" ht="21.75" customHeight="1">
      <c r="A17" s="42">
        <f t="shared" si="1"/>
        <v>3</v>
      </c>
      <c r="B17" s="42" t="str">
        <f>IF('Nhân viên'!A7="","",'Nhân viên'!A7)</f>
        <v>KT003</v>
      </c>
      <c r="C17" s="12" t="str">
        <f>IF($B17="","",'Nhân viên'!B7)</f>
        <v>Lê Thị Hương</v>
      </c>
      <c r="D17" s="12" t="str">
        <f>IF($B17="","",'Nhân viên'!C7)</f>
        <v>Kỹ sư phần mềm (bậc 3)</v>
      </c>
      <c r="E17" s="12" t="str">
        <f>IF($B17="","",'Nhân viên'!D7)</f>
        <v>Phần mềm</v>
      </c>
      <c r="F17" s="12" t="str">
        <f>IF($B17="","",'Nhân viên'!E7)</f>
        <v>BIDV</v>
      </c>
      <c r="G17" s="63" t="str">
        <f>IF(OR($B17="",'Nhân viên'!F7=""),"",'Nhân viên'!F7)</f>
        <v>31410001234567</v>
      </c>
      <c r="H17" s="31">
        <f>IF($B17="","",'Nhân viên'!I7)</f>
        <v>18000000</v>
      </c>
      <c r="I17" s="31">
        <f>IF($B17="","",'Nhân viên'!J7)</f>
        <v>1000000</v>
      </c>
      <c r="J17" s="64">
        <f t="shared" si="2"/>
        <v>26</v>
      </c>
      <c r="K17" s="65">
        <v>25.0</v>
      </c>
      <c r="L17" s="31">
        <f t="shared" si="3"/>
        <v>18269231</v>
      </c>
      <c r="M17" s="21"/>
      <c r="N17" s="31">
        <f t="shared" si="4"/>
        <v>18269231</v>
      </c>
      <c r="O17" s="31">
        <f>IF($B17="","",IF(OR(J17=0,'Cài đặt'!$B$15=0),0,ROUND((H17+I17)/(J17*'Cài đặt'!$B$15),0)))</f>
        <v>91346</v>
      </c>
      <c r="P17" s="65">
        <v>10.0</v>
      </c>
      <c r="Q17" s="65"/>
      <c r="R17" s="65"/>
      <c r="S17" s="65"/>
      <c r="T17" s="64">
        <f t="shared" si="5"/>
        <v>10</v>
      </c>
      <c r="U17" s="31">
        <f>IF($B17="","",ROUND(O17*(P17*'Cài đặt'!$B$16+Q17*'Cài đặt'!$B$17+R17*'Cài đặt'!$B$18+S17*'Cài đặt'!$B$19),0))</f>
        <v>1370190</v>
      </c>
      <c r="V17" s="31">
        <f>IF($B17="","",IF('Cài đặt'!$B$21="Toàn bộ",U17,ROUND(O17*(P17*('Cài đặt'!$B$16-1)+Q17*('Cài đặt'!$B$17-1)+R17*('Cài đặt'!$B$18-1)+S17*'Cài đặt'!$B$19),0)))</f>
        <v>456730</v>
      </c>
      <c r="W17" s="31">
        <f>IF($B17="","",'Nhân viên'!K7)</f>
        <v>1000000</v>
      </c>
      <c r="X17" s="66"/>
      <c r="Y17" s="31">
        <f>IF($B17="","",ROUND(X17*'Cài đặt'!$B$22,0))</f>
        <v>0</v>
      </c>
      <c r="Z17" s="66"/>
      <c r="AA17" s="31">
        <f>IF($B17="","",ROUND(Z17*'Cài đặt'!$B$23,0))</f>
        <v>0</v>
      </c>
      <c r="AB17" s="31">
        <f>IF($B17="","",ROUND(K17*'Cài đặt'!$B$24,0))</f>
        <v>875000</v>
      </c>
      <c r="AC17" s="31">
        <f>IF($B17="","",MIN(AB17,'Cài đặt'!$B$25))</f>
        <v>730000</v>
      </c>
      <c r="AD17" s="21"/>
      <c r="AE17" s="21">
        <v>3000000.0</v>
      </c>
      <c r="AF17" s="21"/>
      <c r="AG17" s="16" t="s">
        <v>211</v>
      </c>
      <c r="AH17" s="14" t="s">
        <v>212</v>
      </c>
      <c r="AI17" s="31">
        <f t="shared" si="6"/>
        <v>21514421</v>
      </c>
      <c r="AJ17" s="31">
        <f>IF($B17="","",ROUND(MIN('Nhân viên'!N7,'Cài đặt'!$B$10)*'Cài đặt'!$B$5,0))</f>
        <v>1600000</v>
      </c>
      <c r="AK17" s="31">
        <f>IF($B17="","",ROUND(MIN('Nhân viên'!N7,'Cài đặt'!$B$10)*'Cài đặt'!$B$6,0))</f>
        <v>300000</v>
      </c>
      <c r="AL17" s="31">
        <f>IF($B17="","",ROUND(MIN('Nhân viên'!N7,'Cài đặt'!$B$12)*'Cài đặt'!$B$7,0))</f>
        <v>200000</v>
      </c>
      <c r="AM17" s="31">
        <f>IF($B17="","",'Cài đặt'!$B$13+'Nhân viên'!H7*'Cài đặt'!$B$14)</f>
        <v>15500000</v>
      </c>
      <c r="AN17" s="31">
        <f t="shared" si="7"/>
        <v>2727691</v>
      </c>
      <c r="AO17" s="31">
        <f>IF($B17="","",ROUND(SUMPRODUCT((AN17&gt;'Cài đặt'!$B$29:$B$33)*(AN17-'Cài đặt'!$B$29:$B$33)*'Cài đặt'!$E$29:$E$33),0))</f>
        <v>136385</v>
      </c>
      <c r="AP17" s="21"/>
      <c r="AQ17" s="21"/>
      <c r="AR17" s="31">
        <f t="shared" si="8"/>
        <v>2236385</v>
      </c>
      <c r="AS17" s="67">
        <f t="shared" si="9"/>
        <v>19278036</v>
      </c>
      <c r="AT17" s="14" t="s">
        <v>203</v>
      </c>
      <c r="AU17" s="68">
        <v>46324.0</v>
      </c>
      <c r="AV17" s="14" t="s">
        <v>213</v>
      </c>
      <c r="AW17" s="16"/>
    </row>
    <row r="18" ht="21.75" customHeight="1">
      <c r="A18" s="48">
        <f t="shared" si="1"/>
        <v>4</v>
      </c>
      <c r="B18" s="48" t="str">
        <f>IF('Nhân viên'!A8="","",'Nhân viên'!A8)</f>
        <v>KT004</v>
      </c>
      <c r="C18" s="17" t="str">
        <f>IF($B18="","",'Nhân viên'!B8)</f>
        <v>Phạm Đức Thịnh</v>
      </c>
      <c r="D18" s="17" t="str">
        <f>IF($B18="","",'Nhân viên'!C8)</f>
        <v>Kỹ thuật viên vận hành (bậc 3)</v>
      </c>
      <c r="E18" s="17" t="str">
        <f>IF($B18="","",'Nhân viên'!D8)</f>
        <v>Vận hành – Bảo trì</v>
      </c>
      <c r="F18" s="17" t="str">
        <f>IF($B18="","",'Nhân viên'!E8)</f>
        <v>MB Bank</v>
      </c>
      <c r="G18" s="69" t="str">
        <f>IF(OR($B18="",'Nhân viên'!F8=""),"",'Nhân viên'!F8)</f>
        <v>0123456789012</v>
      </c>
      <c r="H18" s="25">
        <f>IF($B18="","",'Nhân viên'!I8)</f>
        <v>12000000</v>
      </c>
      <c r="I18" s="25">
        <f>IF($B18="","",'Nhân viên'!J8)</f>
        <v>1000000</v>
      </c>
      <c r="J18" s="70">
        <f t="shared" si="2"/>
        <v>26</v>
      </c>
      <c r="K18" s="71">
        <v>26.0</v>
      </c>
      <c r="L18" s="25">
        <f t="shared" si="3"/>
        <v>13000000</v>
      </c>
      <c r="M18" s="22"/>
      <c r="N18" s="25">
        <f t="shared" si="4"/>
        <v>13000000</v>
      </c>
      <c r="O18" s="25">
        <f>IF($B18="","",IF(OR(J18=0,'Cài đặt'!$B$15=0),0,ROUND((H18+I18)/(J18*'Cài đặt'!$B$15),0)))</f>
        <v>62500</v>
      </c>
      <c r="P18" s="71">
        <v>20.0</v>
      </c>
      <c r="Q18" s="71">
        <v>16.0</v>
      </c>
      <c r="R18" s="71">
        <v>8.0</v>
      </c>
      <c r="S18" s="71">
        <v>56.0</v>
      </c>
      <c r="T18" s="70">
        <f t="shared" si="5"/>
        <v>44</v>
      </c>
      <c r="U18" s="25">
        <f>IF($B18="","",ROUND(O18*(P18*'Cài đặt'!$B$16+Q18*'Cài đặt'!$B$17+R18*'Cài đặt'!$B$18+S18*'Cài đặt'!$B$19),0))</f>
        <v>6425000</v>
      </c>
      <c r="V18" s="25">
        <f>IF($B18="","",IF('Cài đặt'!$B$21="Toàn bộ",U18,ROUND(O18*(P18*('Cài đặt'!$B$16-1)+Q18*('Cài đặt'!$B$17-1)+R18*('Cài đặt'!$B$18-1)+S18*'Cài đặt'!$B$19),0)))</f>
        <v>3675000</v>
      </c>
      <c r="W18" s="25">
        <f>IF($B18="","",'Nhân viên'!K8)</f>
        <v>500000</v>
      </c>
      <c r="X18" s="75">
        <v>4.0</v>
      </c>
      <c r="Y18" s="25">
        <f>IF($B18="","",ROUND(X18*'Cài đặt'!$B$22,0))</f>
        <v>1200000</v>
      </c>
      <c r="Z18" s="75">
        <v>5.0</v>
      </c>
      <c r="AA18" s="25">
        <f>IF($B18="","",ROUND(Z18*'Cài đặt'!$B$23,0))</f>
        <v>750000</v>
      </c>
      <c r="AB18" s="25">
        <f>IF($B18="","",ROUND(K18*'Cài đặt'!$B$24,0))</f>
        <v>910000</v>
      </c>
      <c r="AC18" s="25">
        <f>IF($B18="","",MIN(AB18,'Cài đặt'!$B$25))</f>
        <v>730000</v>
      </c>
      <c r="AD18" s="22"/>
      <c r="AE18" s="22"/>
      <c r="AF18" s="22"/>
      <c r="AG18" s="33"/>
      <c r="AH18" s="32"/>
      <c r="AI18" s="25">
        <f t="shared" si="6"/>
        <v>22785000</v>
      </c>
      <c r="AJ18" s="25">
        <f>IF($B18="","",ROUND(MIN('Nhân viên'!N8,'Cài đặt'!$B$10)*'Cài đặt'!$B$5,0))</f>
        <v>1080000</v>
      </c>
      <c r="AK18" s="25">
        <f>IF($B18="","",ROUND(MIN('Nhân viên'!N8,'Cài đặt'!$B$10)*'Cài đặt'!$B$6,0))</f>
        <v>202500</v>
      </c>
      <c r="AL18" s="25">
        <f>IF($B18="","",ROUND(MIN('Nhân viên'!N8,'Cài đặt'!$B$12)*'Cài đặt'!$B$7,0))</f>
        <v>135000</v>
      </c>
      <c r="AM18" s="25">
        <f>IF($B18="","",'Cài đặt'!$B$13+'Nhân viên'!H8*'Cài đặt'!$B$14)</f>
        <v>21700000</v>
      </c>
      <c r="AN18" s="25">
        <f t="shared" si="7"/>
        <v>0</v>
      </c>
      <c r="AO18" s="25">
        <f>IF($B18="","",ROUND(SUMPRODUCT((AN18&gt;'Cài đặt'!$B$29:$B$33)*(AN18-'Cài đặt'!$B$29:$B$33)*'Cài đặt'!$E$29:$E$33),0))</f>
        <v>0</v>
      </c>
      <c r="AP18" s="22"/>
      <c r="AQ18" s="22">
        <v>300000.0</v>
      </c>
      <c r="AR18" s="25">
        <f t="shared" si="8"/>
        <v>1717500</v>
      </c>
      <c r="AS18" s="67">
        <f t="shared" si="9"/>
        <v>21067500</v>
      </c>
      <c r="AT18" s="32" t="s">
        <v>214</v>
      </c>
      <c r="AU18" s="76"/>
      <c r="AV18" s="32"/>
      <c r="AW18" s="33" t="s">
        <v>215</v>
      </c>
    </row>
    <row r="19" ht="21.75" customHeight="1">
      <c r="A19" s="42">
        <f t="shared" si="1"/>
        <v>5</v>
      </c>
      <c r="B19" s="42" t="str">
        <f>IF('Nhân viên'!A9="","",'Nhân viên'!A9)</f>
        <v>KT005</v>
      </c>
      <c r="C19" s="12" t="str">
        <f>IF($B19="","",'Nhân viên'!B9)</f>
        <v>Hoàng Văn Sơn</v>
      </c>
      <c r="D19" s="12" t="str">
        <f>IF($B19="","",'Nhân viên'!C9)</f>
        <v>Kỹ thuật viên điện (bậc 2)</v>
      </c>
      <c r="E19" s="12" t="str">
        <f>IF($B19="","",'Nhân viên'!D9)</f>
        <v>Điện – Tự động hóa</v>
      </c>
      <c r="F19" s="12" t="str">
        <f>IF($B19="","",'Nhân viên'!E9)</f>
        <v>ACB</v>
      </c>
      <c r="G19" s="63" t="str">
        <f>IF(OR($B19="",'Nhân viên'!F9=""),"",'Nhân viên'!F9)</f>
        <v>2001234567</v>
      </c>
      <c r="H19" s="31">
        <f>IF($B19="","",'Nhân viên'!I9)</f>
        <v>11000000</v>
      </c>
      <c r="I19" s="31">
        <f>IF($B19="","",'Nhân viên'!J9)</f>
        <v>800000</v>
      </c>
      <c r="J19" s="64">
        <f t="shared" si="2"/>
        <v>26</v>
      </c>
      <c r="K19" s="65">
        <v>26.0</v>
      </c>
      <c r="L19" s="31">
        <f t="shared" si="3"/>
        <v>11800000</v>
      </c>
      <c r="M19" s="21"/>
      <c r="N19" s="31">
        <f t="shared" si="4"/>
        <v>11800000</v>
      </c>
      <c r="O19" s="31">
        <f>IF($B19="","",IF(OR(J19=0,'Cài đặt'!$B$15=0),0,ROUND((H19+I19)/(J19*'Cài đặt'!$B$15),0)))</f>
        <v>56731</v>
      </c>
      <c r="P19" s="65">
        <v>8.0</v>
      </c>
      <c r="Q19" s="65"/>
      <c r="R19" s="65"/>
      <c r="S19" s="65">
        <v>24.0</v>
      </c>
      <c r="T19" s="64">
        <f t="shared" si="5"/>
        <v>8</v>
      </c>
      <c r="U19" s="31">
        <f>IF($B19="","",ROUND(O19*(P19*'Cài đặt'!$B$16+Q19*'Cài đặt'!$B$17+R19*'Cài đặt'!$B$18+S19*'Cài đặt'!$B$19),0))</f>
        <v>1089235</v>
      </c>
      <c r="V19" s="31">
        <f>IF($B19="","",IF('Cài đặt'!$B$21="Toàn bộ",U19,ROUND(O19*(P19*('Cài đặt'!$B$16-1)+Q19*('Cài đặt'!$B$17-1)+R19*('Cài đặt'!$B$18-1)+S19*'Cài đặt'!$B$19),0)))</f>
        <v>635387</v>
      </c>
      <c r="W19" s="31">
        <f>IF($B19="","",'Nhân viên'!K9)</f>
        <v>500000</v>
      </c>
      <c r="X19" s="66">
        <v>3.0</v>
      </c>
      <c r="Y19" s="31">
        <f>IF($B19="","",ROUND(X19*'Cài đặt'!$B$22,0))</f>
        <v>900000</v>
      </c>
      <c r="Z19" s="66">
        <v>10.0</v>
      </c>
      <c r="AA19" s="31">
        <f>IF($B19="","",ROUND(Z19*'Cài đặt'!$B$23,0))</f>
        <v>1500000</v>
      </c>
      <c r="AB19" s="31">
        <f>IF($B19="","",ROUND(K19*'Cài đặt'!$B$24,0))</f>
        <v>910000</v>
      </c>
      <c r="AC19" s="31">
        <f>IF($B19="","",MIN(AB19,'Cài đặt'!$B$25))</f>
        <v>730000</v>
      </c>
      <c r="AD19" s="21"/>
      <c r="AE19" s="21"/>
      <c r="AF19" s="21">
        <v>1500000.0</v>
      </c>
      <c r="AG19" s="16" t="s">
        <v>216</v>
      </c>
      <c r="AH19" s="14" t="s">
        <v>209</v>
      </c>
      <c r="AI19" s="31">
        <f t="shared" si="6"/>
        <v>18199235</v>
      </c>
      <c r="AJ19" s="31">
        <f>IF($B19="","",ROUND(MIN('Nhân viên'!N9,'Cài đặt'!$B$10)*'Cài đặt'!$B$5,0))</f>
        <v>984000</v>
      </c>
      <c r="AK19" s="31">
        <f>IF($B19="","",ROUND(MIN('Nhân viên'!N9,'Cài đặt'!$B$10)*'Cài đặt'!$B$6,0))</f>
        <v>184500</v>
      </c>
      <c r="AL19" s="31">
        <f>IF($B19="","",ROUND(MIN('Nhân viên'!N9,'Cài đặt'!$B$12)*'Cài đặt'!$B$7,0))</f>
        <v>123000</v>
      </c>
      <c r="AM19" s="31">
        <f>IF($B19="","",'Cài đặt'!$B$13+'Nhân viên'!H9*'Cài đặt'!$B$14)</f>
        <v>27900000</v>
      </c>
      <c r="AN19" s="31">
        <f t="shared" si="7"/>
        <v>0</v>
      </c>
      <c r="AO19" s="31">
        <f>IF($B19="","",ROUND(SUMPRODUCT((AN19&gt;'Cài đặt'!$B$29:$B$33)*(AN19-'Cài đặt'!$B$29:$B$33)*'Cài đặt'!$E$29:$E$33),0))</f>
        <v>0</v>
      </c>
      <c r="AP19" s="21"/>
      <c r="AQ19" s="21"/>
      <c r="AR19" s="31">
        <f t="shared" si="8"/>
        <v>1291500</v>
      </c>
      <c r="AS19" s="67">
        <f t="shared" si="9"/>
        <v>16907735</v>
      </c>
      <c r="AT19" s="14" t="s">
        <v>214</v>
      </c>
      <c r="AU19" s="68"/>
      <c r="AV19" s="14"/>
      <c r="AW19" s="16"/>
    </row>
    <row r="20" ht="21.75" customHeight="1">
      <c r="A20" s="48">
        <f t="shared" si="1"/>
        <v>6</v>
      </c>
      <c r="B20" s="48" t="str">
        <f>IF('Nhân viên'!A10="","",'Nhân viên'!A10)</f>
        <v>KT006</v>
      </c>
      <c r="C20" s="17" t="str">
        <f>IF($B20="","",'Nhân viên'!B10)</f>
        <v>Đỗ Thanh Tùng</v>
      </c>
      <c r="D20" s="17" t="str">
        <f>IF($B20="","",'Nhân viên'!C10)</f>
        <v>Kỹ thuật viên hỗ trợ (bậc 2)</v>
      </c>
      <c r="E20" s="17" t="str">
        <f>IF($B20="","",'Nhân viên'!D10)</f>
        <v>Hỗ trợ kỹ thuật</v>
      </c>
      <c r="F20" s="17" t="str">
        <f>IF($B20="","",'Nhân viên'!E10)</f>
        <v>VPBank</v>
      </c>
      <c r="G20" s="69" t="str">
        <f>IF(OR($B20="",'Nhân viên'!F10=""),"",'Nhân viên'!F10)</f>
        <v>123456789</v>
      </c>
      <c r="H20" s="25">
        <f>IF($B20="","",'Nhân viên'!I10)</f>
        <v>9500000</v>
      </c>
      <c r="I20" s="25">
        <f>IF($B20="","",'Nhân viên'!J10)</f>
        <v>500000</v>
      </c>
      <c r="J20" s="70">
        <f t="shared" si="2"/>
        <v>26</v>
      </c>
      <c r="K20" s="71">
        <v>26.0</v>
      </c>
      <c r="L20" s="25">
        <f t="shared" si="3"/>
        <v>10000000</v>
      </c>
      <c r="M20" s="22"/>
      <c r="N20" s="25">
        <f t="shared" si="4"/>
        <v>10000000</v>
      </c>
      <c r="O20" s="25">
        <f>IF($B20="","",IF(OR(J20=0,'Cài đặt'!$B$15=0),0,ROUND((H20+I20)/(J20*'Cài đặt'!$B$15),0)))</f>
        <v>48077</v>
      </c>
      <c r="P20" s="71">
        <v>4.0</v>
      </c>
      <c r="Q20" s="71"/>
      <c r="R20" s="71"/>
      <c r="S20" s="71"/>
      <c r="T20" s="70">
        <f t="shared" si="5"/>
        <v>4</v>
      </c>
      <c r="U20" s="25">
        <f>IF($B20="","",ROUND(O20*(P20*'Cài đặt'!$B$16+Q20*'Cài đặt'!$B$17+R20*'Cài đặt'!$B$18+S20*'Cài đặt'!$B$19),0))</f>
        <v>288462</v>
      </c>
      <c r="V20" s="25">
        <f>IF($B20="","",IF('Cài đặt'!$B$21="Toàn bộ",U20,ROUND(O20*(P20*('Cài đặt'!$B$16-1)+Q20*('Cài đặt'!$B$17-1)+R20*('Cài đặt'!$B$18-1)+S20*'Cài đặt'!$B$19),0)))</f>
        <v>96154</v>
      </c>
      <c r="W20" s="25">
        <f>IF($B20="","",'Nhân viên'!K10)</f>
        <v>0</v>
      </c>
      <c r="X20" s="75">
        <v>2.0</v>
      </c>
      <c r="Y20" s="25">
        <f>IF($B20="","",ROUND(X20*'Cài đặt'!$B$22,0))</f>
        <v>600000</v>
      </c>
      <c r="Z20" s="75"/>
      <c r="AA20" s="25">
        <f>IF($B20="","",ROUND(Z20*'Cài đặt'!$B$23,0))</f>
        <v>0</v>
      </c>
      <c r="AB20" s="25">
        <f>IF($B20="","",ROUND(K20*'Cài đặt'!$B$24,0))</f>
        <v>910000</v>
      </c>
      <c r="AC20" s="25">
        <f>IF($B20="","",MIN(AB20,'Cài đặt'!$B$25))</f>
        <v>730000</v>
      </c>
      <c r="AD20" s="22"/>
      <c r="AE20" s="22"/>
      <c r="AF20" s="22"/>
      <c r="AG20" s="33"/>
      <c r="AH20" s="32"/>
      <c r="AI20" s="25">
        <f t="shared" si="6"/>
        <v>11798462</v>
      </c>
      <c r="AJ20" s="25">
        <f>IF($B20="","",ROUND(MIN('Nhân viên'!N10,'Cài đặt'!$B$10)*'Cài đặt'!$B$5,0))</f>
        <v>800000</v>
      </c>
      <c r="AK20" s="25">
        <f>IF($B20="","",ROUND(MIN('Nhân viên'!N10,'Cài đặt'!$B$10)*'Cài đặt'!$B$6,0))</f>
        <v>150000</v>
      </c>
      <c r="AL20" s="25">
        <f>IF($B20="","",ROUND(MIN('Nhân viên'!N10,'Cài đặt'!$B$12)*'Cài đặt'!$B$7,0))</f>
        <v>100000</v>
      </c>
      <c r="AM20" s="25">
        <f>IF($B20="","",'Cài đặt'!$B$13+'Nhân viên'!H10*'Cài đặt'!$B$14)</f>
        <v>15500000</v>
      </c>
      <c r="AN20" s="25">
        <f t="shared" si="7"/>
        <v>0</v>
      </c>
      <c r="AO20" s="25">
        <f>IF($B20="","",ROUND(SUMPRODUCT((AN20&gt;'Cài đặt'!$B$29:$B$33)*(AN20-'Cài đặt'!$B$29:$B$33)*'Cài đặt'!$E$29:$E$33),0))</f>
        <v>0</v>
      </c>
      <c r="AP20" s="22">
        <v>2000000.0</v>
      </c>
      <c r="AQ20" s="22"/>
      <c r="AR20" s="25">
        <f t="shared" si="8"/>
        <v>3050000</v>
      </c>
      <c r="AS20" s="67">
        <f t="shared" si="9"/>
        <v>8748462</v>
      </c>
      <c r="AT20" s="32" t="s">
        <v>214</v>
      </c>
      <c r="AU20" s="76"/>
      <c r="AV20" s="32"/>
      <c r="AW20" s="33"/>
    </row>
    <row r="21" ht="21.75" customHeight="1">
      <c r="A21" s="42">
        <f t="shared" si="1"/>
        <v>7</v>
      </c>
      <c r="B21" s="42" t="str">
        <f>IF('Nhân viên'!A11="","",'Nhân viên'!A11)</f>
        <v>KT007</v>
      </c>
      <c r="C21" s="12" t="str">
        <f>IF($B21="","",'Nhân viên'!B11)</f>
        <v>Vũ Thị Mai</v>
      </c>
      <c r="D21" s="12" t="str">
        <f>IF($B21="","",'Nhân viên'!C11)</f>
        <v>Kỹ sư mạng (bậc 3)</v>
      </c>
      <c r="E21" s="12" t="str">
        <f>IF($B21="","",'Nhân viên'!D11)</f>
        <v>Hạ tầng – Mạng</v>
      </c>
      <c r="F21" s="12" t="str">
        <f>IF($B21="","",'Nhân viên'!E11)</f>
        <v>Agribank</v>
      </c>
      <c r="G21" s="63" t="str">
        <f>IF(OR($B21="",'Nhân viên'!F11=""),"",'Nhân viên'!F11)</f>
        <v>5100205123456</v>
      </c>
      <c r="H21" s="31">
        <f>IF($B21="","",'Nhân viên'!I11)</f>
        <v>17000000</v>
      </c>
      <c r="I21" s="31">
        <f>IF($B21="","",'Nhân viên'!J11)</f>
        <v>1000000</v>
      </c>
      <c r="J21" s="64">
        <f t="shared" si="2"/>
        <v>26</v>
      </c>
      <c r="K21" s="65">
        <v>24.0</v>
      </c>
      <c r="L21" s="31">
        <f t="shared" si="3"/>
        <v>16615385</v>
      </c>
      <c r="M21" s="21"/>
      <c r="N21" s="31">
        <f t="shared" si="4"/>
        <v>16615385</v>
      </c>
      <c r="O21" s="31">
        <f>IF($B21="","",IF(OR(J21=0,'Cài đặt'!$B$15=0),0,ROUND((H21+I21)/(J21*'Cài đặt'!$B$15),0)))</f>
        <v>86538</v>
      </c>
      <c r="P21" s="65">
        <v>12.0</v>
      </c>
      <c r="Q21" s="65"/>
      <c r="R21" s="65"/>
      <c r="S21" s="65"/>
      <c r="T21" s="64">
        <f t="shared" si="5"/>
        <v>12</v>
      </c>
      <c r="U21" s="31">
        <f>IF($B21="","",ROUND(O21*(P21*'Cài đặt'!$B$16+Q21*'Cài đặt'!$B$17+R21*'Cài đặt'!$B$18+S21*'Cài đặt'!$B$19),0))</f>
        <v>1557684</v>
      </c>
      <c r="V21" s="31">
        <f>IF($B21="","",IF('Cài đặt'!$B$21="Toàn bộ",U21,ROUND(O21*(P21*('Cài đặt'!$B$16-1)+Q21*('Cài đặt'!$B$17-1)+R21*('Cài đặt'!$B$18-1)+S21*'Cài đặt'!$B$19),0)))</f>
        <v>519228</v>
      </c>
      <c r="W21" s="31">
        <f>IF($B21="","",'Nhân viên'!K11)</f>
        <v>1200000</v>
      </c>
      <c r="X21" s="66"/>
      <c r="Y21" s="31">
        <f>IF($B21="","",ROUND(X21*'Cài đặt'!$B$22,0))</f>
        <v>0</v>
      </c>
      <c r="Z21" s="66">
        <v>6.0</v>
      </c>
      <c r="AA21" s="31">
        <f>IF($B21="","",ROUND(Z21*'Cài đặt'!$B$23,0))</f>
        <v>900000</v>
      </c>
      <c r="AB21" s="31">
        <f>IF($B21="","",ROUND(K21*'Cài đặt'!$B$24,0))</f>
        <v>840000</v>
      </c>
      <c r="AC21" s="31">
        <f>IF($B21="","",MIN(AB21,'Cài đặt'!$B$25))</f>
        <v>730000</v>
      </c>
      <c r="AD21" s="21">
        <v>1200000.0</v>
      </c>
      <c r="AE21" s="21"/>
      <c r="AF21" s="21"/>
      <c r="AG21" s="16" t="s">
        <v>217</v>
      </c>
      <c r="AH21" s="14"/>
      <c r="AI21" s="31">
        <f t="shared" si="6"/>
        <v>22313069</v>
      </c>
      <c r="AJ21" s="31">
        <f>IF($B21="","",ROUND(MIN('Nhân viên'!N11,'Cài đặt'!$B$10)*'Cài đặt'!$B$5,0))</f>
        <v>1536000</v>
      </c>
      <c r="AK21" s="31">
        <f>IF($B21="","",ROUND(MIN('Nhân viên'!N11,'Cài đặt'!$B$10)*'Cài đặt'!$B$6,0))</f>
        <v>288000</v>
      </c>
      <c r="AL21" s="31">
        <f>IF($B21="","",ROUND(MIN('Nhân viên'!N11,'Cài đặt'!$B$12)*'Cài đặt'!$B$7,0))</f>
        <v>192000</v>
      </c>
      <c r="AM21" s="31">
        <f>IF($B21="","",'Cài đặt'!$B$13+'Nhân viên'!H11*'Cài đặt'!$B$14)</f>
        <v>15500000</v>
      </c>
      <c r="AN21" s="31">
        <f t="shared" si="7"/>
        <v>2347841</v>
      </c>
      <c r="AO21" s="31">
        <f>IF($B21="","",ROUND(SUMPRODUCT((AN21&gt;'Cài đặt'!$B$29:$B$33)*(AN21-'Cài đặt'!$B$29:$B$33)*'Cài đặt'!$E$29:$E$33),0))</f>
        <v>117392</v>
      </c>
      <c r="AP21" s="21"/>
      <c r="AQ21" s="21"/>
      <c r="AR21" s="31">
        <f t="shared" si="8"/>
        <v>2133392</v>
      </c>
      <c r="AS21" s="67">
        <f t="shared" si="9"/>
        <v>20179677</v>
      </c>
      <c r="AT21" s="14" t="s">
        <v>214</v>
      </c>
      <c r="AU21" s="68"/>
      <c r="AV21" s="14"/>
      <c r="AW21" s="16"/>
    </row>
    <row r="22" ht="21.75" customHeight="1">
      <c r="A22" s="48">
        <f t="shared" si="1"/>
        <v>8</v>
      </c>
      <c r="B22" s="48" t="str">
        <f>IF('Nhân viên'!A12="","",'Nhân viên'!A12)</f>
        <v>KT008</v>
      </c>
      <c r="C22" s="17" t="str">
        <f>IF($B22="","",'Nhân viên'!B12)</f>
        <v>Bùi Anh Khoa</v>
      </c>
      <c r="D22" s="17" t="str">
        <f>IF($B22="","",'Nhân viên'!C12)</f>
        <v>Kỹ thuật viên (thử việc)</v>
      </c>
      <c r="E22" s="17" t="str">
        <f>IF($B22="","",'Nhân viên'!D12)</f>
        <v>Vận hành – Bảo trì</v>
      </c>
      <c r="F22" s="17" t="str">
        <f>IF($B22="","",'Nhân viên'!E12)</f>
        <v>Sacombank</v>
      </c>
      <c r="G22" s="69" t="str">
        <f>IF(OR($B22="",'Nhân viên'!F12=""),"",'Nhân viên'!F12)</f>
        <v>060123456789</v>
      </c>
      <c r="H22" s="25">
        <f>IF($B22="","",'Nhân viên'!I12)</f>
        <v>9000000</v>
      </c>
      <c r="I22" s="25">
        <f>IF($B22="","",'Nhân viên'!J12)</f>
        <v>0</v>
      </c>
      <c r="J22" s="70">
        <f t="shared" si="2"/>
        <v>26</v>
      </c>
      <c r="K22" s="71">
        <v>22.0</v>
      </c>
      <c r="L22" s="25">
        <f t="shared" si="3"/>
        <v>7615385</v>
      </c>
      <c r="M22" s="22"/>
      <c r="N22" s="25">
        <f t="shared" si="4"/>
        <v>7615385</v>
      </c>
      <c r="O22" s="25">
        <f>IF($B22="","",IF(OR(J22=0,'Cài đặt'!$B$15=0),0,ROUND((H22+I22)/(J22*'Cài đặt'!$B$15),0)))</f>
        <v>43269</v>
      </c>
      <c r="P22" s="71"/>
      <c r="Q22" s="71"/>
      <c r="R22" s="71"/>
      <c r="S22" s="71">
        <v>16.0</v>
      </c>
      <c r="T22" s="70">
        <f t="shared" si="5"/>
        <v>0</v>
      </c>
      <c r="U22" s="25">
        <f>IF($B22="","",ROUND(O22*(P22*'Cài đặt'!$B$16+Q22*'Cài đặt'!$B$17+R22*'Cài đặt'!$B$18+S22*'Cài đặt'!$B$19),0))</f>
        <v>207691</v>
      </c>
      <c r="V22" s="25">
        <f>IF($B22="","",IF('Cài đặt'!$B$21="Toàn bộ",U22,ROUND(O22*(P22*('Cài đặt'!$B$16-1)+Q22*('Cài đặt'!$B$17-1)+R22*('Cài đặt'!$B$18-1)+S22*'Cài đặt'!$B$19),0)))</f>
        <v>207691</v>
      </c>
      <c r="W22" s="25">
        <f>IF($B22="","",'Nhân viên'!K12)</f>
        <v>0</v>
      </c>
      <c r="X22" s="75"/>
      <c r="Y22" s="25">
        <f>IF($B22="","",ROUND(X22*'Cài đặt'!$B$22,0))</f>
        <v>0</v>
      </c>
      <c r="Z22" s="75"/>
      <c r="AA22" s="25">
        <f>IF($B22="","",ROUND(Z22*'Cài đặt'!$B$23,0))</f>
        <v>0</v>
      </c>
      <c r="AB22" s="25">
        <f>IF($B22="","",ROUND(K22*'Cài đặt'!$B$24,0))</f>
        <v>770000</v>
      </c>
      <c r="AC22" s="25">
        <f>IF($B22="","",MIN(AB22,'Cài đặt'!$B$25))</f>
        <v>730000</v>
      </c>
      <c r="AD22" s="22"/>
      <c r="AE22" s="22"/>
      <c r="AF22" s="22"/>
      <c r="AG22" s="33"/>
      <c r="AH22" s="32"/>
      <c r="AI22" s="25">
        <f t="shared" si="6"/>
        <v>8593076</v>
      </c>
      <c r="AJ22" s="25">
        <f>IF($B22="","",ROUND(MIN('Nhân viên'!N12,'Cài đặt'!$B$10)*'Cài đặt'!$B$5,0))</f>
        <v>0</v>
      </c>
      <c r="AK22" s="25">
        <f>IF($B22="","",ROUND(MIN('Nhân viên'!N12,'Cài đặt'!$B$10)*'Cài đặt'!$B$6,0))</f>
        <v>0</v>
      </c>
      <c r="AL22" s="25">
        <f>IF($B22="","",ROUND(MIN('Nhân viên'!N12,'Cài đặt'!$B$12)*'Cài đặt'!$B$7,0))</f>
        <v>0</v>
      </c>
      <c r="AM22" s="25">
        <f>IF($B22="","",'Cài đặt'!$B$13+'Nhân viên'!H12*'Cài đặt'!$B$14)</f>
        <v>15500000</v>
      </c>
      <c r="AN22" s="25">
        <f t="shared" si="7"/>
        <v>0</v>
      </c>
      <c r="AO22" s="25">
        <f>IF($B22="","",ROUND(SUMPRODUCT((AN22&gt;'Cài đặt'!$B$29:$B$33)*(AN22-'Cài đặt'!$B$29:$B$33)*'Cài đặt'!$E$29:$E$33),0))</f>
        <v>0</v>
      </c>
      <c r="AP22" s="22"/>
      <c r="AQ22" s="22"/>
      <c r="AR22" s="25">
        <f t="shared" si="8"/>
        <v>0</v>
      </c>
      <c r="AS22" s="67">
        <f t="shared" si="9"/>
        <v>8593076</v>
      </c>
      <c r="AT22" s="32" t="s">
        <v>214</v>
      </c>
      <c r="AU22" s="76"/>
      <c r="AV22" s="32"/>
      <c r="AW22" s="33" t="s">
        <v>218</v>
      </c>
    </row>
    <row r="23" ht="21.75" customHeight="1">
      <c r="A23" s="42" t="str">
        <f t="shared" si="1"/>
        <v/>
      </c>
      <c r="B23" s="42" t="str">
        <f>IF('Nhân viên'!A13="","",'Nhân viên'!A13)</f>
        <v/>
      </c>
      <c r="C23" s="12" t="str">
        <f>IF($B23="","",'Nhân viên'!B13)</f>
        <v/>
      </c>
      <c r="D23" s="12" t="str">
        <f>IF($B23="","",'Nhân viên'!C13)</f>
        <v/>
      </c>
      <c r="E23" s="12" t="str">
        <f>IF($B23="","",'Nhân viên'!D13)</f>
        <v/>
      </c>
      <c r="F23" s="12" t="str">
        <f>IF($B23="","",'Nhân viên'!E13)</f>
        <v/>
      </c>
      <c r="G23" s="63" t="str">
        <f>IF(OR($B23="",'Nhân viên'!F13=""),"",'Nhân viên'!F13)</f>
        <v/>
      </c>
      <c r="H23" s="31" t="str">
        <f>IF($B23="","",'Nhân viên'!I13)</f>
        <v/>
      </c>
      <c r="I23" s="31" t="str">
        <f>IF($B23="","",'Nhân viên'!J13)</f>
        <v/>
      </c>
      <c r="J23" s="64" t="str">
        <f t="shared" si="2"/>
        <v/>
      </c>
      <c r="K23" s="65"/>
      <c r="L23" s="31" t="str">
        <f t="shared" si="3"/>
        <v/>
      </c>
      <c r="M23" s="21"/>
      <c r="N23" s="31" t="str">
        <f t="shared" si="4"/>
        <v/>
      </c>
      <c r="O23" s="31" t="str">
        <f>IF($B23="","",IF(OR(J23=0,'Cài đặt'!$B$15=0),0,ROUND((H23+I23)/(J23*'Cài đặt'!$B$15),0)))</f>
        <v/>
      </c>
      <c r="P23" s="65"/>
      <c r="Q23" s="65"/>
      <c r="R23" s="65"/>
      <c r="S23" s="65"/>
      <c r="T23" s="64" t="str">
        <f t="shared" si="5"/>
        <v/>
      </c>
      <c r="U23" s="31" t="str">
        <f>IF($B23="","",ROUND(O23*(P23*'Cài đặt'!$B$16+Q23*'Cài đặt'!$B$17+R23*'Cài đặt'!$B$18+S23*'Cài đặt'!$B$19),0))</f>
        <v/>
      </c>
      <c r="V23" s="31" t="str">
        <f>IF($B23="","",IF('Cài đặt'!$B$21="Toàn bộ",U23,ROUND(O23*(P23*('Cài đặt'!$B$16-1)+Q23*('Cài đặt'!$B$17-1)+R23*('Cài đặt'!$B$18-1)+S23*'Cài đặt'!$B$19),0)))</f>
        <v/>
      </c>
      <c r="W23" s="31" t="str">
        <f>IF($B23="","",'Nhân viên'!K13)</f>
        <v/>
      </c>
      <c r="X23" s="66"/>
      <c r="Y23" s="31" t="str">
        <f>IF($B23="","",ROUND(X23*'Cài đặt'!$B$22,0))</f>
        <v/>
      </c>
      <c r="Z23" s="66"/>
      <c r="AA23" s="31" t="str">
        <f>IF($B23="","",ROUND(Z23*'Cài đặt'!$B$23,0))</f>
        <v/>
      </c>
      <c r="AB23" s="31" t="str">
        <f>IF($B23="","",ROUND(K23*'Cài đặt'!$B$24,0))</f>
        <v/>
      </c>
      <c r="AC23" s="31" t="str">
        <f>IF($B23="","",MIN(AB23,'Cài đặt'!$B$25))</f>
        <v/>
      </c>
      <c r="AD23" s="21"/>
      <c r="AE23" s="21"/>
      <c r="AF23" s="21"/>
      <c r="AG23" s="16"/>
      <c r="AH23" s="14"/>
      <c r="AI23" s="31" t="str">
        <f t="shared" si="6"/>
        <v/>
      </c>
      <c r="AJ23" s="31" t="str">
        <f>IF($B23="","",ROUND(MIN('Nhân viên'!N13,'Cài đặt'!$B$10)*'Cài đặt'!$B$5,0))</f>
        <v/>
      </c>
      <c r="AK23" s="31" t="str">
        <f>IF($B23="","",ROUND(MIN('Nhân viên'!N13,'Cài đặt'!$B$10)*'Cài đặt'!$B$6,0))</f>
        <v/>
      </c>
      <c r="AL23" s="31" t="str">
        <f>IF($B23="","",ROUND(MIN('Nhân viên'!N13,'Cài đặt'!$B$12)*'Cài đặt'!$B$7,0))</f>
        <v/>
      </c>
      <c r="AM23" s="31" t="str">
        <f>IF($B23="","",'Cài đặt'!$B$13+'Nhân viên'!H13*'Cài đặt'!$B$14)</f>
        <v/>
      </c>
      <c r="AN23" s="31" t="str">
        <f t="shared" si="7"/>
        <v/>
      </c>
      <c r="AO23" s="31" t="str">
        <f>IF($B23="","",ROUND(SUMPRODUCT((AN23&gt;'Cài đặt'!$B$29:$B$33)*(AN23-'Cài đặt'!$B$29:$B$33)*'Cài đặt'!$E$29:$E$33),0))</f>
        <v/>
      </c>
      <c r="AP23" s="21"/>
      <c r="AQ23" s="21"/>
      <c r="AR23" s="31" t="str">
        <f t="shared" si="8"/>
        <v/>
      </c>
      <c r="AS23" s="67" t="str">
        <f t="shared" si="9"/>
        <v/>
      </c>
      <c r="AT23" s="14"/>
      <c r="AU23" s="68"/>
      <c r="AV23" s="14"/>
      <c r="AW23" s="16"/>
    </row>
    <row r="24" ht="21.75" customHeight="1">
      <c r="A24" s="48" t="str">
        <f t="shared" si="1"/>
        <v/>
      </c>
      <c r="B24" s="48" t="str">
        <f>IF('Nhân viên'!A14="","",'Nhân viên'!A14)</f>
        <v/>
      </c>
      <c r="C24" s="17" t="str">
        <f>IF($B24="","",'Nhân viên'!B14)</f>
        <v/>
      </c>
      <c r="D24" s="17" t="str">
        <f>IF($B24="","",'Nhân viên'!C14)</f>
        <v/>
      </c>
      <c r="E24" s="17" t="str">
        <f>IF($B24="","",'Nhân viên'!D14)</f>
        <v/>
      </c>
      <c r="F24" s="17" t="str">
        <f>IF($B24="","",'Nhân viên'!E14)</f>
        <v/>
      </c>
      <c r="G24" s="69" t="str">
        <f>IF(OR($B24="",'Nhân viên'!F14=""),"",'Nhân viên'!F14)</f>
        <v/>
      </c>
      <c r="H24" s="25" t="str">
        <f>IF($B24="","",'Nhân viên'!I14)</f>
        <v/>
      </c>
      <c r="I24" s="25" t="str">
        <f>IF($B24="","",'Nhân viên'!J14)</f>
        <v/>
      </c>
      <c r="J24" s="70" t="str">
        <f t="shared" si="2"/>
        <v/>
      </c>
      <c r="K24" s="71"/>
      <c r="L24" s="25" t="str">
        <f t="shared" si="3"/>
        <v/>
      </c>
      <c r="M24" s="22"/>
      <c r="N24" s="25" t="str">
        <f t="shared" si="4"/>
        <v/>
      </c>
      <c r="O24" s="25" t="str">
        <f>IF($B24="","",IF(OR(J24=0,'Cài đặt'!$B$15=0),0,ROUND((H24+I24)/(J24*'Cài đặt'!$B$15),0)))</f>
        <v/>
      </c>
      <c r="P24" s="71"/>
      <c r="Q24" s="71"/>
      <c r="R24" s="71"/>
      <c r="S24" s="71"/>
      <c r="T24" s="70" t="str">
        <f t="shared" si="5"/>
        <v/>
      </c>
      <c r="U24" s="25" t="str">
        <f>IF($B24="","",ROUND(O24*(P24*'Cài đặt'!$B$16+Q24*'Cài đặt'!$B$17+R24*'Cài đặt'!$B$18+S24*'Cài đặt'!$B$19),0))</f>
        <v/>
      </c>
      <c r="V24" s="25" t="str">
        <f>IF($B24="","",IF('Cài đặt'!$B$21="Toàn bộ",U24,ROUND(O24*(P24*('Cài đặt'!$B$16-1)+Q24*('Cài đặt'!$B$17-1)+R24*('Cài đặt'!$B$18-1)+S24*'Cài đặt'!$B$19),0)))</f>
        <v/>
      </c>
      <c r="W24" s="25" t="str">
        <f>IF($B24="","",'Nhân viên'!K14)</f>
        <v/>
      </c>
      <c r="X24" s="75"/>
      <c r="Y24" s="25" t="str">
        <f>IF($B24="","",ROUND(X24*'Cài đặt'!$B$22,0))</f>
        <v/>
      </c>
      <c r="Z24" s="75"/>
      <c r="AA24" s="25" t="str">
        <f>IF($B24="","",ROUND(Z24*'Cài đặt'!$B$23,0))</f>
        <v/>
      </c>
      <c r="AB24" s="25" t="str">
        <f>IF($B24="","",ROUND(K24*'Cài đặt'!$B$24,0))</f>
        <v/>
      </c>
      <c r="AC24" s="25" t="str">
        <f>IF($B24="","",MIN(AB24,'Cài đặt'!$B$25))</f>
        <v/>
      </c>
      <c r="AD24" s="22"/>
      <c r="AE24" s="22"/>
      <c r="AF24" s="22"/>
      <c r="AG24" s="33"/>
      <c r="AH24" s="32"/>
      <c r="AI24" s="25" t="str">
        <f t="shared" si="6"/>
        <v/>
      </c>
      <c r="AJ24" s="25" t="str">
        <f>IF($B24="","",ROUND(MIN('Nhân viên'!N14,'Cài đặt'!$B$10)*'Cài đặt'!$B$5,0))</f>
        <v/>
      </c>
      <c r="AK24" s="25" t="str">
        <f>IF($B24="","",ROUND(MIN('Nhân viên'!N14,'Cài đặt'!$B$10)*'Cài đặt'!$B$6,0))</f>
        <v/>
      </c>
      <c r="AL24" s="25" t="str">
        <f>IF($B24="","",ROUND(MIN('Nhân viên'!N14,'Cài đặt'!$B$12)*'Cài đặt'!$B$7,0))</f>
        <v/>
      </c>
      <c r="AM24" s="25" t="str">
        <f>IF($B24="","",'Cài đặt'!$B$13+'Nhân viên'!H14*'Cài đặt'!$B$14)</f>
        <v/>
      </c>
      <c r="AN24" s="25" t="str">
        <f t="shared" si="7"/>
        <v/>
      </c>
      <c r="AO24" s="25" t="str">
        <f>IF($B24="","",ROUND(SUMPRODUCT((AN24&gt;'Cài đặt'!$B$29:$B$33)*(AN24-'Cài đặt'!$B$29:$B$33)*'Cài đặt'!$E$29:$E$33),0))</f>
        <v/>
      </c>
      <c r="AP24" s="22"/>
      <c r="AQ24" s="22"/>
      <c r="AR24" s="25" t="str">
        <f t="shared" si="8"/>
        <v/>
      </c>
      <c r="AS24" s="67" t="str">
        <f t="shared" si="9"/>
        <v/>
      </c>
      <c r="AT24" s="32"/>
      <c r="AU24" s="76"/>
      <c r="AV24" s="32"/>
      <c r="AW24" s="33"/>
    </row>
    <row r="25" ht="21.75" customHeight="1">
      <c r="A25" s="42" t="str">
        <f t="shared" si="1"/>
        <v/>
      </c>
      <c r="B25" s="42" t="str">
        <f>IF('Nhân viên'!A15="","",'Nhân viên'!A15)</f>
        <v/>
      </c>
      <c r="C25" s="12" t="str">
        <f>IF($B25="","",'Nhân viên'!B15)</f>
        <v/>
      </c>
      <c r="D25" s="12" t="str">
        <f>IF($B25="","",'Nhân viên'!C15)</f>
        <v/>
      </c>
      <c r="E25" s="12" t="str">
        <f>IF($B25="","",'Nhân viên'!D15)</f>
        <v/>
      </c>
      <c r="F25" s="12" t="str">
        <f>IF($B25="","",'Nhân viên'!E15)</f>
        <v/>
      </c>
      <c r="G25" s="63" t="str">
        <f>IF(OR($B25="",'Nhân viên'!F15=""),"",'Nhân viên'!F15)</f>
        <v/>
      </c>
      <c r="H25" s="31" t="str">
        <f>IF($B25="","",'Nhân viên'!I15)</f>
        <v/>
      </c>
      <c r="I25" s="31" t="str">
        <f>IF($B25="","",'Nhân viên'!J15)</f>
        <v/>
      </c>
      <c r="J25" s="64" t="str">
        <f t="shared" si="2"/>
        <v/>
      </c>
      <c r="K25" s="65"/>
      <c r="L25" s="31" t="str">
        <f t="shared" si="3"/>
        <v/>
      </c>
      <c r="M25" s="21"/>
      <c r="N25" s="31" t="str">
        <f t="shared" si="4"/>
        <v/>
      </c>
      <c r="O25" s="31" t="str">
        <f>IF($B25="","",IF(OR(J25=0,'Cài đặt'!$B$15=0),0,ROUND((H25+I25)/(J25*'Cài đặt'!$B$15),0)))</f>
        <v/>
      </c>
      <c r="P25" s="65"/>
      <c r="Q25" s="65"/>
      <c r="R25" s="65"/>
      <c r="S25" s="65"/>
      <c r="T25" s="64" t="str">
        <f t="shared" si="5"/>
        <v/>
      </c>
      <c r="U25" s="31" t="str">
        <f>IF($B25="","",ROUND(O25*(P25*'Cài đặt'!$B$16+Q25*'Cài đặt'!$B$17+R25*'Cài đặt'!$B$18+S25*'Cài đặt'!$B$19),0))</f>
        <v/>
      </c>
      <c r="V25" s="31" t="str">
        <f>IF($B25="","",IF('Cài đặt'!$B$21="Toàn bộ",U25,ROUND(O25*(P25*('Cài đặt'!$B$16-1)+Q25*('Cài đặt'!$B$17-1)+R25*('Cài đặt'!$B$18-1)+S25*'Cài đặt'!$B$19),0)))</f>
        <v/>
      </c>
      <c r="W25" s="31" t="str">
        <f>IF($B25="","",'Nhân viên'!K15)</f>
        <v/>
      </c>
      <c r="X25" s="66"/>
      <c r="Y25" s="31" t="str">
        <f>IF($B25="","",ROUND(X25*'Cài đặt'!$B$22,0))</f>
        <v/>
      </c>
      <c r="Z25" s="66"/>
      <c r="AA25" s="31" t="str">
        <f>IF($B25="","",ROUND(Z25*'Cài đặt'!$B$23,0))</f>
        <v/>
      </c>
      <c r="AB25" s="31" t="str">
        <f>IF($B25="","",ROUND(K25*'Cài đặt'!$B$24,0))</f>
        <v/>
      </c>
      <c r="AC25" s="31" t="str">
        <f>IF($B25="","",MIN(AB25,'Cài đặt'!$B$25))</f>
        <v/>
      </c>
      <c r="AD25" s="21"/>
      <c r="AE25" s="21"/>
      <c r="AF25" s="21"/>
      <c r="AG25" s="16"/>
      <c r="AH25" s="14"/>
      <c r="AI25" s="31" t="str">
        <f t="shared" si="6"/>
        <v/>
      </c>
      <c r="AJ25" s="31" t="str">
        <f>IF($B25="","",ROUND(MIN('Nhân viên'!N15,'Cài đặt'!$B$10)*'Cài đặt'!$B$5,0))</f>
        <v/>
      </c>
      <c r="AK25" s="31" t="str">
        <f>IF($B25="","",ROUND(MIN('Nhân viên'!N15,'Cài đặt'!$B$10)*'Cài đặt'!$B$6,0))</f>
        <v/>
      </c>
      <c r="AL25" s="31" t="str">
        <f>IF($B25="","",ROUND(MIN('Nhân viên'!N15,'Cài đặt'!$B$12)*'Cài đặt'!$B$7,0))</f>
        <v/>
      </c>
      <c r="AM25" s="31" t="str">
        <f>IF($B25="","",'Cài đặt'!$B$13+'Nhân viên'!H15*'Cài đặt'!$B$14)</f>
        <v/>
      </c>
      <c r="AN25" s="31" t="str">
        <f t="shared" si="7"/>
        <v/>
      </c>
      <c r="AO25" s="31" t="str">
        <f>IF($B25="","",ROUND(SUMPRODUCT((AN25&gt;'Cài đặt'!$B$29:$B$33)*(AN25-'Cài đặt'!$B$29:$B$33)*'Cài đặt'!$E$29:$E$33),0))</f>
        <v/>
      </c>
      <c r="AP25" s="21"/>
      <c r="AQ25" s="21"/>
      <c r="AR25" s="31" t="str">
        <f t="shared" si="8"/>
        <v/>
      </c>
      <c r="AS25" s="67" t="str">
        <f t="shared" si="9"/>
        <v/>
      </c>
      <c r="AT25" s="14"/>
      <c r="AU25" s="68"/>
      <c r="AV25" s="14"/>
      <c r="AW25" s="16"/>
    </row>
    <row r="26" ht="21.75" customHeight="1">
      <c r="A26" s="48" t="str">
        <f t="shared" si="1"/>
        <v/>
      </c>
      <c r="B26" s="48" t="str">
        <f>IF('Nhân viên'!A16="","",'Nhân viên'!A16)</f>
        <v/>
      </c>
      <c r="C26" s="17" t="str">
        <f>IF($B26="","",'Nhân viên'!B16)</f>
        <v/>
      </c>
      <c r="D26" s="17" t="str">
        <f>IF($B26="","",'Nhân viên'!C16)</f>
        <v/>
      </c>
      <c r="E26" s="17" t="str">
        <f>IF($B26="","",'Nhân viên'!D16)</f>
        <v/>
      </c>
      <c r="F26" s="17" t="str">
        <f>IF($B26="","",'Nhân viên'!E16)</f>
        <v/>
      </c>
      <c r="G26" s="69" t="str">
        <f>IF(OR($B26="",'Nhân viên'!F16=""),"",'Nhân viên'!F16)</f>
        <v/>
      </c>
      <c r="H26" s="25" t="str">
        <f>IF($B26="","",'Nhân viên'!I16)</f>
        <v/>
      </c>
      <c r="I26" s="25" t="str">
        <f>IF($B26="","",'Nhân viên'!J16)</f>
        <v/>
      </c>
      <c r="J26" s="70" t="str">
        <f t="shared" si="2"/>
        <v/>
      </c>
      <c r="K26" s="71"/>
      <c r="L26" s="25" t="str">
        <f t="shared" si="3"/>
        <v/>
      </c>
      <c r="M26" s="22"/>
      <c r="N26" s="25" t="str">
        <f t="shared" si="4"/>
        <v/>
      </c>
      <c r="O26" s="25" t="str">
        <f>IF($B26="","",IF(OR(J26=0,'Cài đặt'!$B$15=0),0,ROUND((H26+I26)/(J26*'Cài đặt'!$B$15),0)))</f>
        <v/>
      </c>
      <c r="P26" s="71"/>
      <c r="Q26" s="71"/>
      <c r="R26" s="71"/>
      <c r="S26" s="71"/>
      <c r="T26" s="70" t="str">
        <f t="shared" si="5"/>
        <v/>
      </c>
      <c r="U26" s="25" t="str">
        <f>IF($B26="","",ROUND(O26*(P26*'Cài đặt'!$B$16+Q26*'Cài đặt'!$B$17+R26*'Cài đặt'!$B$18+S26*'Cài đặt'!$B$19),0))</f>
        <v/>
      </c>
      <c r="V26" s="25" t="str">
        <f>IF($B26="","",IF('Cài đặt'!$B$21="Toàn bộ",U26,ROUND(O26*(P26*('Cài đặt'!$B$16-1)+Q26*('Cài đặt'!$B$17-1)+R26*('Cài đặt'!$B$18-1)+S26*'Cài đặt'!$B$19),0)))</f>
        <v/>
      </c>
      <c r="W26" s="25" t="str">
        <f>IF($B26="","",'Nhân viên'!K16)</f>
        <v/>
      </c>
      <c r="X26" s="75"/>
      <c r="Y26" s="25" t="str">
        <f>IF($B26="","",ROUND(X26*'Cài đặt'!$B$22,0))</f>
        <v/>
      </c>
      <c r="Z26" s="75"/>
      <c r="AA26" s="25" t="str">
        <f>IF($B26="","",ROUND(Z26*'Cài đặt'!$B$23,0))</f>
        <v/>
      </c>
      <c r="AB26" s="25" t="str">
        <f>IF($B26="","",ROUND(K26*'Cài đặt'!$B$24,0))</f>
        <v/>
      </c>
      <c r="AC26" s="25" t="str">
        <f>IF($B26="","",MIN(AB26,'Cài đặt'!$B$25))</f>
        <v/>
      </c>
      <c r="AD26" s="22"/>
      <c r="AE26" s="22"/>
      <c r="AF26" s="22"/>
      <c r="AG26" s="33"/>
      <c r="AH26" s="32"/>
      <c r="AI26" s="25" t="str">
        <f t="shared" si="6"/>
        <v/>
      </c>
      <c r="AJ26" s="25" t="str">
        <f>IF($B26="","",ROUND(MIN('Nhân viên'!N16,'Cài đặt'!$B$10)*'Cài đặt'!$B$5,0))</f>
        <v/>
      </c>
      <c r="AK26" s="25" t="str">
        <f>IF($B26="","",ROUND(MIN('Nhân viên'!N16,'Cài đặt'!$B$10)*'Cài đặt'!$B$6,0))</f>
        <v/>
      </c>
      <c r="AL26" s="25" t="str">
        <f>IF($B26="","",ROUND(MIN('Nhân viên'!N16,'Cài đặt'!$B$12)*'Cài đặt'!$B$7,0))</f>
        <v/>
      </c>
      <c r="AM26" s="25" t="str">
        <f>IF($B26="","",'Cài đặt'!$B$13+'Nhân viên'!H16*'Cài đặt'!$B$14)</f>
        <v/>
      </c>
      <c r="AN26" s="25" t="str">
        <f t="shared" si="7"/>
        <v/>
      </c>
      <c r="AO26" s="25" t="str">
        <f>IF($B26="","",ROUND(SUMPRODUCT((AN26&gt;'Cài đặt'!$B$29:$B$33)*(AN26-'Cài đặt'!$B$29:$B$33)*'Cài đặt'!$E$29:$E$33),0))</f>
        <v/>
      </c>
      <c r="AP26" s="22"/>
      <c r="AQ26" s="22"/>
      <c r="AR26" s="25" t="str">
        <f t="shared" si="8"/>
        <v/>
      </c>
      <c r="AS26" s="67" t="str">
        <f t="shared" si="9"/>
        <v/>
      </c>
      <c r="AT26" s="32"/>
      <c r="AU26" s="76"/>
      <c r="AV26" s="32"/>
      <c r="AW26" s="33"/>
    </row>
    <row r="27" ht="21.75" customHeight="1">
      <c r="A27" s="42" t="str">
        <f t="shared" si="1"/>
        <v/>
      </c>
      <c r="B27" s="42" t="str">
        <f>IF('Nhân viên'!A17="","",'Nhân viên'!A17)</f>
        <v/>
      </c>
      <c r="C27" s="12" t="str">
        <f>IF($B27="","",'Nhân viên'!B17)</f>
        <v/>
      </c>
      <c r="D27" s="12" t="str">
        <f>IF($B27="","",'Nhân viên'!C17)</f>
        <v/>
      </c>
      <c r="E27" s="12" t="str">
        <f>IF($B27="","",'Nhân viên'!D17)</f>
        <v/>
      </c>
      <c r="F27" s="12" t="str">
        <f>IF($B27="","",'Nhân viên'!E17)</f>
        <v/>
      </c>
      <c r="G27" s="63" t="str">
        <f>IF(OR($B27="",'Nhân viên'!F17=""),"",'Nhân viên'!F17)</f>
        <v/>
      </c>
      <c r="H27" s="31" t="str">
        <f>IF($B27="","",'Nhân viên'!I17)</f>
        <v/>
      </c>
      <c r="I27" s="31" t="str">
        <f>IF($B27="","",'Nhân viên'!J17)</f>
        <v/>
      </c>
      <c r="J27" s="64" t="str">
        <f t="shared" si="2"/>
        <v/>
      </c>
      <c r="K27" s="65"/>
      <c r="L27" s="31" t="str">
        <f t="shared" si="3"/>
        <v/>
      </c>
      <c r="M27" s="21"/>
      <c r="N27" s="31" t="str">
        <f t="shared" si="4"/>
        <v/>
      </c>
      <c r="O27" s="31" t="str">
        <f>IF($B27="","",IF(OR(J27=0,'Cài đặt'!$B$15=0),0,ROUND((H27+I27)/(J27*'Cài đặt'!$B$15),0)))</f>
        <v/>
      </c>
      <c r="P27" s="65"/>
      <c r="Q27" s="65"/>
      <c r="R27" s="65"/>
      <c r="S27" s="65"/>
      <c r="T27" s="64" t="str">
        <f t="shared" si="5"/>
        <v/>
      </c>
      <c r="U27" s="31" t="str">
        <f>IF($B27="","",ROUND(O27*(P27*'Cài đặt'!$B$16+Q27*'Cài đặt'!$B$17+R27*'Cài đặt'!$B$18+S27*'Cài đặt'!$B$19),0))</f>
        <v/>
      </c>
      <c r="V27" s="31" t="str">
        <f>IF($B27="","",IF('Cài đặt'!$B$21="Toàn bộ",U27,ROUND(O27*(P27*('Cài đặt'!$B$16-1)+Q27*('Cài đặt'!$B$17-1)+R27*('Cài đặt'!$B$18-1)+S27*'Cài đặt'!$B$19),0)))</f>
        <v/>
      </c>
      <c r="W27" s="31" t="str">
        <f>IF($B27="","",'Nhân viên'!K17)</f>
        <v/>
      </c>
      <c r="X27" s="66"/>
      <c r="Y27" s="31" t="str">
        <f>IF($B27="","",ROUND(X27*'Cài đặt'!$B$22,0))</f>
        <v/>
      </c>
      <c r="Z27" s="66"/>
      <c r="AA27" s="31" t="str">
        <f>IF($B27="","",ROUND(Z27*'Cài đặt'!$B$23,0))</f>
        <v/>
      </c>
      <c r="AB27" s="31" t="str">
        <f>IF($B27="","",ROUND(K27*'Cài đặt'!$B$24,0))</f>
        <v/>
      </c>
      <c r="AC27" s="31" t="str">
        <f>IF($B27="","",MIN(AB27,'Cài đặt'!$B$25))</f>
        <v/>
      </c>
      <c r="AD27" s="21"/>
      <c r="AE27" s="21"/>
      <c r="AF27" s="21"/>
      <c r="AG27" s="16"/>
      <c r="AH27" s="14"/>
      <c r="AI27" s="31" t="str">
        <f t="shared" si="6"/>
        <v/>
      </c>
      <c r="AJ27" s="31" t="str">
        <f>IF($B27="","",ROUND(MIN('Nhân viên'!N17,'Cài đặt'!$B$10)*'Cài đặt'!$B$5,0))</f>
        <v/>
      </c>
      <c r="AK27" s="31" t="str">
        <f>IF($B27="","",ROUND(MIN('Nhân viên'!N17,'Cài đặt'!$B$10)*'Cài đặt'!$B$6,0))</f>
        <v/>
      </c>
      <c r="AL27" s="31" t="str">
        <f>IF($B27="","",ROUND(MIN('Nhân viên'!N17,'Cài đặt'!$B$12)*'Cài đặt'!$B$7,0))</f>
        <v/>
      </c>
      <c r="AM27" s="31" t="str">
        <f>IF($B27="","",'Cài đặt'!$B$13+'Nhân viên'!H17*'Cài đặt'!$B$14)</f>
        <v/>
      </c>
      <c r="AN27" s="31" t="str">
        <f t="shared" si="7"/>
        <v/>
      </c>
      <c r="AO27" s="31" t="str">
        <f>IF($B27="","",ROUND(SUMPRODUCT((AN27&gt;'Cài đặt'!$B$29:$B$33)*(AN27-'Cài đặt'!$B$29:$B$33)*'Cài đặt'!$E$29:$E$33),0))</f>
        <v/>
      </c>
      <c r="AP27" s="21"/>
      <c r="AQ27" s="21"/>
      <c r="AR27" s="31" t="str">
        <f t="shared" si="8"/>
        <v/>
      </c>
      <c r="AS27" s="67" t="str">
        <f t="shared" si="9"/>
        <v/>
      </c>
      <c r="AT27" s="14"/>
      <c r="AU27" s="68"/>
      <c r="AV27" s="14"/>
      <c r="AW27" s="16"/>
    </row>
    <row r="28" ht="21.75" customHeight="1">
      <c r="A28" s="48" t="str">
        <f t="shared" si="1"/>
        <v/>
      </c>
      <c r="B28" s="48" t="str">
        <f>IF('Nhân viên'!A18="","",'Nhân viên'!A18)</f>
        <v/>
      </c>
      <c r="C28" s="17" t="str">
        <f>IF($B28="","",'Nhân viên'!B18)</f>
        <v/>
      </c>
      <c r="D28" s="17" t="str">
        <f>IF($B28="","",'Nhân viên'!C18)</f>
        <v/>
      </c>
      <c r="E28" s="17" t="str">
        <f>IF($B28="","",'Nhân viên'!D18)</f>
        <v/>
      </c>
      <c r="F28" s="17" t="str">
        <f>IF($B28="","",'Nhân viên'!E18)</f>
        <v/>
      </c>
      <c r="G28" s="69" t="str">
        <f>IF(OR($B28="",'Nhân viên'!F18=""),"",'Nhân viên'!F18)</f>
        <v/>
      </c>
      <c r="H28" s="25" t="str">
        <f>IF($B28="","",'Nhân viên'!I18)</f>
        <v/>
      </c>
      <c r="I28" s="25" t="str">
        <f>IF($B28="","",'Nhân viên'!J18)</f>
        <v/>
      </c>
      <c r="J28" s="70" t="str">
        <f t="shared" si="2"/>
        <v/>
      </c>
      <c r="K28" s="71"/>
      <c r="L28" s="25" t="str">
        <f t="shared" si="3"/>
        <v/>
      </c>
      <c r="M28" s="22"/>
      <c r="N28" s="25" t="str">
        <f t="shared" si="4"/>
        <v/>
      </c>
      <c r="O28" s="25" t="str">
        <f>IF($B28="","",IF(OR(J28=0,'Cài đặt'!$B$15=0),0,ROUND((H28+I28)/(J28*'Cài đặt'!$B$15),0)))</f>
        <v/>
      </c>
      <c r="P28" s="71"/>
      <c r="Q28" s="71"/>
      <c r="R28" s="71"/>
      <c r="S28" s="71"/>
      <c r="T28" s="70" t="str">
        <f t="shared" si="5"/>
        <v/>
      </c>
      <c r="U28" s="25" t="str">
        <f>IF($B28="","",ROUND(O28*(P28*'Cài đặt'!$B$16+Q28*'Cài đặt'!$B$17+R28*'Cài đặt'!$B$18+S28*'Cài đặt'!$B$19),0))</f>
        <v/>
      </c>
      <c r="V28" s="25" t="str">
        <f>IF($B28="","",IF('Cài đặt'!$B$21="Toàn bộ",U28,ROUND(O28*(P28*('Cài đặt'!$B$16-1)+Q28*('Cài đặt'!$B$17-1)+R28*('Cài đặt'!$B$18-1)+S28*'Cài đặt'!$B$19),0)))</f>
        <v/>
      </c>
      <c r="W28" s="25" t="str">
        <f>IF($B28="","",'Nhân viên'!K18)</f>
        <v/>
      </c>
      <c r="X28" s="75"/>
      <c r="Y28" s="25" t="str">
        <f>IF($B28="","",ROUND(X28*'Cài đặt'!$B$22,0))</f>
        <v/>
      </c>
      <c r="Z28" s="75"/>
      <c r="AA28" s="25" t="str">
        <f>IF($B28="","",ROUND(Z28*'Cài đặt'!$B$23,0))</f>
        <v/>
      </c>
      <c r="AB28" s="25" t="str">
        <f>IF($B28="","",ROUND(K28*'Cài đặt'!$B$24,0))</f>
        <v/>
      </c>
      <c r="AC28" s="25" t="str">
        <f>IF($B28="","",MIN(AB28,'Cài đặt'!$B$25))</f>
        <v/>
      </c>
      <c r="AD28" s="22"/>
      <c r="AE28" s="22"/>
      <c r="AF28" s="22"/>
      <c r="AG28" s="33"/>
      <c r="AH28" s="32"/>
      <c r="AI28" s="25" t="str">
        <f t="shared" si="6"/>
        <v/>
      </c>
      <c r="AJ28" s="25" t="str">
        <f>IF($B28="","",ROUND(MIN('Nhân viên'!N18,'Cài đặt'!$B$10)*'Cài đặt'!$B$5,0))</f>
        <v/>
      </c>
      <c r="AK28" s="25" t="str">
        <f>IF($B28="","",ROUND(MIN('Nhân viên'!N18,'Cài đặt'!$B$10)*'Cài đặt'!$B$6,0))</f>
        <v/>
      </c>
      <c r="AL28" s="25" t="str">
        <f>IF($B28="","",ROUND(MIN('Nhân viên'!N18,'Cài đặt'!$B$12)*'Cài đặt'!$B$7,0))</f>
        <v/>
      </c>
      <c r="AM28" s="25" t="str">
        <f>IF($B28="","",'Cài đặt'!$B$13+'Nhân viên'!H18*'Cài đặt'!$B$14)</f>
        <v/>
      </c>
      <c r="AN28" s="25" t="str">
        <f t="shared" si="7"/>
        <v/>
      </c>
      <c r="AO28" s="25" t="str">
        <f>IF($B28="","",ROUND(SUMPRODUCT((AN28&gt;'Cài đặt'!$B$29:$B$33)*(AN28-'Cài đặt'!$B$29:$B$33)*'Cài đặt'!$E$29:$E$33),0))</f>
        <v/>
      </c>
      <c r="AP28" s="22"/>
      <c r="AQ28" s="22"/>
      <c r="AR28" s="25" t="str">
        <f t="shared" si="8"/>
        <v/>
      </c>
      <c r="AS28" s="67" t="str">
        <f t="shared" si="9"/>
        <v/>
      </c>
      <c r="AT28" s="32"/>
      <c r="AU28" s="76"/>
      <c r="AV28" s="32"/>
      <c r="AW28" s="33"/>
    </row>
    <row r="29" ht="21.75" customHeight="1">
      <c r="A29" s="42" t="str">
        <f t="shared" si="1"/>
        <v/>
      </c>
      <c r="B29" s="42" t="str">
        <f>IF('Nhân viên'!A19="","",'Nhân viên'!A19)</f>
        <v/>
      </c>
      <c r="C29" s="12" t="str">
        <f>IF($B29="","",'Nhân viên'!B19)</f>
        <v/>
      </c>
      <c r="D29" s="12" t="str">
        <f>IF($B29="","",'Nhân viên'!C19)</f>
        <v/>
      </c>
      <c r="E29" s="12" t="str">
        <f>IF($B29="","",'Nhân viên'!D19)</f>
        <v/>
      </c>
      <c r="F29" s="12" t="str">
        <f>IF($B29="","",'Nhân viên'!E19)</f>
        <v/>
      </c>
      <c r="G29" s="63" t="str">
        <f>IF(OR($B29="",'Nhân viên'!F19=""),"",'Nhân viên'!F19)</f>
        <v/>
      </c>
      <c r="H29" s="31" t="str">
        <f>IF($B29="","",'Nhân viên'!I19)</f>
        <v/>
      </c>
      <c r="I29" s="31" t="str">
        <f>IF($B29="","",'Nhân viên'!J19)</f>
        <v/>
      </c>
      <c r="J29" s="64" t="str">
        <f t="shared" si="2"/>
        <v/>
      </c>
      <c r="K29" s="65"/>
      <c r="L29" s="31" t="str">
        <f t="shared" si="3"/>
        <v/>
      </c>
      <c r="M29" s="21"/>
      <c r="N29" s="31" t="str">
        <f t="shared" si="4"/>
        <v/>
      </c>
      <c r="O29" s="31" t="str">
        <f>IF($B29="","",IF(OR(J29=0,'Cài đặt'!$B$15=0),0,ROUND((H29+I29)/(J29*'Cài đặt'!$B$15),0)))</f>
        <v/>
      </c>
      <c r="P29" s="65"/>
      <c r="Q29" s="65"/>
      <c r="R29" s="65"/>
      <c r="S29" s="65"/>
      <c r="T29" s="64" t="str">
        <f t="shared" si="5"/>
        <v/>
      </c>
      <c r="U29" s="31" t="str">
        <f>IF($B29="","",ROUND(O29*(P29*'Cài đặt'!$B$16+Q29*'Cài đặt'!$B$17+R29*'Cài đặt'!$B$18+S29*'Cài đặt'!$B$19),0))</f>
        <v/>
      </c>
      <c r="V29" s="31" t="str">
        <f>IF($B29="","",IF('Cài đặt'!$B$21="Toàn bộ",U29,ROUND(O29*(P29*('Cài đặt'!$B$16-1)+Q29*('Cài đặt'!$B$17-1)+R29*('Cài đặt'!$B$18-1)+S29*'Cài đặt'!$B$19),0)))</f>
        <v/>
      </c>
      <c r="W29" s="31" t="str">
        <f>IF($B29="","",'Nhân viên'!K19)</f>
        <v/>
      </c>
      <c r="X29" s="66"/>
      <c r="Y29" s="31" t="str">
        <f>IF($B29="","",ROUND(X29*'Cài đặt'!$B$22,0))</f>
        <v/>
      </c>
      <c r="Z29" s="66"/>
      <c r="AA29" s="31" t="str">
        <f>IF($B29="","",ROUND(Z29*'Cài đặt'!$B$23,0))</f>
        <v/>
      </c>
      <c r="AB29" s="31" t="str">
        <f>IF($B29="","",ROUND(K29*'Cài đặt'!$B$24,0))</f>
        <v/>
      </c>
      <c r="AC29" s="31" t="str">
        <f>IF($B29="","",MIN(AB29,'Cài đặt'!$B$25))</f>
        <v/>
      </c>
      <c r="AD29" s="21"/>
      <c r="AE29" s="21"/>
      <c r="AF29" s="21"/>
      <c r="AG29" s="16"/>
      <c r="AH29" s="14"/>
      <c r="AI29" s="31" t="str">
        <f t="shared" si="6"/>
        <v/>
      </c>
      <c r="AJ29" s="31" t="str">
        <f>IF($B29="","",ROUND(MIN('Nhân viên'!N19,'Cài đặt'!$B$10)*'Cài đặt'!$B$5,0))</f>
        <v/>
      </c>
      <c r="AK29" s="31" t="str">
        <f>IF($B29="","",ROUND(MIN('Nhân viên'!N19,'Cài đặt'!$B$10)*'Cài đặt'!$B$6,0))</f>
        <v/>
      </c>
      <c r="AL29" s="31" t="str">
        <f>IF($B29="","",ROUND(MIN('Nhân viên'!N19,'Cài đặt'!$B$12)*'Cài đặt'!$B$7,0))</f>
        <v/>
      </c>
      <c r="AM29" s="31" t="str">
        <f>IF($B29="","",'Cài đặt'!$B$13+'Nhân viên'!H19*'Cài đặt'!$B$14)</f>
        <v/>
      </c>
      <c r="AN29" s="31" t="str">
        <f t="shared" si="7"/>
        <v/>
      </c>
      <c r="AO29" s="31" t="str">
        <f>IF($B29="","",ROUND(SUMPRODUCT((AN29&gt;'Cài đặt'!$B$29:$B$33)*(AN29-'Cài đặt'!$B$29:$B$33)*'Cài đặt'!$E$29:$E$33),0))</f>
        <v/>
      </c>
      <c r="AP29" s="21"/>
      <c r="AQ29" s="21"/>
      <c r="AR29" s="31" t="str">
        <f t="shared" si="8"/>
        <v/>
      </c>
      <c r="AS29" s="67" t="str">
        <f t="shared" si="9"/>
        <v/>
      </c>
      <c r="AT29" s="14"/>
      <c r="AU29" s="68"/>
      <c r="AV29" s="14"/>
      <c r="AW29" s="16"/>
    </row>
    <row r="30" ht="21.75" customHeight="1">
      <c r="A30" s="48" t="str">
        <f t="shared" si="1"/>
        <v/>
      </c>
      <c r="B30" s="48" t="str">
        <f>IF('Nhân viên'!A20="","",'Nhân viên'!A20)</f>
        <v/>
      </c>
      <c r="C30" s="17" t="str">
        <f>IF($B30="","",'Nhân viên'!B20)</f>
        <v/>
      </c>
      <c r="D30" s="17" t="str">
        <f>IF($B30="","",'Nhân viên'!C20)</f>
        <v/>
      </c>
      <c r="E30" s="17" t="str">
        <f>IF($B30="","",'Nhân viên'!D20)</f>
        <v/>
      </c>
      <c r="F30" s="17" t="str">
        <f>IF($B30="","",'Nhân viên'!E20)</f>
        <v/>
      </c>
      <c r="G30" s="69" t="str">
        <f>IF(OR($B30="",'Nhân viên'!F20=""),"",'Nhân viên'!F20)</f>
        <v/>
      </c>
      <c r="H30" s="25" t="str">
        <f>IF($B30="","",'Nhân viên'!I20)</f>
        <v/>
      </c>
      <c r="I30" s="25" t="str">
        <f>IF($B30="","",'Nhân viên'!J20)</f>
        <v/>
      </c>
      <c r="J30" s="70" t="str">
        <f t="shared" si="2"/>
        <v/>
      </c>
      <c r="K30" s="71"/>
      <c r="L30" s="25" t="str">
        <f t="shared" si="3"/>
        <v/>
      </c>
      <c r="M30" s="22"/>
      <c r="N30" s="25" t="str">
        <f t="shared" si="4"/>
        <v/>
      </c>
      <c r="O30" s="25" t="str">
        <f>IF($B30="","",IF(OR(J30=0,'Cài đặt'!$B$15=0),0,ROUND((H30+I30)/(J30*'Cài đặt'!$B$15),0)))</f>
        <v/>
      </c>
      <c r="P30" s="71"/>
      <c r="Q30" s="71"/>
      <c r="R30" s="71"/>
      <c r="S30" s="71"/>
      <c r="T30" s="70" t="str">
        <f t="shared" si="5"/>
        <v/>
      </c>
      <c r="U30" s="25" t="str">
        <f>IF($B30="","",ROUND(O30*(P30*'Cài đặt'!$B$16+Q30*'Cài đặt'!$B$17+R30*'Cài đặt'!$B$18+S30*'Cài đặt'!$B$19),0))</f>
        <v/>
      </c>
      <c r="V30" s="25" t="str">
        <f>IF($B30="","",IF('Cài đặt'!$B$21="Toàn bộ",U30,ROUND(O30*(P30*('Cài đặt'!$B$16-1)+Q30*('Cài đặt'!$B$17-1)+R30*('Cài đặt'!$B$18-1)+S30*'Cài đặt'!$B$19),0)))</f>
        <v/>
      </c>
      <c r="W30" s="25" t="str">
        <f>IF($B30="","",'Nhân viên'!K20)</f>
        <v/>
      </c>
      <c r="X30" s="75"/>
      <c r="Y30" s="25" t="str">
        <f>IF($B30="","",ROUND(X30*'Cài đặt'!$B$22,0))</f>
        <v/>
      </c>
      <c r="Z30" s="75"/>
      <c r="AA30" s="25" t="str">
        <f>IF($B30="","",ROUND(Z30*'Cài đặt'!$B$23,0))</f>
        <v/>
      </c>
      <c r="AB30" s="25" t="str">
        <f>IF($B30="","",ROUND(K30*'Cài đặt'!$B$24,0))</f>
        <v/>
      </c>
      <c r="AC30" s="25" t="str">
        <f>IF($B30="","",MIN(AB30,'Cài đặt'!$B$25))</f>
        <v/>
      </c>
      <c r="AD30" s="22"/>
      <c r="AE30" s="22"/>
      <c r="AF30" s="22"/>
      <c r="AG30" s="33"/>
      <c r="AH30" s="32"/>
      <c r="AI30" s="25" t="str">
        <f t="shared" si="6"/>
        <v/>
      </c>
      <c r="AJ30" s="25" t="str">
        <f>IF($B30="","",ROUND(MIN('Nhân viên'!N20,'Cài đặt'!$B$10)*'Cài đặt'!$B$5,0))</f>
        <v/>
      </c>
      <c r="AK30" s="25" t="str">
        <f>IF($B30="","",ROUND(MIN('Nhân viên'!N20,'Cài đặt'!$B$10)*'Cài đặt'!$B$6,0))</f>
        <v/>
      </c>
      <c r="AL30" s="25" t="str">
        <f>IF($B30="","",ROUND(MIN('Nhân viên'!N20,'Cài đặt'!$B$12)*'Cài đặt'!$B$7,0))</f>
        <v/>
      </c>
      <c r="AM30" s="25" t="str">
        <f>IF($B30="","",'Cài đặt'!$B$13+'Nhân viên'!H20*'Cài đặt'!$B$14)</f>
        <v/>
      </c>
      <c r="AN30" s="25" t="str">
        <f t="shared" si="7"/>
        <v/>
      </c>
      <c r="AO30" s="25" t="str">
        <f>IF($B30="","",ROUND(SUMPRODUCT((AN30&gt;'Cài đặt'!$B$29:$B$33)*(AN30-'Cài đặt'!$B$29:$B$33)*'Cài đặt'!$E$29:$E$33),0))</f>
        <v/>
      </c>
      <c r="AP30" s="22"/>
      <c r="AQ30" s="22"/>
      <c r="AR30" s="25" t="str">
        <f t="shared" si="8"/>
        <v/>
      </c>
      <c r="AS30" s="67" t="str">
        <f t="shared" si="9"/>
        <v/>
      </c>
      <c r="AT30" s="32"/>
      <c r="AU30" s="76"/>
      <c r="AV30" s="32"/>
      <c r="AW30" s="33"/>
    </row>
    <row r="31" ht="21.75" customHeight="1">
      <c r="A31" s="42" t="str">
        <f t="shared" si="1"/>
        <v/>
      </c>
      <c r="B31" s="42" t="str">
        <f>IF('Nhân viên'!A21="","",'Nhân viên'!A21)</f>
        <v/>
      </c>
      <c r="C31" s="12" t="str">
        <f>IF($B31="","",'Nhân viên'!B21)</f>
        <v/>
      </c>
      <c r="D31" s="12" t="str">
        <f>IF($B31="","",'Nhân viên'!C21)</f>
        <v/>
      </c>
      <c r="E31" s="12" t="str">
        <f>IF($B31="","",'Nhân viên'!D21)</f>
        <v/>
      </c>
      <c r="F31" s="12" t="str">
        <f>IF($B31="","",'Nhân viên'!E21)</f>
        <v/>
      </c>
      <c r="G31" s="63" t="str">
        <f>IF(OR($B31="",'Nhân viên'!F21=""),"",'Nhân viên'!F21)</f>
        <v/>
      </c>
      <c r="H31" s="31" t="str">
        <f>IF($B31="","",'Nhân viên'!I21)</f>
        <v/>
      </c>
      <c r="I31" s="31" t="str">
        <f>IF($B31="","",'Nhân viên'!J21)</f>
        <v/>
      </c>
      <c r="J31" s="64" t="str">
        <f t="shared" si="2"/>
        <v/>
      </c>
      <c r="K31" s="65"/>
      <c r="L31" s="31" t="str">
        <f t="shared" si="3"/>
        <v/>
      </c>
      <c r="M31" s="21"/>
      <c r="N31" s="31" t="str">
        <f t="shared" si="4"/>
        <v/>
      </c>
      <c r="O31" s="31" t="str">
        <f>IF($B31="","",IF(OR(J31=0,'Cài đặt'!$B$15=0),0,ROUND((H31+I31)/(J31*'Cài đặt'!$B$15),0)))</f>
        <v/>
      </c>
      <c r="P31" s="65"/>
      <c r="Q31" s="65"/>
      <c r="R31" s="65"/>
      <c r="S31" s="65"/>
      <c r="T31" s="64" t="str">
        <f t="shared" si="5"/>
        <v/>
      </c>
      <c r="U31" s="31" t="str">
        <f>IF($B31="","",ROUND(O31*(P31*'Cài đặt'!$B$16+Q31*'Cài đặt'!$B$17+R31*'Cài đặt'!$B$18+S31*'Cài đặt'!$B$19),0))</f>
        <v/>
      </c>
      <c r="V31" s="31" t="str">
        <f>IF($B31="","",IF('Cài đặt'!$B$21="Toàn bộ",U31,ROUND(O31*(P31*('Cài đặt'!$B$16-1)+Q31*('Cài đặt'!$B$17-1)+R31*('Cài đặt'!$B$18-1)+S31*'Cài đặt'!$B$19),0)))</f>
        <v/>
      </c>
      <c r="W31" s="31" t="str">
        <f>IF($B31="","",'Nhân viên'!K21)</f>
        <v/>
      </c>
      <c r="X31" s="66"/>
      <c r="Y31" s="31" t="str">
        <f>IF($B31="","",ROUND(X31*'Cài đặt'!$B$22,0))</f>
        <v/>
      </c>
      <c r="Z31" s="66"/>
      <c r="AA31" s="31" t="str">
        <f>IF($B31="","",ROUND(Z31*'Cài đặt'!$B$23,0))</f>
        <v/>
      </c>
      <c r="AB31" s="31" t="str">
        <f>IF($B31="","",ROUND(K31*'Cài đặt'!$B$24,0))</f>
        <v/>
      </c>
      <c r="AC31" s="31" t="str">
        <f>IF($B31="","",MIN(AB31,'Cài đặt'!$B$25))</f>
        <v/>
      </c>
      <c r="AD31" s="21"/>
      <c r="AE31" s="21"/>
      <c r="AF31" s="21"/>
      <c r="AG31" s="16"/>
      <c r="AH31" s="14"/>
      <c r="AI31" s="31" t="str">
        <f t="shared" si="6"/>
        <v/>
      </c>
      <c r="AJ31" s="31" t="str">
        <f>IF($B31="","",ROUND(MIN('Nhân viên'!N21,'Cài đặt'!$B$10)*'Cài đặt'!$B$5,0))</f>
        <v/>
      </c>
      <c r="AK31" s="31" t="str">
        <f>IF($B31="","",ROUND(MIN('Nhân viên'!N21,'Cài đặt'!$B$10)*'Cài đặt'!$B$6,0))</f>
        <v/>
      </c>
      <c r="AL31" s="31" t="str">
        <f>IF($B31="","",ROUND(MIN('Nhân viên'!N21,'Cài đặt'!$B$12)*'Cài đặt'!$B$7,0))</f>
        <v/>
      </c>
      <c r="AM31" s="31" t="str">
        <f>IF($B31="","",'Cài đặt'!$B$13+'Nhân viên'!H21*'Cài đặt'!$B$14)</f>
        <v/>
      </c>
      <c r="AN31" s="31" t="str">
        <f t="shared" si="7"/>
        <v/>
      </c>
      <c r="AO31" s="31" t="str">
        <f>IF($B31="","",ROUND(SUMPRODUCT((AN31&gt;'Cài đặt'!$B$29:$B$33)*(AN31-'Cài đặt'!$B$29:$B$33)*'Cài đặt'!$E$29:$E$33),0))</f>
        <v/>
      </c>
      <c r="AP31" s="21"/>
      <c r="AQ31" s="21"/>
      <c r="AR31" s="31" t="str">
        <f t="shared" si="8"/>
        <v/>
      </c>
      <c r="AS31" s="67" t="str">
        <f t="shared" si="9"/>
        <v/>
      </c>
      <c r="AT31" s="14"/>
      <c r="AU31" s="68"/>
      <c r="AV31" s="14"/>
      <c r="AW31" s="16"/>
    </row>
    <row r="32" ht="21.75" customHeight="1">
      <c r="A32" s="48" t="str">
        <f t="shared" si="1"/>
        <v/>
      </c>
      <c r="B32" s="48" t="str">
        <f>IF('Nhân viên'!A22="","",'Nhân viên'!A22)</f>
        <v/>
      </c>
      <c r="C32" s="17" t="str">
        <f>IF($B32="","",'Nhân viên'!B22)</f>
        <v/>
      </c>
      <c r="D32" s="17" t="str">
        <f>IF($B32="","",'Nhân viên'!C22)</f>
        <v/>
      </c>
      <c r="E32" s="17" t="str">
        <f>IF($B32="","",'Nhân viên'!D22)</f>
        <v/>
      </c>
      <c r="F32" s="17" t="str">
        <f>IF($B32="","",'Nhân viên'!E22)</f>
        <v/>
      </c>
      <c r="G32" s="69" t="str">
        <f>IF(OR($B32="",'Nhân viên'!F22=""),"",'Nhân viên'!F22)</f>
        <v/>
      </c>
      <c r="H32" s="25" t="str">
        <f>IF($B32="","",'Nhân viên'!I22)</f>
        <v/>
      </c>
      <c r="I32" s="25" t="str">
        <f>IF($B32="","",'Nhân viên'!J22)</f>
        <v/>
      </c>
      <c r="J32" s="70" t="str">
        <f t="shared" si="2"/>
        <v/>
      </c>
      <c r="K32" s="71"/>
      <c r="L32" s="25" t="str">
        <f t="shared" si="3"/>
        <v/>
      </c>
      <c r="M32" s="22"/>
      <c r="N32" s="25" t="str">
        <f t="shared" si="4"/>
        <v/>
      </c>
      <c r="O32" s="25" t="str">
        <f>IF($B32="","",IF(OR(J32=0,'Cài đặt'!$B$15=0),0,ROUND((H32+I32)/(J32*'Cài đặt'!$B$15),0)))</f>
        <v/>
      </c>
      <c r="P32" s="71"/>
      <c r="Q32" s="71"/>
      <c r="R32" s="71"/>
      <c r="S32" s="71"/>
      <c r="T32" s="70" t="str">
        <f t="shared" si="5"/>
        <v/>
      </c>
      <c r="U32" s="25" t="str">
        <f>IF($B32="","",ROUND(O32*(P32*'Cài đặt'!$B$16+Q32*'Cài đặt'!$B$17+R32*'Cài đặt'!$B$18+S32*'Cài đặt'!$B$19),0))</f>
        <v/>
      </c>
      <c r="V32" s="25" t="str">
        <f>IF($B32="","",IF('Cài đặt'!$B$21="Toàn bộ",U32,ROUND(O32*(P32*('Cài đặt'!$B$16-1)+Q32*('Cài đặt'!$B$17-1)+R32*('Cài đặt'!$B$18-1)+S32*'Cài đặt'!$B$19),0)))</f>
        <v/>
      </c>
      <c r="W32" s="25" t="str">
        <f>IF($B32="","",'Nhân viên'!K22)</f>
        <v/>
      </c>
      <c r="X32" s="75"/>
      <c r="Y32" s="25" t="str">
        <f>IF($B32="","",ROUND(X32*'Cài đặt'!$B$22,0))</f>
        <v/>
      </c>
      <c r="Z32" s="75"/>
      <c r="AA32" s="25" t="str">
        <f>IF($B32="","",ROUND(Z32*'Cài đặt'!$B$23,0))</f>
        <v/>
      </c>
      <c r="AB32" s="25" t="str">
        <f>IF($B32="","",ROUND(K32*'Cài đặt'!$B$24,0))</f>
        <v/>
      </c>
      <c r="AC32" s="25" t="str">
        <f>IF($B32="","",MIN(AB32,'Cài đặt'!$B$25))</f>
        <v/>
      </c>
      <c r="AD32" s="22"/>
      <c r="AE32" s="22"/>
      <c r="AF32" s="22"/>
      <c r="AG32" s="33"/>
      <c r="AH32" s="32"/>
      <c r="AI32" s="25" t="str">
        <f t="shared" si="6"/>
        <v/>
      </c>
      <c r="AJ32" s="25" t="str">
        <f>IF($B32="","",ROUND(MIN('Nhân viên'!N22,'Cài đặt'!$B$10)*'Cài đặt'!$B$5,0))</f>
        <v/>
      </c>
      <c r="AK32" s="25" t="str">
        <f>IF($B32="","",ROUND(MIN('Nhân viên'!N22,'Cài đặt'!$B$10)*'Cài đặt'!$B$6,0))</f>
        <v/>
      </c>
      <c r="AL32" s="25" t="str">
        <f>IF($B32="","",ROUND(MIN('Nhân viên'!N22,'Cài đặt'!$B$12)*'Cài đặt'!$B$7,0))</f>
        <v/>
      </c>
      <c r="AM32" s="25" t="str">
        <f>IF($B32="","",'Cài đặt'!$B$13+'Nhân viên'!H22*'Cài đặt'!$B$14)</f>
        <v/>
      </c>
      <c r="AN32" s="25" t="str">
        <f t="shared" si="7"/>
        <v/>
      </c>
      <c r="AO32" s="25" t="str">
        <f>IF($B32="","",ROUND(SUMPRODUCT((AN32&gt;'Cài đặt'!$B$29:$B$33)*(AN32-'Cài đặt'!$B$29:$B$33)*'Cài đặt'!$E$29:$E$33),0))</f>
        <v/>
      </c>
      <c r="AP32" s="22"/>
      <c r="AQ32" s="22"/>
      <c r="AR32" s="25" t="str">
        <f t="shared" si="8"/>
        <v/>
      </c>
      <c r="AS32" s="67" t="str">
        <f t="shared" si="9"/>
        <v/>
      </c>
      <c r="AT32" s="32"/>
      <c r="AU32" s="76"/>
      <c r="AV32" s="32"/>
      <c r="AW32" s="33"/>
    </row>
    <row r="33" ht="21.75" customHeight="1">
      <c r="A33" s="42" t="str">
        <f t="shared" si="1"/>
        <v/>
      </c>
      <c r="B33" s="42" t="str">
        <f>IF('Nhân viên'!A23="","",'Nhân viên'!A23)</f>
        <v/>
      </c>
      <c r="C33" s="12" t="str">
        <f>IF($B33="","",'Nhân viên'!B23)</f>
        <v/>
      </c>
      <c r="D33" s="12" t="str">
        <f>IF($B33="","",'Nhân viên'!C23)</f>
        <v/>
      </c>
      <c r="E33" s="12" t="str">
        <f>IF($B33="","",'Nhân viên'!D23)</f>
        <v/>
      </c>
      <c r="F33" s="12" t="str">
        <f>IF($B33="","",'Nhân viên'!E23)</f>
        <v/>
      </c>
      <c r="G33" s="63" t="str">
        <f>IF(OR($B33="",'Nhân viên'!F23=""),"",'Nhân viên'!F23)</f>
        <v/>
      </c>
      <c r="H33" s="31" t="str">
        <f>IF($B33="","",'Nhân viên'!I23)</f>
        <v/>
      </c>
      <c r="I33" s="31" t="str">
        <f>IF($B33="","",'Nhân viên'!J23)</f>
        <v/>
      </c>
      <c r="J33" s="64" t="str">
        <f t="shared" si="2"/>
        <v/>
      </c>
      <c r="K33" s="65"/>
      <c r="L33" s="31" t="str">
        <f t="shared" si="3"/>
        <v/>
      </c>
      <c r="M33" s="21"/>
      <c r="N33" s="31" t="str">
        <f t="shared" si="4"/>
        <v/>
      </c>
      <c r="O33" s="31" t="str">
        <f>IF($B33="","",IF(OR(J33=0,'Cài đặt'!$B$15=0),0,ROUND((H33+I33)/(J33*'Cài đặt'!$B$15),0)))</f>
        <v/>
      </c>
      <c r="P33" s="65"/>
      <c r="Q33" s="65"/>
      <c r="R33" s="65"/>
      <c r="S33" s="65"/>
      <c r="T33" s="64" t="str">
        <f t="shared" si="5"/>
        <v/>
      </c>
      <c r="U33" s="31" t="str">
        <f>IF($B33="","",ROUND(O33*(P33*'Cài đặt'!$B$16+Q33*'Cài đặt'!$B$17+R33*'Cài đặt'!$B$18+S33*'Cài đặt'!$B$19),0))</f>
        <v/>
      </c>
      <c r="V33" s="31" t="str">
        <f>IF($B33="","",IF('Cài đặt'!$B$21="Toàn bộ",U33,ROUND(O33*(P33*('Cài đặt'!$B$16-1)+Q33*('Cài đặt'!$B$17-1)+R33*('Cài đặt'!$B$18-1)+S33*'Cài đặt'!$B$19),0)))</f>
        <v/>
      </c>
      <c r="W33" s="31" t="str">
        <f>IF($B33="","",'Nhân viên'!K23)</f>
        <v/>
      </c>
      <c r="X33" s="66"/>
      <c r="Y33" s="31" t="str">
        <f>IF($B33="","",ROUND(X33*'Cài đặt'!$B$22,0))</f>
        <v/>
      </c>
      <c r="Z33" s="66"/>
      <c r="AA33" s="31" t="str">
        <f>IF($B33="","",ROUND(Z33*'Cài đặt'!$B$23,0))</f>
        <v/>
      </c>
      <c r="AB33" s="31" t="str">
        <f>IF($B33="","",ROUND(K33*'Cài đặt'!$B$24,0))</f>
        <v/>
      </c>
      <c r="AC33" s="31" t="str">
        <f>IF($B33="","",MIN(AB33,'Cài đặt'!$B$25))</f>
        <v/>
      </c>
      <c r="AD33" s="21"/>
      <c r="AE33" s="21"/>
      <c r="AF33" s="21"/>
      <c r="AG33" s="16"/>
      <c r="AH33" s="14"/>
      <c r="AI33" s="31" t="str">
        <f t="shared" si="6"/>
        <v/>
      </c>
      <c r="AJ33" s="31" t="str">
        <f>IF($B33="","",ROUND(MIN('Nhân viên'!N23,'Cài đặt'!$B$10)*'Cài đặt'!$B$5,0))</f>
        <v/>
      </c>
      <c r="AK33" s="31" t="str">
        <f>IF($B33="","",ROUND(MIN('Nhân viên'!N23,'Cài đặt'!$B$10)*'Cài đặt'!$B$6,0))</f>
        <v/>
      </c>
      <c r="AL33" s="31" t="str">
        <f>IF($B33="","",ROUND(MIN('Nhân viên'!N23,'Cài đặt'!$B$12)*'Cài đặt'!$B$7,0))</f>
        <v/>
      </c>
      <c r="AM33" s="31" t="str">
        <f>IF($B33="","",'Cài đặt'!$B$13+'Nhân viên'!H23*'Cài đặt'!$B$14)</f>
        <v/>
      </c>
      <c r="AN33" s="31" t="str">
        <f t="shared" si="7"/>
        <v/>
      </c>
      <c r="AO33" s="31" t="str">
        <f>IF($B33="","",ROUND(SUMPRODUCT((AN33&gt;'Cài đặt'!$B$29:$B$33)*(AN33-'Cài đặt'!$B$29:$B$33)*'Cài đặt'!$E$29:$E$33),0))</f>
        <v/>
      </c>
      <c r="AP33" s="21"/>
      <c r="AQ33" s="21"/>
      <c r="AR33" s="31" t="str">
        <f t="shared" si="8"/>
        <v/>
      </c>
      <c r="AS33" s="67" t="str">
        <f t="shared" si="9"/>
        <v/>
      </c>
      <c r="AT33" s="14"/>
      <c r="AU33" s="68"/>
      <c r="AV33" s="14"/>
      <c r="AW33" s="16"/>
    </row>
    <row r="34" ht="21.75" customHeight="1">
      <c r="A34" s="48" t="str">
        <f t="shared" si="1"/>
        <v/>
      </c>
      <c r="B34" s="48" t="str">
        <f>IF('Nhân viên'!A24="","",'Nhân viên'!A24)</f>
        <v/>
      </c>
      <c r="C34" s="17" t="str">
        <f>IF($B34="","",'Nhân viên'!B24)</f>
        <v/>
      </c>
      <c r="D34" s="17" t="str">
        <f>IF($B34="","",'Nhân viên'!C24)</f>
        <v/>
      </c>
      <c r="E34" s="17" t="str">
        <f>IF($B34="","",'Nhân viên'!D24)</f>
        <v/>
      </c>
      <c r="F34" s="17" t="str">
        <f>IF($B34="","",'Nhân viên'!E24)</f>
        <v/>
      </c>
      <c r="G34" s="69" t="str">
        <f>IF(OR($B34="",'Nhân viên'!F24=""),"",'Nhân viên'!F24)</f>
        <v/>
      </c>
      <c r="H34" s="25" t="str">
        <f>IF($B34="","",'Nhân viên'!I24)</f>
        <v/>
      </c>
      <c r="I34" s="25" t="str">
        <f>IF($B34="","",'Nhân viên'!J24)</f>
        <v/>
      </c>
      <c r="J34" s="70" t="str">
        <f t="shared" si="2"/>
        <v/>
      </c>
      <c r="K34" s="71"/>
      <c r="L34" s="25" t="str">
        <f t="shared" si="3"/>
        <v/>
      </c>
      <c r="M34" s="22"/>
      <c r="N34" s="25" t="str">
        <f t="shared" si="4"/>
        <v/>
      </c>
      <c r="O34" s="25" t="str">
        <f>IF($B34="","",IF(OR(J34=0,'Cài đặt'!$B$15=0),0,ROUND((H34+I34)/(J34*'Cài đặt'!$B$15),0)))</f>
        <v/>
      </c>
      <c r="P34" s="71"/>
      <c r="Q34" s="71"/>
      <c r="R34" s="71"/>
      <c r="S34" s="71"/>
      <c r="T34" s="70" t="str">
        <f t="shared" si="5"/>
        <v/>
      </c>
      <c r="U34" s="25" t="str">
        <f>IF($B34="","",ROUND(O34*(P34*'Cài đặt'!$B$16+Q34*'Cài đặt'!$B$17+R34*'Cài đặt'!$B$18+S34*'Cài đặt'!$B$19),0))</f>
        <v/>
      </c>
      <c r="V34" s="25" t="str">
        <f>IF($B34="","",IF('Cài đặt'!$B$21="Toàn bộ",U34,ROUND(O34*(P34*('Cài đặt'!$B$16-1)+Q34*('Cài đặt'!$B$17-1)+R34*('Cài đặt'!$B$18-1)+S34*'Cài đặt'!$B$19),0)))</f>
        <v/>
      </c>
      <c r="W34" s="25" t="str">
        <f>IF($B34="","",'Nhân viên'!K24)</f>
        <v/>
      </c>
      <c r="X34" s="75"/>
      <c r="Y34" s="25" t="str">
        <f>IF($B34="","",ROUND(X34*'Cài đặt'!$B$22,0))</f>
        <v/>
      </c>
      <c r="Z34" s="75"/>
      <c r="AA34" s="25" t="str">
        <f>IF($B34="","",ROUND(Z34*'Cài đặt'!$B$23,0))</f>
        <v/>
      </c>
      <c r="AB34" s="25" t="str">
        <f>IF($B34="","",ROUND(K34*'Cài đặt'!$B$24,0))</f>
        <v/>
      </c>
      <c r="AC34" s="25" t="str">
        <f>IF($B34="","",MIN(AB34,'Cài đặt'!$B$25))</f>
        <v/>
      </c>
      <c r="AD34" s="22"/>
      <c r="AE34" s="22"/>
      <c r="AF34" s="22"/>
      <c r="AG34" s="33"/>
      <c r="AH34" s="32"/>
      <c r="AI34" s="25" t="str">
        <f t="shared" si="6"/>
        <v/>
      </c>
      <c r="AJ34" s="25" t="str">
        <f>IF($B34="","",ROUND(MIN('Nhân viên'!N24,'Cài đặt'!$B$10)*'Cài đặt'!$B$5,0))</f>
        <v/>
      </c>
      <c r="AK34" s="25" t="str">
        <f>IF($B34="","",ROUND(MIN('Nhân viên'!N24,'Cài đặt'!$B$10)*'Cài đặt'!$B$6,0))</f>
        <v/>
      </c>
      <c r="AL34" s="25" t="str">
        <f>IF($B34="","",ROUND(MIN('Nhân viên'!N24,'Cài đặt'!$B$12)*'Cài đặt'!$B$7,0))</f>
        <v/>
      </c>
      <c r="AM34" s="25" t="str">
        <f>IF($B34="","",'Cài đặt'!$B$13+'Nhân viên'!H24*'Cài đặt'!$B$14)</f>
        <v/>
      </c>
      <c r="AN34" s="25" t="str">
        <f t="shared" si="7"/>
        <v/>
      </c>
      <c r="AO34" s="25" t="str">
        <f>IF($B34="","",ROUND(SUMPRODUCT((AN34&gt;'Cài đặt'!$B$29:$B$33)*(AN34-'Cài đặt'!$B$29:$B$33)*'Cài đặt'!$E$29:$E$33),0))</f>
        <v/>
      </c>
      <c r="AP34" s="22"/>
      <c r="AQ34" s="22"/>
      <c r="AR34" s="25" t="str">
        <f t="shared" si="8"/>
        <v/>
      </c>
      <c r="AS34" s="67" t="str">
        <f t="shared" si="9"/>
        <v/>
      </c>
      <c r="AT34" s="32"/>
      <c r="AU34" s="76"/>
      <c r="AV34" s="32"/>
      <c r="AW34" s="33"/>
    </row>
    <row r="35" ht="21.75" customHeight="1">
      <c r="A35" s="42" t="str">
        <f t="shared" si="1"/>
        <v/>
      </c>
      <c r="B35" s="42" t="str">
        <f>IF('Nhân viên'!A25="","",'Nhân viên'!A25)</f>
        <v/>
      </c>
      <c r="C35" s="12" t="str">
        <f>IF($B35="","",'Nhân viên'!B25)</f>
        <v/>
      </c>
      <c r="D35" s="12" t="str">
        <f>IF($B35="","",'Nhân viên'!C25)</f>
        <v/>
      </c>
      <c r="E35" s="12" t="str">
        <f>IF($B35="","",'Nhân viên'!D25)</f>
        <v/>
      </c>
      <c r="F35" s="12" t="str">
        <f>IF($B35="","",'Nhân viên'!E25)</f>
        <v/>
      </c>
      <c r="G35" s="63" t="str">
        <f>IF(OR($B35="",'Nhân viên'!F25=""),"",'Nhân viên'!F25)</f>
        <v/>
      </c>
      <c r="H35" s="31" t="str">
        <f>IF($B35="","",'Nhân viên'!I25)</f>
        <v/>
      </c>
      <c r="I35" s="31" t="str">
        <f>IF($B35="","",'Nhân viên'!J25)</f>
        <v/>
      </c>
      <c r="J35" s="64" t="str">
        <f t="shared" si="2"/>
        <v/>
      </c>
      <c r="K35" s="65"/>
      <c r="L35" s="31" t="str">
        <f t="shared" si="3"/>
        <v/>
      </c>
      <c r="M35" s="21"/>
      <c r="N35" s="31" t="str">
        <f t="shared" si="4"/>
        <v/>
      </c>
      <c r="O35" s="31" t="str">
        <f>IF($B35="","",IF(OR(J35=0,'Cài đặt'!$B$15=0),0,ROUND((H35+I35)/(J35*'Cài đặt'!$B$15),0)))</f>
        <v/>
      </c>
      <c r="P35" s="65"/>
      <c r="Q35" s="65"/>
      <c r="R35" s="65"/>
      <c r="S35" s="65"/>
      <c r="T35" s="64" t="str">
        <f t="shared" si="5"/>
        <v/>
      </c>
      <c r="U35" s="31" t="str">
        <f>IF($B35="","",ROUND(O35*(P35*'Cài đặt'!$B$16+Q35*'Cài đặt'!$B$17+R35*'Cài đặt'!$B$18+S35*'Cài đặt'!$B$19),0))</f>
        <v/>
      </c>
      <c r="V35" s="31" t="str">
        <f>IF($B35="","",IF('Cài đặt'!$B$21="Toàn bộ",U35,ROUND(O35*(P35*('Cài đặt'!$B$16-1)+Q35*('Cài đặt'!$B$17-1)+R35*('Cài đặt'!$B$18-1)+S35*'Cài đặt'!$B$19),0)))</f>
        <v/>
      </c>
      <c r="W35" s="31" t="str">
        <f>IF($B35="","",'Nhân viên'!K25)</f>
        <v/>
      </c>
      <c r="X35" s="66"/>
      <c r="Y35" s="31" t="str">
        <f>IF($B35="","",ROUND(X35*'Cài đặt'!$B$22,0))</f>
        <v/>
      </c>
      <c r="Z35" s="66"/>
      <c r="AA35" s="31" t="str">
        <f>IF($B35="","",ROUND(Z35*'Cài đặt'!$B$23,0))</f>
        <v/>
      </c>
      <c r="AB35" s="31" t="str">
        <f>IF($B35="","",ROUND(K35*'Cài đặt'!$B$24,0))</f>
        <v/>
      </c>
      <c r="AC35" s="31" t="str">
        <f>IF($B35="","",MIN(AB35,'Cài đặt'!$B$25))</f>
        <v/>
      </c>
      <c r="AD35" s="21"/>
      <c r="AE35" s="21"/>
      <c r="AF35" s="21"/>
      <c r="AG35" s="16"/>
      <c r="AH35" s="14"/>
      <c r="AI35" s="31" t="str">
        <f t="shared" si="6"/>
        <v/>
      </c>
      <c r="AJ35" s="31" t="str">
        <f>IF($B35="","",ROUND(MIN('Nhân viên'!N25,'Cài đặt'!$B$10)*'Cài đặt'!$B$5,0))</f>
        <v/>
      </c>
      <c r="AK35" s="31" t="str">
        <f>IF($B35="","",ROUND(MIN('Nhân viên'!N25,'Cài đặt'!$B$10)*'Cài đặt'!$B$6,0))</f>
        <v/>
      </c>
      <c r="AL35" s="31" t="str">
        <f>IF($B35="","",ROUND(MIN('Nhân viên'!N25,'Cài đặt'!$B$12)*'Cài đặt'!$B$7,0))</f>
        <v/>
      </c>
      <c r="AM35" s="31" t="str">
        <f>IF($B35="","",'Cài đặt'!$B$13+'Nhân viên'!H25*'Cài đặt'!$B$14)</f>
        <v/>
      </c>
      <c r="AN35" s="31" t="str">
        <f t="shared" si="7"/>
        <v/>
      </c>
      <c r="AO35" s="31" t="str">
        <f>IF($B35="","",ROUND(SUMPRODUCT((AN35&gt;'Cài đặt'!$B$29:$B$33)*(AN35-'Cài đặt'!$B$29:$B$33)*'Cài đặt'!$E$29:$E$33),0))</f>
        <v/>
      </c>
      <c r="AP35" s="21"/>
      <c r="AQ35" s="21"/>
      <c r="AR35" s="31" t="str">
        <f t="shared" si="8"/>
        <v/>
      </c>
      <c r="AS35" s="67" t="str">
        <f t="shared" si="9"/>
        <v/>
      </c>
      <c r="AT35" s="14"/>
      <c r="AU35" s="68"/>
      <c r="AV35" s="14"/>
      <c r="AW35" s="16"/>
    </row>
    <row r="36" ht="21.75" customHeight="1">
      <c r="A36" s="48" t="str">
        <f t="shared" si="1"/>
        <v/>
      </c>
      <c r="B36" s="48" t="str">
        <f>IF('Nhân viên'!A26="","",'Nhân viên'!A26)</f>
        <v/>
      </c>
      <c r="C36" s="17" t="str">
        <f>IF($B36="","",'Nhân viên'!B26)</f>
        <v/>
      </c>
      <c r="D36" s="17" t="str">
        <f>IF($B36="","",'Nhân viên'!C26)</f>
        <v/>
      </c>
      <c r="E36" s="17" t="str">
        <f>IF($B36="","",'Nhân viên'!D26)</f>
        <v/>
      </c>
      <c r="F36" s="17" t="str">
        <f>IF($B36="","",'Nhân viên'!E26)</f>
        <v/>
      </c>
      <c r="G36" s="69" t="str">
        <f>IF(OR($B36="",'Nhân viên'!F26=""),"",'Nhân viên'!F26)</f>
        <v/>
      </c>
      <c r="H36" s="25" t="str">
        <f>IF($B36="","",'Nhân viên'!I26)</f>
        <v/>
      </c>
      <c r="I36" s="25" t="str">
        <f>IF($B36="","",'Nhân viên'!J26)</f>
        <v/>
      </c>
      <c r="J36" s="70" t="str">
        <f t="shared" si="2"/>
        <v/>
      </c>
      <c r="K36" s="71"/>
      <c r="L36" s="25" t="str">
        <f t="shared" si="3"/>
        <v/>
      </c>
      <c r="M36" s="22"/>
      <c r="N36" s="25" t="str">
        <f t="shared" si="4"/>
        <v/>
      </c>
      <c r="O36" s="25" t="str">
        <f>IF($B36="","",IF(OR(J36=0,'Cài đặt'!$B$15=0),0,ROUND((H36+I36)/(J36*'Cài đặt'!$B$15),0)))</f>
        <v/>
      </c>
      <c r="P36" s="71"/>
      <c r="Q36" s="71"/>
      <c r="R36" s="71"/>
      <c r="S36" s="71"/>
      <c r="T36" s="70" t="str">
        <f t="shared" si="5"/>
        <v/>
      </c>
      <c r="U36" s="25" t="str">
        <f>IF($B36="","",ROUND(O36*(P36*'Cài đặt'!$B$16+Q36*'Cài đặt'!$B$17+R36*'Cài đặt'!$B$18+S36*'Cài đặt'!$B$19),0))</f>
        <v/>
      </c>
      <c r="V36" s="25" t="str">
        <f>IF($B36="","",IF('Cài đặt'!$B$21="Toàn bộ",U36,ROUND(O36*(P36*('Cài đặt'!$B$16-1)+Q36*('Cài đặt'!$B$17-1)+R36*('Cài đặt'!$B$18-1)+S36*'Cài đặt'!$B$19),0)))</f>
        <v/>
      </c>
      <c r="W36" s="25" t="str">
        <f>IF($B36="","",'Nhân viên'!K26)</f>
        <v/>
      </c>
      <c r="X36" s="75"/>
      <c r="Y36" s="25" t="str">
        <f>IF($B36="","",ROUND(X36*'Cài đặt'!$B$22,0))</f>
        <v/>
      </c>
      <c r="Z36" s="75"/>
      <c r="AA36" s="25" t="str">
        <f>IF($B36="","",ROUND(Z36*'Cài đặt'!$B$23,0))</f>
        <v/>
      </c>
      <c r="AB36" s="25" t="str">
        <f>IF($B36="","",ROUND(K36*'Cài đặt'!$B$24,0))</f>
        <v/>
      </c>
      <c r="AC36" s="25" t="str">
        <f>IF($B36="","",MIN(AB36,'Cài đặt'!$B$25))</f>
        <v/>
      </c>
      <c r="AD36" s="22"/>
      <c r="AE36" s="22"/>
      <c r="AF36" s="22"/>
      <c r="AG36" s="33"/>
      <c r="AH36" s="32"/>
      <c r="AI36" s="25" t="str">
        <f t="shared" si="6"/>
        <v/>
      </c>
      <c r="AJ36" s="25" t="str">
        <f>IF($B36="","",ROUND(MIN('Nhân viên'!N26,'Cài đặt'!$B$10)*'Cài đặt'!$B$5,0))</f>
        <v/>
      </c>
      <c r="AK36" s="25" t="str">
        <f>IF($B36="","",ROUND(MIN('Nhân viên'!N26,'Cài đặt'!$B$10)*'Cài đặt'!$B$6,0))</f>
        <v/>
      </c>
      <c r="AL36" s="25" t="str">
        <f>IF($B36="","",ROUND(MIN('Nhân viên'!N26,'Cài đặt'!$B$12)*'Cài đặt'!$B$7,0))</f>
        <v/>
      </c>
      <c r="AM36" s="25" t="str">
        <f>IF($B36="","",'Cài đặt'!$B$13+'Nhân viên'!H26*'Cài đặt'!$B$14)</f>
        <v/>
      </c>
      <c r="AN36" s="25" t="str">
        <f t="shared" si="7"/>
        <v/>
      </c>
      <c r="AO36" s="25" t="str">
        <f>IF($B36="","",ROUND(SUMPRODUCT((AN36&gt;'Cài đặt'!$B$29:$B$33)*(AN36-'Cài đặt'!$B$29:$B$33)*'Cài đặt'!$E$29:$E$33),0))</f>
        <v/>
      </c>
      <c r="AP36" s="22"/>
      <c r="AQ36" s="22"/>
      <c r="AR36" s="25" t="str">
        <f t="shared" si="8"/>
        <v/>
      </c>
      <c r="AS36" s="67" t="str">
        <f t="shared" si="9"/>
        <v/>
      </c>
      <c r="AT36" s="32"/>
      <c r="AU36" s="76"/>
      <c r="AV36" s="32"/>
      <c r="AW36" s="33"/>
    </row>
    <row r="37" ht="21.75" customHeight="1">
      <c r="A37" s="42" t="str">
        <f t="shared" si="1"/>
        <v/>
      </c>
      <c r="B37" s="42" t="str">
        <f>IF('Nhân viên'!A27="","",'Nhân viên'!A27)</f>
        <v/>
      </c>
      <c r="C37" s="12" t="str">
        <f>IF($B37="","",'Nhân viên'!B27)</f>
        <v/>
      </c>
      <c r="D37" s="12" t="str">
        <f>IF($B37="","",'Nhân viên'!C27)</f>
        <v/>
      </c>
      <c r="E37" s="12" t="str">
        <f>IF($B37="","",'Nhân viên'!D27)</f>
        <v/>
      </c>
      <c r="F37" s="12" t="str">
        <f>IF($B37="","",'Nhân viên'!E27)</f>
        <v/>
      </c>
      <c r="G37" s="63" t="str">
        <f>IF(OR($B37="",'Nhân viên'!F27=""),"",'Nhân viên'!F27)</f>
        <v/>
      </c>
      <c r="H37" s="31" t="str">
        <f>IF($B37="","",'Nhân viên'!I27)</f>
        <v/>
      </c>
      <c r="I37" s="31" t="str">
        <f>IF($B37="","",'Nhân viên'!J27)</f>
        <v/>
      </c>
      <c r="J37" s="64" t="str">
        <f t="shared" si="2"/>
        <v/>
      </c>
      <c r="K37" s="65"/>
      <c r="L37" s="31" t="str">
        <f t="shared" si="3"/>
        <v/>
      </c>
      <c r="M37" s="21"/>
      <c r="N37" s="31" t="str">
        <f t="shared" si="4"/>
        <v/>
      </c>
      <c r="O37" s="31" t="str">
        <f>IF($B37="","",IF(OR(J37=0,'Cài đặt'!$B$15=0),0,ROUND((H37+I37)/(J37*'Cài đặt'!$B$15),0)))</f>
        <v/>
      </c>
      <c r="P37" s="65"/>
      <c r="Q37" s="65"/>
      <c r="R37" s="65"/>
      <c r="S37" s="65"/>
      <c r="T37" s="64" t="str">
        <f t="shared" si="5"/>
        <v/>
      </c>
      <c r="U37" s="31" t="str">
        <f>IF($B37="","",ROUND(O37*(P37*'Cài đặt'!$B$16+Q37*'Cài đặt'!$B$17+R37*'Cài đặt'!$B$18+S37*'Cài đặt'!$B$19),0))</f>
        <v/>
      </c>
      <c r="V37" s="31" t="str">
        <f>IF($B37="","",IF('Cài đặt'!$B$21="Toàn bộ",U37,ROUND(O37*(P37*('Cài đặt'!$B$16-1)+Q37*('Cài đặt'!$B$17-1)+R37*('Cài đặt'!$B$18-1)+S37*'Cài đặt'!$B$19),0)))</f>
        <v/>
      </c>
      <c r="W37" s="31" t="str">
        <f>IF($B37="","",'Nhân viên'!K27)</f>
        <v/>
      </c>
      <c r="X37" s="66"/>
      <c r="Y37" s="31" t="str">
        <f>IF($B37="","",ROUND(X37*'Cài đặt'!$B$22,0))</f>
        <v/>
      </c>
      <c r="Z37" s="66"/>
      <c r="AA37" s="31" t="str">
        <f>IF($B37="","",ROUND(Z37*'Cài đặt'!$B$23,0))</f>
        <v/>
      </c>
      <c r="AB37" s="31" t="str">
        <f>IF($B37="","",ROUND(K37*'Cài đặt'!$B$24,0))</f>
        <v/>
      </c>
      <c r="AC37" s="31" t="str">
        <f>IF($B37="","",MIN(AB37,'Cài đặt'!$B$25))</f>
        <v/>
      </c>
      <c r="AD37" s="21"/>
      <c r="AE37" s="21"/>
      <c r="AF37" s="21"/>
      <c r="AG37" s="16"/>
      <c r="AH37" s="14"/>
      <c r="AI37" s="31" t="str">
        <f t="shared" si="6"/>
        <v/>
      </c>
      <c r="AJ37" s="31" t="str">
        <f>IF($B37="","",ROUND(MIN('Nhân viên'!N27,'Cài đặt'!$B$10)*'Cài đặt'!$B$5,0))</f>
        <v/>
      </c>
      <c r="AK37" s="31" t="str">
        <f>IF($B37="","",ROUND(MIN('Nhân viên'!N27,'Cài đặt'!$B$10)*'Cài đặt'!$B$6,0))</f>
        <v/>
      </c>
      <c r="AL37" s="31" t="str">
        <f>IF($B37="","",ROUND(MIN('Nhân viên'!N27,'Cài đặt'!$B$12)*'Cài đặt'!$B$7,0))</f>
        <v/>
      </c>
      <c r="AM37" s="31" t="str">
        <f>IF($B37="","",'Cài đặt'!$B$13+'Nhân viên'!H27*'Cài đặt'!$B$14)</f>
        <v/>
      </c>
      <c r="AN37" s="31" t="str">
        <f t="shared" si="7"/>
        <v/>
      </c>
      <c r="AO37" s="31" t="str">
        <f>IF($B37="","",ROUND(SUMPRODUCT((AN37&gt;'Cài đặt'!$B$29:$B$33)*(AN37-'Cài đặt'!$B$29:$B$33)*'Cài đặt'!$E$29:$E$33),0))</f>
        <v/>
      </c>
      <c r="AP37" s="21"/>
      <c r="AQ37" s="21"/>
      <c r="AR37" s="31" t="str">
        <f t="shared" si="8"/>
        <v/>
      </c>
      <c r="AS37" s="67" t="str">
        <f t="shared" si="9"/>
        <v/>
      </c>
      <c r="AT37" s="14"/>
      <c r="AU37" s="68"/>
      <c r="AV37" s="14"/>
      <c r="AW37" s="16"/>
    </row>
    <row r="38" ht="21.75" customHeight="1">
      <c r="A38" s="48" t="str">
        <f t="shared" si="1"/>
        <v/>
      </c>
      <c r="B38" s="48" t="str">
        <f>IF('Nhân viên'!A28="","",'Nhân viên'!A28)</f>
        <v/>
      </c>
      <c r="C38" s="17" t="str">
        <f>IF($B38="","",'Nhân viên'!B28)</f>
        <v/>
      </c>
      <c r="D38" s="17" t="str">
        <f>IF($B38="","",'Nhân viên'!C28)</f>
        <v/>
      </c>
      <c r="E38" s="17" t="str">
        <f>IF($B38="","",'Nhân viên'!D28)</f>
        <v/>
      </c>
      <c r="F38" s="17" t="str">
        <f>IF($B38="","",'Nhân viên'!E28)</f>
        <v/>
      </c>
      <c r="G38" s="69" t="str">
        <f>IF(OR($B38="",'Nhân viên'!F28=""),"",'Nhân viên'!F28)</f>
        <v/>
      </c>
      <c r="H38" s="25" t="str">
        <f>IF($B38="","",'Nhân viên'!I28)</f>
        <v/>
      </c>
      <c r="I38" s="25" t="str">
        <f>IF($B38="","",'Nhân viên'!J28)</f>
        <v/>
      </c>
      <c r="J38" s="70" t="str">
        <f t="shared" si="2"/>
        <v/>
      </c>
      <c r="K38" s="71"/>
      <c r="L38" s="25" t="str">
        <f t="shared" si="3"/>
        <v/>
      </c>
      <c r="M38" s="22"/>
      <c r="N38" s="25" t="str">
        <f t="shared" si="4"/>
        <v/>
      </c>
      <c r="O38" s="25" t="str">
        <f>IF($B38="","",IF(OR(J38=0,'Cài đặt'!$B$15=0),0,ROUND((H38+I38)/(J38*'Cài đặt'!$B$15),0)))</f>
        <v/>
      </c>
      <c r="P38" s="71"/>
      <c r="Q38" s="71"/>
      <c r="R38" s="71"/>
      <c r="S38" s="71"/>
      <c r="T38" s="70" t="str">
        <f t="shared" si="5"/>
        <v/>
      </c>
      <c r="U38" s="25" t="str">
        <f>IF($B38="","",ROUND(O38*(P38*'Cài đặt'!$B$16+Q38*'Cài đặt'!$B$17+R38*'Cài đặt'!$B$18+S38*'Cài đặt'!$B$19),0))</f>
        <v/>
      </c>
      <c r="V38" s="25" t="str">
        <f>IF($B38="","",IF('Cài đặt'!$B$21="Toàn bộ",U38,ROUND(O38*(P38*('Cài đặt'!$B$16-1)+Q38*('Cài đặt'!$B$17-1)+R38*('Cài đặt'!$B$18-1)+S38*'Cài đặt'!$B$19),0)))</f>
        <v/>
      </c>
      <c r="W38" s="25" t="str">
        <f>IF($B38="","",'Nhân viên'!K28)</f>
        <v/>
      </c>
      <c r="X38" s="75"/>
      <c r="Y38" s="25" t="str">
        <f>IF($B38="","",ROUND(X38*'Cài đặt'!$B$22,0))</f>
        <v/>
      </c>
      <c r="Z38" s="75"/>
      <c r="AA38" s="25" t="str">
        <f>IF($B38="","",ROUND(Z38*'Cài đặt'!$B$23,0))</f>
        <v/>
      </c>
      <c r="AB38" s="25" t="str">
        <f>IF($B38="","",ROUND(K38*'Cài đặt'!$B$24,0))</f>
        <v/>
      </c>
      <c r="AC38" s="25" t="str">
        <f>IF($B38="","",MIN(AB38,'Cài đặt'!$B$25))</f>
        <v/>
      </c>
      <c r="AD38" s="22"/>
      <c r="AE38" s="22"/>
      <c r="AF38" s="22"/>
      <c r="AG38" s="33"/>
      <c r="AH38" s="32"/>
      <c r="AI38" s="25" t="str">
        <f t="shared" si="6"/>
        <v/>
      </c>
      <c r="AJ38" s="25" t="str">
        <f>IF($B38="","",ROUND(MIN('Nhân viên'!N28,'Cài đặt'!$B$10)*'Cài đặt'!$B$5,0))</f>
        <v/>
      </c>
      <c r="AK38" s="25" t="str">
        <f>IF($B38="","",ROUND(MIN('Nhân viên'!N28,'Cài đặt'!$B$10)*'Cài đặt'!$B$6,0))</f>
        <v/>
      </c>
      <c r="AL38" s="25" t="str">
        <f>IF($B38="","",ROUND(MIN('Nhân viên'!N28,'Cài đặt'!$B$12)*'Cài đặt'!$B$7,0))</f>
        <v/>
      </c>
      <c r="AM38" s="25" t="str">
        <f>IF($B38="","",'Cài đặt'!$B$13+'Nhân viên'!H28*'Cài đặt'!$B$14)</f>
        <v/>
      </c>
      <c r="AN38" s="25" t="str">
        <f t="shared" si="7"/>
        <v/>
      </c>
      <c r="AO38" s="25" t="str">
        <f>IF($B38="","",ROUND(SUMPRODUCT((AN38&gt;'Cài đặt'!$B$29:$B$33)*(AN38-'Cài đặt'!$B$29:$B$33)*'Cài đặt'!$E$29:$E$33),0))</f>
        <v/>
      </c>
      <c r="AP38" s="22"/>
      <c r="AQ38" s="22"/>
      <c r="AR38" s="25" t="str">
        <f t="shared" si="8"/>
        <v/>
      </c>
      <c r="AS38" s="67" t="str">
        <f t="shared" si="9"/>
        <v/>
      </c>
      <c r="AT38" s="32"/>
      <c r="AU38" s="76"/>
      <c r="AV38" s="32"/>
      <c r="AW38" s="33"/>
    </row>
    <row r="39" ht="21.75" customHeight="1">
      <c r="A39" s="42" t="str">
        <f t="shared" si="1"/>
        <v/>
      </c>
      <c r="B39" s="42" t="str">
        <f>IF('Nhân viên'!A29="","",'Nhân viên'!A29)</f>
        <v/>
      </c>
      <c r="C39" s="12" t="str">
        <f>IF($B39="","",'Nhân viên'!B29)</f>
        <v/>
      </c>
      <c r="D39" s="12" t="str">
        <f>IF($B39="","",'Nhân viên'!C29)</f>
        <v/>
      </c>
      <c r="E39" s="12" t="str">
        <f>IF($B39="","",'Nhân viên'!D29)</f>
        <v/>
      </c>
      <c r="F39" s="12" t="str">
        <f>IF($B39="","",'Nhân viên'!E29)</f>
        <v/>
      </c>
      <c r="G39" s="63" t="str">
        <f>IF(OR($B39="",'Nhân viên'!F29=""),"",'Nhân viên'!F29)</f>
        <v/>
      </c>
      <c r="H39" s="31" t="str">
        <f>IF($B39="","",'Nhân viên'!I29)</f>
        <v/>
      </c>
      <c r="I39" s="31" t="str">
        <f>IF($B39="","",'Nhân viên'!J29)</f>
        <v/>
      </c>
      <c r="J39" s="64" t="str">
        <f t="shared" si="2"/>
        <v/>
      </c>
      <c r="K39" s="65"/>
      <c r="L39" s="31" t="str">
        <f t="shared" si="3"/>
        <v/>
      </c>
      <c r="M39" s="21"/>
      <c r="N39" s="31" t="str">
        <f t="shared" si="4"/>
        <v/>
      </c>
      <c r="O39" s="31" t="str">
        <f>IF($B39="","",IF(OR(J39=0,'Cài đặt'!$B$15=0),0,ROUND((H39+I39)/(J39*'Cài đặt'!$B$15),0)))</f>
        <v/>
      </c>
      <c r="P39" s="65"/>
      <c r="Q39" s="65"/>
      <c r="R39" s="65"/>
      <c r="S39" s="65"/>
      <c r="T39" s="64" t="str">
        <f t="shared" si="5"/>
        <v/>
      </c>
      <c r="U39" s="31" t="str">
        <f>IF($B39="","",ROUND(O39*(P39*'Cài đặt'!$B$16+Q39*'Cài đặt'!$B$17+R39*'Cài đặt'!$B$18+S39*'Cài đặt'!$B$19),0))</f>
        <v/>
      </c>
      <c r="V39" s="31" t="str">
        <f>IF($B39="","",IF('Cài đặt'!$B$21="Toàn bộ",U39,ROUND(O39*(P39*('Cài đặt'!$B$16-1)+Q39*('Cài đặt'!$B$17-1)+R39*('Cài đặt'!$B$18-1)+S39*'Cài đặt'!$B$19),0)))</f>
        <v/>
      </c>
      <c r="W39" s="31" t="str">
        <f>IF($B39="","",'Nhân viên'!K29)</f>
        <v/>
      </c>
      <c r="X39" s="66"/>
      <c r="Y39" s="31" t="str">
        <f>IF($B39="","",ROUND(X39*'Cài đặt'!$B$22,0))</f>
        <v/>
      </c>
      <c r="Z39" s="66"/>
      <c r="AA39" s="31" t="str">
        <f>IF($B39="","",ROUND(Z39*'Cài đặt'!$B$23,0))</f>
        <v/>
      </c>
      <c r="AB39" s="31" t="str">
        <f>IF($B39="","",ROUND(K39*'Cài đặt'!$B$24,0))</f>
        <v/>
      </c>
      <c r="AC39" s="31" t="str">
        <f>IF($B39="","",MIN(AB39,'Cài đặt'!$B$25))</f>
        <v/>
      </c>
      <c r="AD39" s="21"/>
      <c r="AE39" s="21"/>
      <c r="AF39" s="21"/>
      <c r="AG39" s="16"/>
      <c r="AH39" s="14"/>
      <c r="AI39" s="31" t="str">
        <f t="shared" si="6"/>
        <v/>
      </c>
      <c r="AJ39" s="31" t="str">
        <f>IF($B39="","",ROUND(MIN('Nhân viên'!N29,'Cài đặt'!$B$10)*'Cài đặt'!$B$5,0))</f>
        <v/>
      </c>
      <c r="AK39" s="31" t="str">
        <f>IF($B39="","",ROUND(MIN('Nhân viên'!N29,'Cài đặt'!$B$10)*'Cài đặt'!$B$6,0))</f>
        <v/>
      </c>
      <c r="AL39" s="31" t="str">
        <f>IF($B39="","",ROUND(MIN('Nhân viên'!N29,'Cài đặt'!$B$12)*'Cài đặt'!$B$7,0))</f>
        <v/>
      </c>
      <c r="AM39" s="31" t="str">
        <f>IF($B39="","",'Cài đặt'!$B$13+'Nhân viên'!H29*'Cài đặt'!$B$14)</f>
        <v/>
      </c>
      <c r="AN39" s="31" t="str">
        <f t="shared" si="7"/>
        <v/>
      </c>
      <c r="AO39" s="31" t="str">
        <f>IF($B39="","",ROUND(SUMPRODUCT((AN39&gt;'Cài đặt'!$B$29:$B$33)*(AN39-'Cài đặt'!$B$29:$B$33)*'Cài đặt'!$E$29:$E$33),0))</f>
        <v/>
      </c>
      <c r="AP39" s="21"/>
      <c r="AQ39" s="21"/>
      <c r="AR39" s="31" t="str">
        <f t="shared" si="8"/>
        <v/>
      </c>
      <c r="AS39" s="67" t="str">
        <f t="shared" si="9"/>
        <v/>
      </c>
      <c r="AT39" s="14"/>
      <c r="AU39" s="68"/>
      <c r="AV39" s="14"/>
      <c r="AW39" s="16"/>
    </row>
    <row r="40" ht="21.75" customHeight="1">
      <c r="A40" s="48" t="str">
        <f t="shared" si="1"/>
        <v/>
      </c>
      <c r="B40" s="48" t="str">
        <f>IF('Nhân viên'!A30="","",'Nhân viên'!A30)</f>
        <v/>
      </c>
      <c r="C40" s="17" t="str">
        <f>IF($B40="","",'Nhân viên'!B30)</f>
        <v/>
      </c>
      <c r="D40" s="17" t="str">
        <f>IF($B40="","",'Nhân viên'!C30)</f>
        <v/>
      </c>
      <c r="E40" s="17" t="str">
        <f>IF($B40="","",'Nhân viên'!D30)</f>
        <v/>
      </c>
      <c r="F40" s="17" t="str">
        <f>IF($B40="","",'Nhân viên'!E30)</f>
        <v/>
      </c>
      <c r="G40" s="69" t="str">
        <f>IF(OR($B40="",'Nhân viên'!F30=""),"",'Nhân viên'!F30)</f>
        <v/>
      </c>
      <c r="H40" s="25" t="str">
        <f>IF($B40="","",'Nhân viên'!I30)</f>
        <v/>
      </c>
      <c r="I40" s="25" t="str">
        <f>IF($B40="","",'Nhân viên'!J30)</f>
        <v/>
      </c>
      <c r="J40" s="70" t="str">
        <f t="shared" si="2"/>
        <v/>
      </c>
      <c r="K40" s="71"/>
      <c r="L40" s="25" t="str">
        <f t="shared" si="3"/>
        <v/>
      </c>
      <c r="M40" s="22"/>
      <c r="N40" s="25" t="str">
        <f t="shared" si="4"/>
        <v/>
      </c>
      <c r="O40" s="25" t="str">
        <f>IF($B40="","",IF(OR(J40=0,'Cài đặt'!$B$15=0),0,ROUND((H40+I40)/(J40*'Cài đặt'!$B$15),0)))</f>
        <v/>
      </c>
      <c r="P40" s="71"/>
      <c r="Q40" s="71"/>
      <c r="R40" s="71"/>
      <c r="S40" s="71"/>
      <c r="T40" s="70" t="str">
        <f t="shared" si="5"/>
        <v/>
      </c>
      <c r="U40" s="25" t="str">
        <f>IF($B40="","",ROUND(O40*(P40*'Cài đặt'!$B$16+Q40*'Cài đặt'!$B$17+R40*'Cài đặt'!$B$18+S40*'Cài đặt'!$B$19),0))</f>
        <v/>
      </c>
      <c r="V40" s="25" t="str">
        <f>IF($B40="","",IF('Cài đặt'!$B$21="Toàn bộ",U40,ROUND(O40*(P40*('Cài đặt'!$B$16-1)+Q40*('Cài đặt'!$B$17-1)+R40*('Cài đặt'!$B$18-1)+S40*'Cài đặt'!$B$19),0)))</f>
        <v/>
      </c>
      <c r="W40" s="25" t="str">
        <f>IF($B40="","",'Nhân viên'!K30)</f>
        <v/>
      </c>
      <c r="X40" s="75"/>
      <c r="Y40" s="25" t="str">
        <f>IF($B40="","",ROUND(X40*'Cài đặt'!$B$22,0))</f>
        <v/>
      </c>
      <c r="Z40" s="75"/>
      <c r="AA40" s="25" t="str">
        <f>IF($B40="","",ROUND(Z40*'Cài đặt'!$B$23,0))</f>
        <v/>
      </c>
      <c r="AB40" s="25" t="str">
        <f>IF($B40="","",ROUND(K40*'Cài đặt'!$B$24,0))</f>
        <v/>
      </c>
      <c r="AC40" s="25" t="str">
        <f>IF($B40="","",MIN(AB40,'Cài đặt'!$B$25))</f>
        <v/>
      </c>
      <c r="AD40" s="22"/>
      <c r="AE40" s="22"/>
      <c r="AF40" s="22"/>
      <c r="AG40" s="33"/>
      <c r="AH40" s="32"/>
      <c r="AI40" s="25" t="str">
        <f t="shared" si="6"/>
        <v/>
      </c>
      <c r="AJ40" s="25" t="str">
        <f>IF($B40="","",ROUND(MIN('Nhân viên'!N30,'Cài đặt'!$B$10)*'Cài đặt'!$B$5,0))</f>
        <v/>
      </c>
      <c r="AK40" s="25" t="str">
        <f>IF($B40="","",ROUND(MIN('Nhân viên'!N30,'Cài đặt'!$B$10)*'Cài đặt'!$B$6,0))</f>
        <v/>
      </c>
      <c r="AL40" s="25" t="str">
        <f>IF($B40="","",ROUND(MIN('Nhân viên'!N30,'Cài đặt'!$B$12)*'Cài đặt'!$B$7,0))</f>
        <v/>
      </c>
      <c r="AM40" s="25" t="str">
        <f>IF($B40="","",'Cài đặt'!$B$13+'Nhân viên'!H30*'Cài đặt'!$B$14)</f>
        <v/>
      </c>
      <c r="AN40" s="25" t="str">
        <f t="shared" si="7"/>
        <v/>
      </c>
      <c r="AO40" s="25" t="str">
        <f>IF($B40="","",ROUND(SUMPRODUCT((AN40&gt;'Cài đặt'!$B$29:$B$33)*(AN40-'Cài đặt'!$B$29:$B$33)*'Cài đặt'!$E$29:$E$33),0))</f>
        <v/>
      </c>
      <c r="AP40" s="22"/>
      <c r="AQ40" s="22"/>
      <c r="AR40" s="25" t="str">
        <f t="shared" si="8"/>
        <v/>
      </c>
      <c r="AS40" s="67" t="str">
        <f t="shared" si="9"/>
        <v/>
      </c>
      <c r="AT40" s="32"/>
      <c r="AU40" s="76"/>
      <c r="AV40" s="32"/>
      <c r="AW40" s="33"/>
    </row>
    <row r="41" ht="21.75" customHeight="1">
      <c r="A41" s="42" t="str">
        <f t="shared" si="1"/>
        <v/>
      </c>
      <c r="B41" s="42" t="str">
        <f>IF('Nhân viên'!A31="","",'Nhân viên'!A31)</f>
        <v/>
      </c>
      <c r="C41" s="12" t="str">
        <f>IF($B41="","",'Nhân viên'!B31)</f>
        <v/>
      </c>
      <c r="D41" s="12" t="str">
        <f>IF($B41="","",'Nhân viên'!C31)</f>
        <v/>
      </c>
      <c r="E41" s="12" t="str">
        <f>IF($B41="","",'Nhân viên'!D31)</f>
        <v/>
      </c>
      <c r="F41" s="12" t="str">
        <f>IF($B41="","",'Nhân viên'!E31)</f>
        <v/>
      </c>
      <c r="G41" s="63" t="str">
        <f>IF(OR($B41="",'Nhân viên'!F31=""),"",'Nhân viên'!F31)</f>
        <v/>
      </c>
      <c r="H41" s="31" t="str">
        <f>IF($B41="","",'Nhân viên'!I31)</f>
        <v/>
      </c>
      <c r="I41" s="31" t="str">
        <f>IF($B41="","",'Nhân viên'!J31)</f>
        <v/>
      </c>
      <c r="J41" s="64" t="str">
        <f t="shared" si="2"/>
        <v/>
      </c>
      <c r="K41" s="65"/>
      <c r="L41" s="31" t="str">
        <f t="shared" si="3"/>
        <v/>
      </c>
      <c r="M41" s="21"/>
      <c r="N41" s="31" t="str">
        <f t="shared" si="4"/>
        <v/>
      </c>
      <c r="O41" s="31" t="str">
        <f>IF($B41="","",IF(OR(J41=0,'Cài đặt'!$B$15=0),0,ROUND((H41+I41)/(J41*'Cài đặt'!$B$15),0)))</f>
        <v/>
      </c>
      <c r="P41" s="65"/>
      <c r="Q41" s="65"/>
      <c r="R41" s="65"/>
      <c r="S41" s="65"/>
      <c r="T41" s="64" t="str">
        <f t="shared" si="5"/>
        <v/>
      </c>
      <c r="U41" s="31" t="str">
        <f>IF($B41="","",ROUND(O41*(P41*'Cài đặt'!$B$16+Q41*'Cài đặt'!$B$17+R41*'Cài đặt'!$B$18+S41*'Cài đặt'!$B$19),0))</f>
        <v/>
      </c>
      <c r="V41" s="31" t="str">
        <f>IF($B41="","",IF('Cài đặt'!$B$21="Toàn bộ",U41,ROUND(O41*(P41*('Cài đặt'!$B$16-1)+Q41*('Cài đặt'!$B$17-1)+R41*('Cài đặt'!$B$18-1)+S41*'Cài đặt'!$B$19),0)))</f>
        <v/>
      </c>
      <c r="W41" s="31" t="str">
        <f>IF($B41="","",'Nhân viên'!K31)</f>
        <v/>
      </c>
      <c r="X41" s="66"/>
      <c r="Y41" s="31" t="str">
        <f>IF($B41="","",ROUND(X41*'Cài đặt'!$B$22,0))</f>
        <v/>
      </c>
      <c r="Z41" s="66"/>
      <c r="AA41" s="31" t="str">
        <f>IF($B41="","",ROUND(Z41*'Cài đặt'!$B$23,0))</f>
        <v/>
      </c>
      <c r="AB41" s="31" t="str">
        <f>IF($B41="","",ROUND(K41*'Cài đặt'!$B$24,0))</f>
        <v/>
      </c>
      <c r="AC41" s="31" t="str">
        <f>IF($B41="","",MIN(AB41,'Cài đặt'!$B$25))</f>
        <v/>
      </c>
      <c r="AD41" s="21"/>
      <c r="AE41" s="21"/>
      <c r="AF41" s="21"/>
      <c r="AG41" s="16"/>
      <c r="AH41" s="14"/>
      <c r="AI41" s="31" t="str">
        <f t="shared" si="6"/>
        <v/>
      </c>
      <c r="AJ41" s="31" t="str">
        <f>IF($B41="","",ROUND(MIN('Nhân viên'!N31,'Cài đặt'!$B$10)*'Cài đặt'!$B$5,0))</f>
        <v/>
      </c>
      <c r="AK41" s="31" t="str">
        <f>IF($B41="","",ROUND(MIN('Nhân viên'!N31,'Cài đặt'!$B$10)*'Cài đặt'!$B$6,0))</f>
        <v/>
      </c>
      <c r="AL41" s="31" t="str">
        <f>IF($B41="","",ROUND(MIN('Nhân viên'!N31,'Cài đặt'!$B$12)*'Cài đặt'!$B$7,0))</f>
        <v/>
      </c>
      <c r="AM41" s="31" t="str">
        <f>IF($B41="","",'Cài đặt'!$B$13+'Nhân viên'!H31*'Cài đặt'!$B$14)</f>
        <v/>
      </c>
      <c r="AN41" s="31" t="str">
        <f t="shared" si="7"/>
        <v/>
      </c>
      <c r="AO41" s="31" t="str">
        <f>IF($B41="","",ROUND(SUMPRODUCT((AN41&gt;'Cài đặt'!$B$29:$B$33)*(AN41-'Cài đặt'!$B$29:$B$33)*'Cài đặt'!$E$29:$E$33),0))</f>
        <v/>
      </c>
      <c r="AP41" s="21"/>
      <c r="AQ41" s="21"/>
      <c r="AR41" s="31" t="str">
        <f t="shared" si="8"/>
        <v/>
      </c>
      <c r="AS41" s="67" t="str">
        <f t="shared" si="9"/>
        <v/>
      </c>
      <c r="AT41" s="14"/>
      <c r="AU41" s="68"/>
      <c r="AV41" s="14"/>
      <c r="AW41" s="16"/>
    </row>
    <row r="42" ht="21.75" customHeight="1">
      <c r="A42" s="48" t="str">
        <f t="shared" si="1"/>
        <v/>
      </c>
      <c r="B42" s="48" t="str">
        <f>IF('Nhân viên'!A32="","",'Nhân viên'!A32)</f>
        <v/>
      </c>
      <c r="C42" s="17" t="str">
        <f>IF($B42="","",'Nhân viên'!B32)</f>
        <v/>
      </c>
      <c r="D42" s="17" t="str">
        <f>IF($B42="","",'Nhân viên'!C32)</f>
        <v/>
      </c>
      <c r="E42" s="17" t="str">
        <f>IF($B42="","",'Nhân viên'!D32)</f>
        <v/>
      </c>
      <c r="F42" s="17" t="str">
        <f>IF($B42="","",'Nhân viên'!E32)</f>
        <v/>
      </c>
      <c r="G42" s="69" t="str">
        <f>IF(OR($B42="",'Nhân viên'!F32=""),"",'Nhân viên'!F32)</f>
        <v/>
      </c>
      <c r="H42" s="25" t="str">
        <f>IF($B42="","",'Nhân viên'!I32)</f>
        <v/>
      </c>
      <c r="I42" s="25" t="str">
        <f>IF($B42="","",'Nhân viên'!J32)</f>
        <v/>
      </c>
      <c r="J42" s="70" t="str">
        <f t="shared" si="2"/>
        <v/>
      </c>
      <c r="K42" s="71"/>
      <c r="L42" s="25" t="str">
        <f t="shared" si="3"/>
        <v/>
      </c>
      <c r="M42" s="22"/>
      <c r="N42" s="25" t="str">
        <f t="shared" si="4"/>
        <v/>
      </c>
      <c r="O42" s="25" t="str">
        <f>IF($B42="","",IF(OR(J42=0,'Cài đặt'!$B$15=0),0,ROUND((H42+I42)/(J42*'Cài đặt'!$B$15),0)))</f>
        <v/>
      </c>
      <c r="P42" s="71"/>
      <c r="Q42" s="71"/>
      <c r="R42" s="71"/>
      <c r="S42" s="71"/>
      <c r="T42" s="70" t="str">
        <f t="shared" si="5"/>
        <v/>
      </c>
      <c r="U42" s="25" t="str">
        <f>IF($B42="","",ROUND(O42*(P42*'Cài đặt'!$B$16+Q42*'Cài đặt'!$B$17+R42*'Cài đặt'!$B$18+S42*'Cài đặt'!$B$19),0))</f>
        <v/>
      </c>
      <c r="V42" s="25" t="str">
        <f>IF($B42="","",IF('Cài đặt'!$B$21="Toàn bộ",U42,ROUND(O42*(P42*('Cài đặt'!$B$16-1)+Q42*('Cài đặt'!$B$17-1)+R42*('Cài đặt'!$B$18-1)+S42*'Cài đặt'!$B$19),0)))</f>
        <v/>
      </c>
      <c r="W42" s="25" t="str">
        <f>IF($B42="","",'Nhân viên'!K32)</f>
        <v/>
      </c>
      <c r="X42" s="75"/>
      <c r="Y42" s="25" t="str">
        <f>IF($B42="","",ROUND(X42*'Cài đặt'!$B$22,0))</f>
        <v/>
      </c>
      <c r="Z42" s="75"/>
      <c r="AA42" s="25" t="str">
        <f>IF($B42="","",ROUND(Z42*'Cài đặt'!$B$23,0))</f>
        <v/>
      </c>
      <c r="AB42" s="25" t="str">
        <f>IF($B42="","",ROUND(K42*'Cài đặt'!$B$24,0))</f>
        <v/>
      </c>
      <c r="AC42" s="25" t="str">
        <f>IF($B42="","",MIN(AB42,'Cài đặt'!$B$25))</f>
        <v/>
      </c>
      <c r="AD42" s="22"/>
      <c r="AE42" s="22"/>
      <c r="AF42" s="22"/>
      <c r="AG42" s="33"/>
      <c r="AH42" s="32"/>
      <c r="AI42" s="25" t="str">
        <f t="shared" si="6"/>
        <v/>
      </c>
      <c r="AJ42" s="25" t="str">
        <f>IF($B42="","",ROUND(MIN('Nhân viên'!N32,'Cài đặt'!$B$10)*'Cài đặt'!$B$5,0))</f>
        <v/>
      </c>
      <c r="AK42" s="25" t="str">
        <f>IF($B42="","",ROUND(MIN('Nhân viên'!N32,'Cài đặt'!$B$10)*'Cài đặt'!$B$6,0))</f>
        <v/>
      </c>
      <c r="AL42" s="25" t="str">
        <f>IF($B42="","",ROUND(MIN('Nhân viên'!N32,'Cài đặt'!$B$12)*'Cài đặt'!$B$7,0))</f>
        <v/>
      </c>
      <c r="AM42" s="25" t="str">
        <f>IF($B42="","",'Cài đặt'!$B$13+'Nhân viên'!H32*'Cài đặt'!$B$14)</f>
        <v/>
      </c>
      <c r="AN42" s="25" t="str">
        <f t="shared" si="7"/>
        <v/>
      </c>
      <c r="AO42" s="25" t="str">
        <f>IF($B42="","",ROUND(SUMPRODUCT((AN42&gt;'Cài đặt'!$B$29:$B$33)*(AN42-'Cài đặt'!$B$29:$B$33)*'Cài đặt'!$E$29:$E$33),0))</f>
        <v/>
      </c>
      <c r="AP42" s="22"/>
      <c r="AQ42" s="22"/>
      <c r="AR42" s="25" t="str">
        <f t="shared" si="8"/>
        <v/>
      </c>
      <c r="AS42" s="67" t="str">
        <f t="shared" si="9"/>
        <v/>
      </c>
      <c r="AT42" s="32"/>
      <c r="AU42" s="76"/>
      <c r="AV42" s="32"/>
      <c r="AW42" s="33"/>
    </row>
    <row r="43" ht="21.75" customHeight="1">
      <c r="A43" s="42" t="str">
        <f t="shared" si="1"/>
        <v/>
      </c>
      <c r="B43" s="42" t="str">
        <f>IF('Nhân viên'!A33="","",'Nhân viên'!A33)</f>
        <v/>
      </c>
      <c r="C43" s="12" t="str">
        <f>IF($B43="","",'Nhân viên'!B33)</f>
        <v/>
      </c>
      <c r="D43" s="12" t="str">
        <f>IF($B43="","",'Nhân viên'!C33)</f>
        <v/>
      </c>
      <c r="E43" s="12" t="str">
        <f>IF($B43="","",'Nhân viên'!D33)</f>
        <v/>
      </c>
      <c r="F43" s="12" t="str">
        <f>IF($B43="","",'Nhân viên'!E33)</f>
        <v/>
      </c>
      <c r="G43" s="63" t="str">
        <f>IF(OR($B43="",'Nhân viên'!F33=""),"",'Nhân viên'!F33)</f>
        <v/>
      </c>
      <c r="H43" s="31" t="str">
        <f>IF($B43="","",'Nhân viên'!I33)</f>
        <v/>
      </c>
      <c r="I43" s="31" t="str">
        <f>IF($B43="","",'Nhân viên'!J33)</f>
        <v/>
      </c>
      <c r="J43" s="64" t="str">
        <f t="shared" si="2"/>
        <v/>
      </c>
      <c r="K43" s="65"/>
      <c r="L43" s="31" t="str">
        <f t="shared" si="3"/>
        <v/>
      </c>
      <c r="M43" s="21"/>
      <c r="N43" s="31" t="str">
        <f t="shared" si="4"/>
        <v/>
      </c>
      <c r="O43" s="31" t="str">
        <f>IF($B43="","",IF(OR(J43=0,'Cài đặt'!$B$15=0),0,ROUND((H43+I43)/(J43*'Cài đặt'!$B$15),0)))</f>
        <v/>
      </c>
      <c r="P43" s="65"/>
      <c r="Q43" s="65"/>
      <c r="R43" s="65"/>
      <c r="S43" s="65"/>
      <c r="T43" s="64" t="str">
        <f t="shared" si="5"/>
        <v/>
      </c>
      <c r="U43" s="31" t="str">
        <f>IF($B43="","",ROUND(O43*(P43*'Cài đặt'!$B$16+Q43*'Cài đặt'!$B$17+R43*'Cài đặt'!$B$18+S43*'Cài đặt'!$B$19),0))</f>
        <v/>
      </c>
      <c r="V43" s="31" t="str">
        <f>IF($B43="","",IF('Cài đặt'!$B$21="Toàn bộ",U43,ROUND(O43*(P43*('Cài đặt'!$B$16-1)+Q43*('Cài đặt'!$B$17-1)+R43*('Cài đặt'!$B$18-1)+S43*'Cài đặt'!$B$19),0)))</f>
        <v/>
      </c>
      <c r="W43" s="31" t="str">
        <f>IF($B43="","",'Nhân viên'!K33)</f>
        <v/>
      </c>
      <c r="X43" s="66"/>
      <c r="Y43" s="31" t="str">
        <f>IF($B43="","",ROUND(X43*'Cài đặt'!$B$22,0))</f>
        <v/>
      </c>
      <c r="Z43" s="66"/>
      <c r="AA43" s="31" t="str">
        <f>IF($B43="","",ROUND(Z43*'Cài đặt'!$B$23,0))</f>
        <v/>
      </c>
      <c r="AB43" s="31" t="str">
        <f>IF($B43="","",ROUND(K43*'Cài đặt'!$B$24,0))</f>
        <v/>
      </c>
      <c r="AC43" s="31" t="str">
        <f>IF($B43="","",MIN(AB43,'Cài đặt'!$B$25))</f>
        <v/>
      </c>
      <c r="AD43" s="21"/>
      <c r="AE43" s="21"/>
      <c r="AF43" s="21"/>
      <c r="AG43" s="16"/>
      <c r="AH43" s="14"/>
      <c r="AI43" s="31" t="str">
        <f t="shared" si="6"/>
        <v/>
      </c>
      <c r="AJ43" s="31" t="str">
        <f>IF($B43="","",ROUND(MIN('Nhân viên'!N33,'Cài đặt'!$B$10)*'Cài đặt'!$B$5,0))</f>
        <v/>
      </c>
      <c r="AK43" s="31" t="str">
        <f>IF($B43="","",ROUND(MIN('Nhân viên'!N33,'Cài đặt'!$B$10)*'Cài đặt'!$B$6,0))</f>
        <v/>
      </c>
      <c r="AL43" s="31" t="str">
        <f>IF($B43="","",ROUND(MIN('Nhân viên'!N33,'Cài đặt'!$B$12)*'Cài đặt'!$B$7,0))</f>
        <v/>
      </c>
      <c r="AM43" s="31" t="str">
        <f>IF($B43="","",'Cài đặt'!$B$13+'Nhân viên'!H33*'Cài đặt'!$B$14)</f>
        <v/>
      </c>
      <c r="AN43" s="31" t="str">
        <f t="shared" si="7"/>
        <v/>
      </c>
      <c r="AO43" s="31" t="str">
        <f>IF($B43="","",ROUND(SUMPRODUCT((AN43&gt;'Cài đặt'!$B$29:$B$33)*(AN43-'Cài đặt'!$B$29:$B$33)*'Cài đặt'!$E$29:$E$33),0))</f>
        <v/>
      </c>
      <c r="AP43" s="21"/>
      <c r="AQ43" s="21"/>
      <c r="AR43" s="31" t="str">
        <f t="shared" si="8"/>
        <v/>
      </c>
      <c r="AS43" s="67" t="str">
        <f t="shared" si="9"/>
        <v/>
      </c>
      <c r="AT43" s="14"/>
      <c r="AU43" s="68"/>
      <c r="AV43" s="14"/>
      <c r="AW43" s="16"/>
    </row>
    <row r="44" ht="21.75" customHeight="1">
      <c r="A44" s="48" t="str">
        <f t="shared" si="1"/>
        <v/>
      </c>
      <c r="B44" s="48" t="str">
        <f>IF('Nhân viên'!A34="","",'Nhân viên'!A34)</f>
        <v/>
      </c>
      <c r="C44" s="17" t="str">
        <f>IF($B44="","",'Nhân viên'!B34)</f>
        <v/>
      </c>
      <c r="D44" s="17" t="str">
        <f>IF($B44="","",'Nhân viên'!C34)</f>
        <v/>
      </c>
      <c r="E44" s="17" t="str">
        <f>IF($B44="","",'Nhân viên'!D34)</f>
        <v/>
      </c>
      <c r="F44" s="17" t="str">
        <f>IF($B44="","",'Nhân viên'!E34)</f>
        <v/>
      </c>
      <c r="G44" s="69" t="str">
        <f>IF(OR($B44="",'Nhân viên'!F34=""),"",'Nhân viên'!F34)</f>
        <v/>
      </c>
      <c r="H44" s="25" t="str">
        <f>IF($B44="","",'Nhân viên'!I34)</f>
        <v/>
      </c>
      <c r="I44" s="25" t="str">
        <f>IF($B44="","",'Nhân viên'!J34)</f>
        <v/>
      </c>
      <c r="J44" s="70" t="str">
        <f t="shared" si="2"/>
        <v/>
      </c>
      <c r="K44" s="71"/>
      <c r="L44" s="25" t="str">
        <f t="shared" si="3"/>
        <v/>
      </c>
      <c r="M44" s="22"/>
      <c r="N44" s="25" t="str">
        <f t="shared" si="4"/>
        <v/>
      </c>
      <c r="O44" s="25" t="str">
        <f>IF($B44="","",IF(OR(J44=0,'Cài đặt'!$B$15=0),0,ROUND((H44+I44)/(J44*'Cài đặt'!$B$15),0)))</f>
        <v/>
      </c>
      <c r="P44" s="71"/>
      <c r="Q44" s="71"/>
      <c r="R44" s="71"/>
      <c r="S44" s="71"/>
      <c r="T44" s="70" t="str">
        <f t="shared" si="5"/>
        <v/>
      </c>
      <c r="U44" s="25" t="str">
        <f>IF($B44="","",ROUND(O44*(P44*'Cài đặt'!$B$16+Q44*'Cài đặt'!$B$17+R44*'Cài đặt'!$B$18+S44*'Cài đặt'!$B$19),0))</f>
        <v/>
      </c>
      <c r="V44" s="25" t="str">
        <f>IF($B44="","",IF('Cài đặt'!$B$21="Toàn bộ",U44,ROUND(O44*(P44*('Cài đặt'!$B$16-1)+Q44*('Cài đặt'!$B$17-1)+R44*('Cài đặt'!$B$18-1)+S44*'Cài đặt'!$B$19),0)))</f>
        <v/>
      </c>
      <c r="W44" s="25" t="str">
        <f>IF($B44="","",'Nhân viên'!K34)</f>
        <v/>
      </c>
      <c r="X44" s="75"/>
      <c r="Y44" s="25" t="str">
        <f>IF($B44="","",ROUND(X44*'Cài đặt'!$B$22,0))</f>
        <v/>
      </c>
      <c r="Z44" s="75"/>
      <c r="AA44" s="25" t="str">
        <f>IF($B44="","",ROUND(Z44*'Cài đặt'!$B$23,0))</f>
        <v/>
      </c>
      <c r="AB44" s="25" t="str">
        <f>IF($B44="","",ROUND(K44*'Cài đặt'!$B$24,0))</f>
        <v/>
      </c>
      <c r="AC44" s="25" t="str">
        <f>IF($B44="","",MIN(AB44,'Cài đặt'!$B$25))</f>
        <v/>
      </c>
      <c r="AD44" s="22"/>
      <c r="AE44" s="22"/>
      <c r="AF44" s="22"/>
      <c r="AG44" s="33"/>
      <c r="AH44" s="32"/>
      <c r="AI44" s="25" t="str">
        <f t="shared" si="6"/>
        <v/>
      </c>
      <c r="AJ44" s="25" t="str">
        <f>IF($B44="","",ROUND(MIN('Nhân viên'!N34,'Cài đặt'!$B$10)*'Cài đặt'!$B$5,0))</f>
        <v/>
      </c>
      <c r="AK44" s="25" t="str">
        <f>IF($B44="","",ROUND(MIN('Nhân viên'!N34,'Cài đặt'!$B$10)*'Cài đặt'!$B$6,0))</f>
        <v/>
      </c>
      <c r="AL44" s="25" t="str">
        <f>IF($B44="","",ROUND(MIN('Nhân viên'!N34,'Cài đặt'!$B$12)*'Cài đặt'!$B$7,0))</f>
        <v/>
      </c>
      <c r="AM44" s="25" t="str">
        <f>IF($B44="","",'Cài đặt'!$B$13+'Nhân viên'!H34*'Cài đặt'!$B$14)</f>
        <v/>
      </c>
      <c r="AN44" s="25" t="str">
        <f t="shared" si="7"/>
        <v/>
      </c>
      <c r="AO44" s="25" t="str">
        <f>IF($B44="","",ROUND(SUMPRODUCT((AN44&gt;'Cài đặt'!$B$29:$B$33)*(AN44-'Cài đặt'!$B$29:$B$33)*'Cài đặt'!$E$29:$E$33),0))</f>
        <v/>
      </c>
      <c r="AP44" s="22"/>
      <c r="AQ44" s="22"/>
      <c r="AR44" s="25" t="str">
        <f t="shared" si="8"/>
        <v/>
      </c>
      <c r="AS44" s="67" t="str">
        <f t="shared" si="9"/>
        <v/>
      </c>
      <c r="AT44" s="32"/>
      <c r="AU44" s="76"/>
      <c r="AV44" s="32"/>
      <c r="AW44" s="33"/>
    </row>
    <row r="45" ht="21.75" customHeight="1">
      <c r="A45" s="42" t="str">
        <f t="shared" si="1"/>
        <v/>
      </c>
      <c r="B45" s="42" t="str">
        <f>IF('Nhân viên'!A35="","",'Nhân viên'!A35)</f>
        <v/>
      </c>
      <c r="C45" s="12" t="str">
        <f>IF($B45="","",'Nhân viên'!B35)</f>
        <v/>
      </c>
      <c r="D45" s="12" t="str">
        <f>IF($B45="","",'Nhân viên'!C35)</f>
        <v/>
      </c>
      <c r="E45" s="12" t="str">
        <f>IF($B45="","",'Nhân viên'!D35)</f>
        <v/>
      </c>
      <c r="F45" s="12" t="str">
        <f>IF($B45="","",'Nhân viên'!E35)</f>
        <v/>
      </c>
      <c r="G45" s="63" t="str">
        <f>IF(OR($B45="",'Nhân viên'!F35=""),"",'Nhân viên'!F35)</f>
        <v/>
      </c>
      <c r="H45" s="31" t="str">
        <f>IF($B45="","",'Nhân viên'!I35)</f>
        <v/>
      </c>
      <c r="I45" s="31" t="str">
        <f>IF($B45="","",'Nhân viên'!J35)</f>
        <v/>
      </c>
      <c r="J45" s="64" t="str">
        <f t="shared" si="2"/>
        <v/>
      </c>
      <c r="K45" s="65"/>
      <c r="L45" s="31" t="str">
        <f t="shared" si="3"/>
        <v/>
      </c>
      <c r="M45" s="21"/>
      <c r="N45" s="31" t="str">
        <f t="shared" si="4"/>
        <v/>
      </c>
      <c r="O45" s="31" t="str">
        <f>IF($B45="","",IF(OR(J45=0,'Cài đặt'!$B$15=0),0,ROUND((H45+I45)/(J45*'Cài đặt'!$B$15),0)))</f>
        <v/>
      </c>
      <c r="P45" s="65"/>
      <c r="Q45" s="65"/>
      <c r="R45" s="65"/>
      <c r="S45" s="65"/>
      <c r="T45" s="64" t="str">
        <f t="shared" si="5"/>
        <v/>
      </c>
      <c r="U45" s="31" t="str">
        <f>IF($B45="","",ROUND(O45*(P45*'Cài đặt'!$B$16+Q45*'Cài đặt'!$B$17+R45*'Cài đặt'!$B$18+S45*'Cài đặt'!$B$19),0))</f>
        <v/>
      </c>
      <c r="V45" s="31" t="str">
        <f>IF($B45="","",IF('Cài đặt'!$B$21="Toàn bộ",U45,ROUND(O45*(P45*('Cài đặt'!$B$16-1)+Q45*('Cài đặt'!$B$17-1)+R45*('Cài đặt'!$B$18-1)+S45*'Cài đặt'!$B$19),0)))</f>
        <v/>
      </c>
      <c r="W45" s="31" t="str">
        <f>IF($B45="","",'Nhân viên'!K35)</f>
        <v/>
      </c>
      <c r="X45" s="66"/>
      <c r="Y45" s="31" t="str">
        <f>IF($B45="","",ROUND(X45*'Cài đặt'!$B$22,0))</f>
        <v/>
      </c>
      <c r="Z45" s="66"/>
      <c r="AA45" s="31" t="str">
        <f>IF($B45="","",ROUND(Z45*'Cài đặt'!$B$23,0))</f>
        <v/>
      </c>
      <c r="AB45" s="31" t="str">
        <f>IF($B45="","",ROUND(K45*'Cài đặt'!$B$24,0))</f>
        <v/>
      </c>
      <c r="AC45" s="31" t="str">
        <f>IF($B45="","",MIN(AB45,'Cài đặt'!$B$25))</f>
        <v/>
      </c>
      <c r="AD45" s="21"/>
      <c r="AE45" s="21"/>
      <c r="AF45" s="21"/>
      <c r="AG45" s="16"/>
      <c r="AH45" s="14"/>
      <c r="AI45" s="31" t="str">
        <f t="shared" si="6"/>
        <v/>
      </c>
      <c r="AJ45" s="31" t="str">
        <f>IF($B45="","",ROUND(MIN('Nhân viên'!N35,'Cài đặt'!$B$10)*'Cài đặt'!$B$5,0))</f>
        <v/>
      </c>
      <c r="AK45" s="31" t="str">
        <f>IF($B45="","",ROUND(MIN('Nhân viên'!N35,'Cài đặt'!$B$10)*'Cài đặt'!$B$6,0))</f>
        <v/>
      </c>
      <c r="AL45" s="31" t="str">
        <f>IF($B45="","",ROUND(MIN('Nhân viên'!N35,'Cài đặt'!$B$12)*'Cài đặt'!$B$7,0))</f>
        <v/>
      </c>
      <c r="AM45" s="31" t="str">
        <f>IF($B45="","",'Cài đặt'!$B$13+'Nhân viên'!H35*'Cài đặt'!$B$14)</f>
        <v/>
      </c>
      <c r="AN45" s="31" t="str">
        <f t="shared" si="7"/>
        <v/>
      </c>
      <c r="AO45" s="31" t="str">
        <f>IF($B45="","",ROUND(SUMPRODUCT((AN45&gt;'Cài đặt'!$B$29:$B$33)*(AN45-'Cài đặt'!$B$29:$B$33)*'Cài đặt'!$E$29:$E$33),0))</f>
        <v/>
      </c>
      <c r="AP45" s="21"/>
      <c r="AQ45" s="21"/>
      <c r="AR45" s="31" t="str">
        <f t="shared" si="8"/>
        <v/>
      </c>
      <c r="AS45" s="67" t="str">
        <f t="shared" si="9"/>
        <v/>
      </c>
      <c r="AT45" s="14"/>
      <c r="AU45" s="68"/>
      <c r="AV45" s="14"/>
      <c r="AW45" s="16"/>
    </row>
    <row r="46" ht="21.75" customHeight="1">
      <c r="A46" s="48" t="str">
        <f t="shared" si="1"/>
        <v/>
      </c>
      <c r="B46" s="48" t="str">
        <f>IF('Nhân viên'!A36="","",'Nhân viên'!A36)</f>
        <v/>
      </c>
      <c r="C46" s="17" t="str">
        <f>IF($B46="","",'Nhân viên'!B36)</f>
        <v/>
      </c>
      <c r="D46" s="17" t="str">
        <f>IF($B46="","",'Nhân viên'!C36)</f>
        <v/>
      </c>
      <c r="E46" s="17" t="str">
        <f>IF($B46="","",'Nhân viên'!D36)</f>
        <v/>
      </c>
      <c r="F46" s="17" t="str">
        <f>IF($B46="","",'Nhân viên'!E36)</f>
        <v/>
      </c>
      <c r="G46" s="69" t="str">
        <f>IF(OR($B46="",'Nhân viên'!F36=""),"",'Nhân viên'!F36)</f>
        <v/>
      </c>
      <c r="H46" s="25" t="str">
        <f>IF($B46="","",'Nhân viên'!I36)</f>
        <v/>
      </c>
      <c r="I46" s="25" t="str">
        <f>IF($B46="","",'Nhân viên'!J36)</f>
        <v/>
      </c>
      <c r="J46" s="70" t="str">
        <f t="shared" si="2"/>
        <v/>
      </c>
      <c r="K46" s="71"/>
      <c r="L46" s="25" t="str">
        <f t="shared" si="3"/>
        <v/>
      </c>
      <c r="M46" s="22"/>
      <c r="N46" s="25" t="str">
        <f t="shared" si="4"/>
        <v/>
      </c>
      <c r="O46" s="25" t="str">
        <f>IF($B46="","",IF(OR(J46=0,'Cài đặt'!$B$15=0),0,ROUND((H46+I46)/(J46*'Cài đặt'!$B$15),0)))</f>
        <v/>
      </c>
      <c r="P46" s="71"/>
      <c r="Q46" s="71"/>
      <c r="R46" s="71"/>
      <c r="S46" s="71"/>
      <c r="T46" s="70" t="str">
        <f t="shared" si="5"/>
        <v/>
      </c>
      <c r="U46" s="25" t="str">
        <f>IF($B46="","",ROUND(O46*(P46*'Cài đặt'!$B$16+Q46*'Cài đặt'!$B$17+R46*'Cài đặt'!$B$18+S46*'Cài đặt'!$B$19),0))</f>
        <v/>
      </c>
      <c r="V46" s="25" t="str">
        <f>IF($B46="","",IF('Cài đặt'!$B$21="Toàn bộ",U46,ROUND(O46*(P46*('Cài đặt'!$B$16-1)+Q46*('Cài đặt'!$B$17-1)+R46*('Cài đặt'!$B$18-1)+S46*'Cài đặt'!$B$19),0)))</f>
        <v/>
      </c>
      <c r="W46" s="25" t="str">
        <f>IF($B46="","",'Nhân viên'!K36)</f>
        <v/>
      </c>
      <c r="X46" s="75"/>
      <c r="Y46" s="25" t="str">
        <f>IF($B46="","",ROUND(X46*'Cài đặt'!$B$22,0))</f>
        <v/>
      </c>
      <c r="Z46" s="75"/>
      <c r="AA46" s="25" t="str">
        <f>IF($B46="","",ROUND(Z46*'Cài đặt'!$B$23,0))</f>
        <v/>
      </c>
      <c r="AB46" s="25" t="str">
        <f>IF($B46="","",ROUND(K46*'Cài đặt'!$B$24,0))</f>
        <v/>
      </c>
      <c r="AC46" s="25" t="str">
        <f>IF($B46="","",MIN(AB46,'Cài đặt'!$B$25))</f>
        <v/>
      </c>
      <c r="AD46" s="22"/>
      <c r="AE46" s="22"/>
      <c r="AF46" s="22"/>
      <c r="AG46" s="33"/>
      <c r="AH46" s="32"/>
      <c r="AI46" s="25" t="str">
        <f t="shared" si="6"/>
        <v/>
      </c>
      <c r="AJ46" s="25" t="str">
        <f>IF($B46="","",ROUND(MIN('Nhân viên'!N36,'Cài đặt'!$B$10)*'Cài đặt'!$B$5,0))</f>
        <v/>
      </c>
      <c r="AK46" s="25" t="str">
        <f>IF($B46="","",ROUND(MIN('Nhân viên'!N36,'Cài đặt'!$B$10)*'Cài đặt'!$B$6,0))</f>
        <v/>
      </c>
      <c r="AL46" s="25" t="str">
        <f>IF($B46="","",ROUND(MIN('Nhân viên'!N36,'Cài đặt'!$B$12)*'Cài đặt'!$B$7,0))</f>
        <v/>
      </c>
      <c r="AM46" s="25" t="str">
        <f>IF($B46="","",'Cài đặt'!$B$13+'Nhân viên'!H36*'Cài đặt'!$B$14)</f>
        <v/>
      </c>
      <c r="AN46" s="25" t="str">
        <f t="shared" si="7"/>
        <v/>
      </c>
      <c r="AO46" s="25" t="str">
        <f>IF($B46="","",ROUND(SUMPRODUCT((AN46&gt;'Cài đặt'!$B$29:$B$33)*(AN46-'Cài đặt'!$B$29:$B$33)*'Cài đặt'!$E$29:$E$33),0))</f>
        <v/>
      </c>
      <c r="AP46" s="22"/>
      <c r="AQ46" s="22"/>
      <c r="AR46" s="25" t="str">
        <f t="shared" si="8"/>
        <v/>
      </c>
      <c r="AS46" s="67" t="str">
        <f t="shared" si="9"/>
        <v/>
      </c>
      <c r="AT46" s="32"/>
      <c r="AU46" s="76"/>
      <c r="AV46" s="32"/>
      <c r="AW46" s="33"/>
    </row>
    <row r="47" ht="21.75" customHeight="1">
      <c r="A47" s="42" t="str">
        <f t="shared" si="1"/>
        <v/>
      </c>
      <c r="B47" s="42" t="str">
        <f>IF('Nhân viên'!A37="","",'Nhân viên'!A37)</f>
        <v/>
      </c>
      <c r="C47" s="12" t="str">
        <f>IF($B47="","",'Nhân viên'!B37)</f>
        <v/>
      </c>
      <c r="D47" s="12" t="str">
        <f>IF($B47="","",'Nhân viên'!C37)</f>
        <v/>
      </c>
      <c r="E47" s="12" t="str">
        <f>IF($B47="","",'Nhân viên'!D37)</f>
        <v/>
      </c>
      <c r="F47" s="12" t="str">
        <f>IF($B47="","",'Nhân viên'!E37)</f>
        <v/>
      </c>
      <c r="G47" s="63" t="str">
        <f>IF(OR($B47="",'Nhân viên'!F37=""),"",'Nhân viên'!F37)</f>
        <v/>
      </c>
      <c r="H47" s="31" t="str">
        <f>IF($B47="","",'Nhân viên'!I37)</f>
        <v/>
      </c>
      <c r="I47" s="31" t="str">
        <f>IF($B47="","",'Nhân viên'!J37)</f>
        <v/>
      </c>
      <c r="J47" s="64" t="str">
        <f t="shared" si="2"/>
        <v/>
      </c>
      <c r="K47" s="65"/>
      <c r="L47" s="31" t="str">
        <f t="shared" si="3"/>
        <v/>
      </c>
      <c r="M47" s="21"/>
      <c r="N47" s="31" t="str">
        <f t="shared" si="4"/>
        <v/>
      </c>
      <c r="O47" s="31" t="str">
        <f>IF($B47="","",IF(OR(J47=0,'Cài đặt'!$B$15=0),0,ROUND((H47+I47)/(J47*'Cài đặt'!$B$15),0)))</f>
        <v/>
      </c>
      <c r="P47" s="65"/>
      <c r="Q47" s="65"/>
      <c r="R47" s="65"/>
      <c r="S47" s="65"/>
      <c r="T47" s="64" t="str">
        <f t="shared" si="5"/>
        <v/>
      </c>
      <c r="U47" s="31" t="str">
        <f>IF($B47="","",ROUND(O47*(P47*'Cài đặt'!$B$16+Q47*'Cài đặt'!$B$17+R47*'Cài đặt'!$B$18+S47*'Cài đặt'!$B$19),0))</f>
        <v/>
      </c>
      <c r="V47" s="31" t="str">
        <f>IF($B47="","",IF('Cài đặt'!$B$21="Toàn bộ",U47,ROUND(O47*(P47*('Cài đặt'!$B$16-1)+Q47*('Cài đặt'!$B$17-1)+R47*('Cài đặt'!$B$18-1)+S47*'Cài đặt'!$B$19),0)))</f>
        <v/>
      </c>
      <c r="W47" s="31" t="str">
        <f>IF($B47="","",'Nhân viên'!K37)</f>
        <v/>
      </c>
      <c r="X47" s="66"/>
      <c r="Y47" s="31" t="str">
        <f>IF($B47="","",ROUND(X47*'Cài đặt'!$B$22,0))</f>
        <v/>
      </c>
      <c r="Z47" s="66"/>
      <c r="AA47" s="31" t="str">
        <f>IF($B47="","",ROUND(Z47*'Cài đặt'!$B$23,0))</f>
        <v/>
      </c>
      <c r="AB47" s="31" t="str">
        <f>IF($B47="","",ROUND(K47*'Cài đặt'!$B$24,0))</f>
        <v/>
      </c>
      <c r="AC47" s="31" t="str">
        <f>IF($B47="","",MIN(AB47,'Cài đặt'!$B$25))</f>
        <v/>
      </c>
      <c r="AD47" s="21"/>
      <c r="AE47" s="21"/>
      <c r="AF47" s="21"/>
      <c r="AG47" s="16"/>
      <c r="AH47" s="14"/>
      <c r="AI47" s="31" t="str">
        <f t="shared" si="6"/>
        <v/>
      </c>
      <c r="AJ47" s="31" t="str">
        <f>IF($B47="","",ROUND(MIN('Nhân viên'!N37,'Cài đặt'!$B$10)*'Cài đặt'!$B$5,0))</f>
        <v/>
      </c>
      <c r="AK47" s="31" t="str">
        <f>IF($B47="","",ROUND(MIN('Nhân viên'!N37,'Cài đặt'!$B$10)*'Cài đặt'!$B$6,0))</f>
        <v/>
      </c>
      <c r="AL47" s="31" t="str">
        <f>IF($B47="","",ROUND(MIN('Nhân viên'!N37,'Cài đặt'!$B$12)*'Cài đặt'!$B$7,0))</f>
        <v/>
      </c>
      <c r="AM47" s="31" t="str">
        <f>IF($B47="","",'Cài đặt'!$B$13+'Nhân viên'!H37*'Cài đặt'!$B$14)</f>
        <v/>
      </c>
      <c r="AN47" s="31" t="str">
        <f t="shared" si="7"/>
        <v/>
      </c>
      <c r="AO47" s="31" t="str">
        <f>IF($B47="","",ROUND(SUMPRODUCT((AN47&gt;'Cài đặt'!$B$29:$B$33)*(AN47-'Cài đặt'!$B$29:$B$33)*'Cài đặt'!$E$29:$E$33),0))</f>
        <v/>
      </c>
      <c r="AP47" s="21"/>
      <c r="AQ47" s="21"/>
      <c r="AR47" s="31" t="str">
        <f t="shared" si="8"/>
        <v/>
      </c>
      <c r="AS47" s="67" t="str">
        <f t="shared" si="9"/>
        <v/>
      </c>
      <c r="AT47" s="14"/>
      <c r="AU47" s="68"/>
      <c r="AV47" s="14"/>
      <c r="AW47" s="16"/>
    </row>
    <row r="48" ht="21.75" customHeight="1">
      <c r="A48" s="48" t="str">
        <f t="shared" si="1"/>
        <v/>
      </c>
      <c r="B48" s="48" t="str">
        <f>IF('Nhân viên'!A38="","",'Nhân viên'!A38)</f>
        <v/>
      </c>
      <c r="C48" s="17" t="str">
        <f>IF($B48="","",'Nhân viên'!B38)</f>
        <v/>
      </c>
      <c r="D48" s="17" t="str">
        <f>IF($B48="","",'Nhân viên'!C38)</f>
        <v/>
      </c>
      <c r="E48" s="17" t="str">
        <f>IF($B48="","",'Nhân viên'!D38)</f>
        <v/>
      </c>
      <c r="F48" s="17" t="str">
        <f>IF($B48="","",'Nhân viên'!E38)</f>
        <v/>
      </c>
      <c r="G48" s="69" t="str">
        <f>IF(OR($B48="",'Nhân viên'!F38=""),"",'Nhân viên'!F38)</f>
        <v/>
      </c>
      <c r="H48" s="25" t="str">
        <f>IF($B48="","",'Nhân viên'!I38)</f>
        <v/>
      </c>
      <c r="I48" s="25" t="str">
        <f>IF($B48="","",'Nhân viên'!J38)</f>
        <v/>
      </c>
      <c r="J48" s="70" t="str">
        <f t="shared" si="2"/>
        <v/>
      </c>
      <c r="K48" s="71"/>
      <c r="L48" s="25" t="str">
        <f t="shared" si="3"/>
        <v/>
      </c>
      <c r="M48" s="22"/>
      <c r="N48" s="25" t="str">
        <f t="shared" si="4"/>
        <v/>
      </c>
      <c r="O48" s="25" t="str">
        <f>IF($B48="","",IF(OR(J48=0,'Cài đặt'!$B$15=0),0,ROUND((H48+I48)/(J48*'Cài đặt'!$B$15),0)))</f>
        <v/>
      </c>
      <c r="P48" s="71"/>
      <c r="Q48" s="71"/>
      <c r="R48" s="71"/>
      <c r="S48" s="71"/>
      <c r="T48" s="70" t="str">
        <f t="shared" si="5"/>
        <v/>
      </c>
      <c r="U48" s="25" t="str">
        <f>IF($B48="","",ROUND(O48*(P48*'Cài đặt'!$B$16+Q48*'Cài đặt'!$B$17+R48*'Cài đặt'!$B$18+S48*'Cài đặt'!$B$19),0))</f>
        <v/>
      </c>
      <c r="V48" s="25" t="str">
        <f>IF($B48="","",IF('Cài đặt'!$B$21="Toàn bộ",U48,ROUND(O48*(P48*('Cài đặt'!$B$16-1)+Q48*('Cài đặt'!$B$17-1)+R48*('Cài đặt'!$B$18-1)+S48*'Cài đặt'!$B$19),0)))</f>
        <v/>
      </c>
      <c r="W48" s="25" t="str">
        <f>IF($B48="","",'Nhân viên'!K38)</f>
        <v/>
      </c>
      <c r="X48" s="75"/>
      <c r="Y48" s="25" t="str">
        <f>IF($B48="","",ROUND(X48*'Cài đặt'!$B$22,0))</f>
        <v/>
      </c>
      <c r="Z48" s="75"/>
      <c r="AA48" s="25" t="str">
        <f>IF($B48="","",ROUND(Z48*'Cài đặt'!$B$23,0))</f>
        <v/>
      </c>
      <c r="AB48" s="25" t="str">
        <f>IF($B48="","",ROUND(K48*'Cài đặt'!$B$24,0))</f>
        <v/>
      </c>
      <c r="AC48" s="25" t="str">
        <f>IF($B48="","",MIN(AB48,'Cài đặt'!$B$25))</f>
        <v/>
      </c>
      <c r="AD48" s="22"/>
      <c r="AE48" s="22"/>
      <c r="AF48" s="22"/>
      <c r="AG48" s="33"/>
      <c r="AH48" s="32"/>
      <c r="AI48" s="25" t="str">
        <f t="shared" si="6"/>
        <v/>
      </c>
      <c r="AJ48" s="25" t="str">
        <f>IF($B48="","",ROUND(MIN('Nhân viên'!N38,'Cài đặt'!$B$10)*'Cài đặt'!$B$5,0))</f>
        <v/>
      </c>
      <c r="AK48" s="25" t="str">
        <f>IF($B48="","",ROUND(MIN('Nhân viên'!N38,'Cài đặt'!$B$10)*'Cài đặt'!$B$6,0))</f>
        <v/>
      </c>
      <c r="AL48" s="25" t="str">
        <f>IF($B48="","",ROUND(MIN('Nhân viên'!N38,'Cài đặt'!$B$12)*'Cài đặt'!$B$7,0))</f>
        <v/>
      </c>
      <c r="AM48" s="25" t="str">
        <f>IF($B48="","",'Cài đặt'!$B$13+'Nhân viên'!H38*'Cài đặt'!$B$14)</f>
        <v/>
      </c>
      <c r="AN48" s="25" t="str">
        <f t="shared" si="7"/>
        <v/>
      </c>
      <c r="AO48" s="25" t="str">
        <f>IF($B48="","",ROUND(SUMPRODUCT((AN48&gt;'Cài đặt'!$B$29:$B$33)*(AN48-'Cài đặt'!$B$29:$B$33)*'Cài đặt'!$E$29:$E$33),0))</f>
        <v/>
      </c>
      <c r="AP48" s="22"/>
      <c r="AQ48" s="22"/>
      <c r="AR48" s="25" t="str">
        <f t="shared" si="8"/>
        <v/>
      </c>
      <c r="AS48" s="67" t="str">
        <f t="shared" si="9"/>
        <v/>
      </c>
      <c r="AT48" s="32"/>
      <c r="AU48" s="76"/>
      <c r="AV48" s="32"/>
      <c r="AW48" s="33"/>
    </row>
    <row r="49" ht="21.75" customHeight="1">
      <c r="A49" s="42" t="str">
        <f t="shared" si="1"/>
        <v/>
      </c>
      <c r="B49" s="42" t="str">
        <f>IF('Nhân viên'!A39="","",'Nhân viên'!A39)</f>
        <v/>
      </c>
      <c r="C49" s="12" t="str">
        <f>IF($B49="","",'Nhân viên'!B39)</f>
        <v/>
      </c>
      <c r="D49" s="12" t="str">
        <f>IF($B49="","",'Nhân viên'!C39)</f>
        <v/>
      </c>
      <c r="E49" s="12" t="str">
        <f>IF($B49="","",'Nhân viên'!D39)</f>
        <v/>
      </c>
      <c r="F49" s="12" t="str">
        <f>IF($B49="","",'Nhân viên'!E39)</f>
        <v/>
      </c>
      <c r="G49" s="63" t="str">
        <f>IF(OR($B49="",'Nhân viên'!F39=""),"",'Nhân viên'!F39)</f>
        <v/>
      </c>
      <c r="H49" s="31" t="str">
        <f>IF($B49="","",'Nhân viên'!I39)</f>
        <v/>
      </c>
      <c r="I49" s="31" t="str">
        <f>IF($B49="","",'Nhân viên'!J39)</f>
        <v/>
      </c>
      <c r="J49" s="64" t="str">
        <f t="shared" si="2"/>
        <v/>
      </c>
      <c r="K49" s="65"/>
      <c r="L49" s="31" t="str">
        <f t="shared" si="3"/>
        <v/>
      </c>
      <c r="M49" s="21"/>
      <c r="N49" s="31" t="str">
        <f t="shared" si="4"/>
        <v/>
      </c>
      <c r="O49" s="31" t="str">
        <f>IF($B49="","",IF(OR(J49=0,'Cài đặt'!$B$15=0),0,ROUND((H49+I49)/(J49*'Cài đặt'!$B$15),0)))</f>
        <v/>
      </c>
      <c r="P49" s="65"/>
      <c r="Q49" s="65"/>
      <c r="R49" s="65"/>
      <c r="S49" s="65"/>
      <c r="T49" s="64" t="str">
        <f t="shared" si="5"/>
        <v/>
      </c>
      <c r="U49" s="31" t="str">
        <f>IF($B49="","",ROUND(O49*(P49*'Cài đặt'!$B$16+Q49*'Cài đặt'!$B$17+R49*'Cài đặt'!$B$18+S49*'Cài đặt'!$B$19),0))</f>
        <v/>
      </c>
      <c r="V49" s="31" t="str">
        <f>IF($B49="","",IF('Cài đặt'!$B$21="Toàn bộ",U49,ROUND(O49*(P49*('Cài đặt'!$B$16-1)+Q49*('Cài đặt'!$B$17-1)+R49*('Cài đặt'!$B$18-1)+S49*'Cài đặt'!$B$19),0)))</f>
        <v/>
      </c>
      <c r="W49" s="31" t="str">
        <f>IF($B49="","",'Nhân viên'!K39)</f>
        <v/>
      </c>
      <c r="X49" s="66"/>
      <c r="Y49" s="31" t="str">
        <f>IF($B49="","",ROUND(X49*'Cài đặt'!$B$22,0))</f>
        <v/>
      </c>
      <c r="Z49" s="66"/>
      <c r="AA49" s="31" t="str">
        <f>IF($B49="","",ROUND(Z49*'Cài đặt'!$B$23,0))</f>
        <v/>
      </c>
      <c r="AB49" s="31" t="str">
        <f>IF($B49="","",ROUND(K49*'Cài đặt'!$B$24,0))</f>
        <v/>
      </c>
      <c r="AC49" s="31" t="str">
        <f>IF($B49="","",MIN(AB49,'Cài đặt'!$B$25))</f>
        <v/>
      </c>
      <c r="AD49" s="21"/>
      <c r="AE49" s="21"/>
      <c r="AF49" s="21"/>
      <c r="AG49" s="16"/>
      <c r="AH49" s="14"/>
      <c r="AI49" s="31" t="str">
        <f t="shared" si="6"/>
        <v/>
      </c>
      <c r="AJ49" s="31" t="str">
        <f>IF($B49="","",ROUND(MIN('Nhân viên'!N39,'Cài đặt'!$B$10)*'Cài đặt'!$B$5,0))</f>
        <v/>
      </c>
      <c r="AK49" s="31" t="str">
        <f>IF($B49="","",ROUND(MIN('Nhân viên'!N39,'Cài đặt'!$B$10)*'Cài đặt'!$B$6,0))</f>
        <v/>
      </c>
      <c r="AL49" s="31" t="str">
        <f>IF($B49="","",ROUND(MIN('Nhân viên'!N39,'Cài đặt'!$B$12)*'Cài đặt'!$B$7,0))</f>
        <v/>
      </c>
      <c r="AM49" s="31" t="str">
        <f>IF($B49="","",'Cài đặt'!$B$13+'Nhân viên'!H39*'Cài đặt'!$B$14)</f>
        <v/>
      </c>
      <c r="AN49" s="31" t="str">
        <f t="shared" si="7"/>
        <v/>
      </c>
      <c r="AO49" s="31" t="str">
        <f>IF($B49="","",ROUND(SUMPRODUCT((AN49&gt;'Cài đặt'!$B$29:$B$33)*(AN49-'Cài đặt'!$B$29:$B$33)*'Cài đặt'!$E$29:$E$33),0))</f>
        <v/>
      </c>
      <c r="AP49" s="21"/>
      <c r="AQ49" s="21"/>
      <c r="AR49" s="31" t="str">
        <f t="shared" si="8"/>
        <v/>
      </c>
      <c r="AS49" s="67" t="str">
        <f t="shared" si="9"/>
        <v/>
      </c>
      <c r="AT49" s="14"/>
      <c r="AU49" s="68"/>
      <c r="AV49" s="14"/>
      <c r="AW49" s="16"/>
    </row>
    <row r="50" ht="21.75" customHeight="1">
      <c r="A50" s="48" t="str">
        <f t="shared" si="1"/>
        <v/>
      </c>
      <c r="B50" s="48" t="str">
        <f>IF('Nhân viên'!A40="","",'Nhân viên'!A40)</f>
        <v/>
      </c>
      <c r="C50" s="17" t="str">
        <f>IF($B50="","",'Nhân viên'!B40)</f>
        <v/>
      </c>
      <c r="D50" s="17" t="str">
        <f>IF($B50="","",'Nhân viên'!C40)</f>
        <v/>
      </c>
      <c r="E50" s="17" t="str">
        <f>IF($B50="","",'Nhân viên'!D40)</f>
        <v/>
      </c>
      <c r="F50" s="17" t="str">
        <f>IF($B50="","",'Nhân viên'!E40)</f>
        <v/>
      </c>
      <c r="G50" s="69" t="str">
        <f>IF(OR($B50="",'Nhân viên'!F40=""),"",'Nhân viên'!F40)</f>
        <v/>
      </c>
      <c r="H50" s="25" t="str">
        <f>IF($B50="","",'Nhân viên'!I40)</f>
        <v/>
      </c>
      <c r="I50" s="25" t="str">
        <f>IF($B50="","",'Nhân viên'!J40)</f>
        <v/>
      </c>
      <c r="J50" s="70" t="str">
        <f t="shared" si="2"/>
        <v/>
      </c>
      <c r="K50" s="71"/>
      <c r="L50" s="25" t="str">
        <f t="shared" si="3"/>
        <v/>
      </c>
      <c r="M50" s="22"/>
      <c r="N50" s="25" t="str">
        <f t="shared" si="4"/>
        <v/>
      </c>
      <c r="O50" s="25" t="str">
        <f>IF($B50="","",IF(OR(J50=0,'Cài đặt'!$B$15=0),0,ROUND((H50+I50)/(J50*'Cài đặt'!$B$15),0)))</f>
        <v/>
      </c>
      <c r="P50" s="71"/>
      <c r="Q50" s="71"/>
      <c r="R50" s="71"/>
      <c r="S50" s="71"/>
      <c r="T50" s="70" t="str">
        <f t="shared" si="5"/>
        <v/>
      </c>
      <c r="U50" s="25" t="str">
        <f>IF($B50="","",ROUND(O50*(P50*'Cài đặt'!$B$16+Q50*'Cài đặt'!$B$17+R50*'Cài đặt'!$B$18+S50*'Cài đặt'!$B$19),0))</f>
        <v/>
      </c>
      <c r="V50" s="25" t="str">
        <f>IF($B50="","",IF('Cài đặt'!$B$21="Toàn bộ",U50,ROUND(O50*(P50*('Cài đặt'!$B$16-1)+Q50*('Cài đặt'!$B$17-1)+R50*('Cài đặt'!$B$18-1)+S50*'Cài đặt'!$B$19),0)))</f>
        <v/>
      </c>
      <c r="W50" s="25" t="str">
        <f>IF($B50="","",'Nhân viên'!K40)</f>
        <v/>
      </c>
      <c r="X50" s="75"/>
      <c r="Y50" s="25" t="str">
        <f>IF($B50="","",ROUND(X50*'Cài đặt'!$B$22,0))</f>
        <v/>
      </c>
      <c r="Z50" s="75"/>
      <c r="AA50" s="25" t="str">
        <f>IF($B50="","",ROUND(Z50*'Cài đặt'!$B$23,0))</f>
        <v/>
      </c>
      <c r="AB50" s="25" t="str">
        <f>IF($B50="","",ROUND(K50*'Cài đặt'!$B$24,0))</f>
        <v/>
      </c>
      <c r="AC50" s="25" t="str">
        <f>IF($B50="","",MIN(AB50,'Cài đặt'!$B$25))</f>
        <v/>
      </c>
      <c r="AD50" s="22"/>
      <c r="AE50" s="22"/>
      <c r="AF50" s="22"/>
      <c r="AG50" s="33"/>
      <c r="AH50" s="32"/>
      <c r="AI50" s="25" t="str">
        <f t="shared" si="6"/>
        <v/>
      </c>
      <c r="AJ50" s="25" t="str">
        <f>IF($B50="","",ROUND(MIN('Nhân viên'!N40,'Cài đặt'!$B$10)*'Cài đặt'!$B$5,0))</f>
        <v/>
      </c>
      <c r="AK50" s="25" t="str">
        <f>IF($B50="","",ROUND(MIN('Nhân viên'!N40,'Cài đặt'!$B$10)*'Cài đặt'!$B$6,0))</f>
        <v/>
      </c>
      <c r="AL50" s="25" t="str">
        <f>IF($B50="","",ROUND(MIN('Nhân viên'!N40,'Cài đặt'!$B$12)*'Cài đặt'!$B$7,0))</f>
        <v/>
      </c>
      <c r="AM50" s="25" t="str">
        <f>IF($B50="","",'Cài đặt'!$B$13+'Nhân viên'!H40*'Cài đặt'!$B$14)</f>
        <v/>
      </c>
      <c r="AN50" s="25" t="str">
        <f t="shared" si="7"/>
        <v/>
      </c>
      <c r="AO50" s="25" t="str">
        <f>IF($B50="","",ROUND(SUMPRODUCT((AN50&gt;'Cài đặt'!$B$29:$B$33)*(AN50-'Cài đặt'!$B$29:$B$33)*'Cài đặt'!$E$29:$E$33),0))</f>
        <v/>
      </c>
      <c r="AP50" s="22"/>
      <c r="AQ50" s="22"/>
      <c r="AR50" s="25" t="str">
        <f t="shared" si="8"/>
        <v/>
      </c>
      <c r="AS50" s="67" t="str">
        <f t="shared" si="9"/>
        <v/>
      </c>
      <c r="AT50" s="32"/>
      <c r="AU50" s="76"/>
      <c r="AV50" s="32"/>
      <c r="AW50" s="33"/>
    </row>
    <row r="51" ht="21.75" customHeight="1">
      <c r="A51" s="42" t="str">
        <f t="shared" si="1"/>
        <v/>
      </c>
      <c r="B51" s="42" t="str">
        <f>IF('Nhân viên'!A41="","",'Nhân viên'!A41)</f>
        <v/>
      </c>
      <c r="C51" s="12" t="str">
        <f>IF($B51="","",'Nhân viên'!B41)</f>
        <v/>
      </c>
      <c r="D51" s="12" t="str">
        <f>IF($B51="","",'Nhân viên'!C41)</f>
        <v/>
      </c>
      <c r="E51" s="12" t="str">
        <f>IF($B51="","",'Nhân viên'!D41)</f>
        <v/>
      </c>
      <c r="F51" s="12" t="str">
        <f>IF($B51="","",'Nhân viên'!E41)</f>
        <v/>
      </c>
      <c r="G51" s="63" t="str">
        <f>IF(OR($B51="",'Nhân viên'!F41=""),"",'Nhân viên'!F41)</f>
        <v/>
      </c>
      <c r="H51" s="31" t="str">
        <f>IF($B51="","",'Nhân viên'!I41)</f>
        <v/>
      </c>
      <c r="I51" s="31" t="str">
        <f>IF($B51="","",'Nhân viên'!J41)</f>
        <v/>
      </c>
      <c r="J51" s="64" t="str">
        <f t="shared" si="2"/>
        <v/>
      </c>
      <c r="K51" s="65"/>
      <c r="L51" s="31" t="str">
        <f t="shared" si="3"/>
        <v/>
      </c>
      <c r="M51" s="21"/>
      <c r="N51" s="31" t="str">
        <f t="shared" si="4"/>
        <v/>
      </c>
      <c r="O51" s="31" t="str">
        <f>IF($B51="","",IF(OR(J51=0,'Cài đặt'!$B$15=0),0,ROUND((H51+I51)/(J51*'Cài đặt'!$B$15),0)))</f>
        <v/>
      </c>
      <c r="P51" s="65"/>
      <c r="Q51" s="65"/>
      <c r="R51" s="65"/>
      <c r="S51" s="65"/>
      <c r="T51" s="64" t="str">
        <f t="shared" si="5"/>
        <v/>
      </c>
      <c r="U51" s="31" t="str">
        <f>IF($B51="","",ROUND(O51*(P51*'Cài đặt'!$B$16+Q51*'Cài đặt'!$B$17+R51*'Cài đặt'!$B$18+S51*'Cài đặt'!$B$19),0))</f>
        <v/>
      </c>
      <c r="V51" s="31" t="str">
        <f>IF($B51="","",IF('Cài đặt'!$B$21="Toàn bộ",U51,ROUND(O51*(P51*('Cài đặt'!$B$16-1)+Q51*('Cài đặt'!$B$17-1)+R51*('Cài đặt'!$B$18-1)+S51*'Cài đặt'!$B$19),0)))</f>
        <v/>
      </c>
      <c r="W51" s="31" t="str">
        <f>IF($B51="","",'Nhân viên'!K41)</f>
        <v/>
      </c>
      <c r="X51" s="66"/>
      <c r="Y51" s="31" t="str">
        <f>IF($B51="","",ROUND(X51*'Cài đặt'!$B$22,0))</f>
        <v/>
      </c>
      <c r="Z51" s="66"/>
      <c r="AA51" s="31" t="str">
        <f>IF($B51="","",ROUND(Z51*'Cài đặt'!$B$23,0))</f>
        <v/>
      </c>
      <c r="AB51" s="31" t="str">
        <f>IF($B51="","",ROUND(K51*'Cài đặt'!$B$24,0))</f>
        <v/>
      </c>
      <c r="AC51" s="31" t="str">
        <f>IF($B51="","",MIN(AB51,'Cài đặt'!$B$25))</f>
        <v/>
      </c>
      <c r="AD51" s="21"/>
      <c r="AE51" s="21"/>
      <c r="AF51" s="21"/>
      <c r="AG51" s="16"/>
      <c r="AH51" s="14"/>
      <c r="AI51" s="31" t="str">
        <f t="shared" si="6"/>
        <v/>
      </c>
      <c r="AJ51" s="31" t="str">
        <f>IF($B51="","",ROUND(MIN('Nhân viên'!N41,'Cài đặt'!$B$10)*'Cài đặt'!$B$5,0))</f>
        <v/>
      </c>
      <c r="AK51" s="31" t="str">
        <f>IF($B51="","",ROUND(MIN('Nhân viên'!N41,'Cài đặt'!$B$10)*'Cài đặt'!$B$6,0))</f>
        <v/>
      </c>
      <c r="AL51" s="31" t="str">
        <f>IF($B51="","",ROUND(MIN('Nhân viên'!N41,'Cài đặt'!$B$12)*'Cài đặt'!$B$7,0))</f>
        <v/>
      </c>
      <c r="AM51" s="31" t="str">
        <f>IF($B51="","",'Cài đặt'!$B$13+'Nhân viên'!H41*'Cài đặt'!$B$14)</f>
        <v/>
      </c>
      <c r="AN51" s="31" t="str">
        <f t="shared" si="7"/>
        <v/>
      </c>
      <c r="AO51" s="31" t="str">
        <f>IF($B51="","",ROUND(SUMPRODUCT((AN51&gt;'Cài đặt'!$B$29:$B$33)*(AN51-'Cài đặt'!$B$29:$B$33)*'Cài đặt'!$E$29:$E$33),0))</f>
        <v/>
      </c>
      <c r="AP51" s="21"/>
      <c r="AQ51" s="21"/>
      <c r="AR51" s="31" t="str">
        <f t="shared" si="8"/>
        <v/>
      </c>
      <c r="AS51" s="67" t="str">
        <f t="shared" si="9"/>
        <v/>
      </c>
      <c r="AT51" s="14"/>
      <c r="AU51" s="68"/>
      <c r="AV51" s="14"/>
      <c r="AW51" s="16"/>
    </row>
    <row r="52" ht="21.75" customHeight="1">
      <c r="A52" s="48" t="str">
        <f t="shared" si="1"/>
        <v/>
      </c>
      <c r="B52" s="48" t="str">
        <f>IF('Nhân viên'!A42="","",'Nhân viên'!A42)</f>
        <v/>
      </c>
      <c r="C52" s="17" t="str">
        <f>IF($B52="","",'Nhân viên'!B42)</f>
        <v/>
      </c>
      <c r="D52" s="17" t="str">
        <f>IF($B52="","",'Nhân viên'!C42)</f>
        <v/>
      </c>
      <c r="E52" s="17" t="str">
        <f>IF($B52="","",'Nhân viên'!D42)</f>
        <v/>
      </c>
      <c r="F52" s="17" t="str">
        <f>IF($B52="","",'Nhân viên'!E42)</f>
        <v/>
      </c>
      <c r="G52" s="69" t="str">
        <f>IF(OR($B52="",'Nhân viên'!F42=""),"",'Nhân viên'!F42)</f>
        <v/>
      </c>
      <c r="H52" s="25" t="str">
        <f>IF($B52="","",'Nhân viên'!I42)</f>
        <v/>
      </c>
      <c r="I52" s="25" t="str">
        <f>IF($B52="","",'Nhân viên'!J42)</f>
        <v/>
      </c>
      <c r="J52" s="70" t="str">
        <f t="shared" si="2"/>
        <v/>
      </c>
      <c r="K52" s="71"/>
      <c r="L52" s="25" t="str">
        <f t="shared" si="3"/>
        <v/>
      </c>
      <c r="M52" s="22"/>
      <c r="N52" s="25" t="str">
        <f t="shared" si="4"/>
        <v/>
      </c>
      <c r="O52" s="25" t="str">
        <f>IF($B52="","",IF(OR(J52=0,'Cài đặt'!$B$15=0),0,ROUND((H52+I52)/(J52*'Cài đặt'!$B$15),0)))</f>
        <v/>
      </c>
      <c r="P52" s="71"/>
      <c r="Q52" s="71"/>
      <c r="R52" s="71"/>
      <c r="S52" s="71"/>
      <c r="T52" s="70" t="str">
        <f t="shared" si="5"/>
        <v/>
      </c>
      <c r="U52" s="25" t="str">
        <f>IF($B52="","",ROUND(O52*(P52*'Cài đặt'!$B$16+Q52*'Cài đặt'!$B$17+R52*'Cài đặt'!$B$18+S52*'Cài đặt'!$B$19),0))</f>
        <v/>
      </c>
      <c r="V52" s="25" t="str">
        <f>IF($B52="","",IF('Cài đặt'!$B$21="Toàn bộ",U52,ROUND(O52*(P52*('Cài đặt'!$B$16-1)+Q52*('Cài đặt'!$B$17-1)+R52*('Cài đặt'!$B$18-1)+S52*'Cài đặt'!$B$19),0)))</f>
        <v/>
      </c>
      <c r="W52" s="25" t="str">
        <f>IF($B52="","",'Nhân viên'!K42)</f>
        <v/>
      </c>
      <c r="X52" s="75"/>
      <c r="Y52" s="25" t="str">
        <f>IF($B52="","",ROUND(X52*'Cài đặt'!$B$22,0))</f>
        <v/>
      </c>
      <c r="Z52" s="75"/>
      <c r="AA52" s="25" t="str">
        <f>IF($B52="","",ROUND(Z52*'Cài đặt'!$B$23,0))</f>
        <v/>
      </c>
      <c r="AB52" s="25" t="str">
        <f>IF($B52="","",ROUND(K52*'Cài đặt'!$B$24,0))</f>
        <v/>
      </c>
      <c r="AC52" s="25" t="str">
        <f>IF($B52="","",MIN(AB52,'Cài đặt'!$B$25))</f>
        <v/>
      </c>
      <c r="AD52" s="22"/>
      <c r="AE52" s="22"/>
      <c r="AF52" s="22"/>
      <c r="AG52" s="33"/>
      <c r="AH52" s="32"/>
      <c r="AI52" s="25" t="str">
        <f t="shared" si="6"/>
        <v/>
      </c>
      <c r="AJ52" s="25" t="str">
        <f>IF($B52="","",ROUND(MIN('Nhân viên'!N42,'Cài đặt'!$B$10)*'Cài đặt'!$B$5,0))</f>
        <v/>
      </c>
      <c r="AK52" s="25" t="str">
        <f>IF($B52="","",ROUND(MIN('Nhân viên'!N42,'Cài đặt'!$B$10)*'Cài đặt'!$B$6,0))</f>
        <v/>
      </c>
      <c r="AL52" s="25" t="str">
        <f>IF($B52="","",ROUND(MIN('Nhân viên'!N42,'Cài đặt'!$B$12)*'Cài đặt'!$B$7,0))</f>
        <v/>
      </c>
      <c r="AM52" s="25" t="str">
        <f>IF($B52="","",'Cài đặt'!$B$13+'Nhân viên'!H42*'Cài đặt'!$B$14)</f>
        <v/>
      </c>
      <c r="AN52" s="25" t="str">
        <f t="shared" si="7"/>
        <v/>
      </c>
      <c r="AO52" s="25" t="str">
        <f>IF($B52="","",ROUND(SUMPRODUCT((AN52&gt;'Cài đặt'!$B$29:$B$33)*(AN52-'Cài đặt'!$B$29:$B$33)*'Cài đặt'!$E$29:$E$33),0))</f>
        <v/>
      </c>
      <c r="AP52" s="22"/>
      <c r="AQ52" s="22"/>
      <c r="AR52" s="25" t="str">
        <f t="shared" si="8"/>
        <v/>
      </c>
      <c r="AS52" s="67" t="str">
        <f t="shared" si="9"/>
        <v/>
      </c>
      <c r="AT52" s="32"/>
      <c r="AU52" s="76"/>
      <c r="AV52" s="32"/>
      <c r="AW52" s="33"/>
    </row>
    <row r="53" ht="21.75" customHeight="1">
      <c r="A53" s="42" t="str">
        <f t="shared" si="1"/>
        <v/>
      </c>
      <c r="B53" s="42" t="str">
        <f>IF('Nhân viên'!A43="","",'Nhân viên'!A43)</f>
        <v/>
      </c>
      <c r="C53" s="12" t="str">
        <f>IF($B53="","",'Nhân viên'!B43)</f>
        <v/>
      </c>
      <c r="D53" s="12" t="str">
        <f>IF($B53="","",'Nhân viên'!C43)</f>
        <v/>
      </c>
      <c r="E53" s="12" t="str">
        <f>IF($B53="","",'Nhân viên'!D43)</f>
        <v/>
      </c>
      <c r="F53" s="12" t="str">
        <f>IF($B53="","",'Nhân viên'!E43)</f>
        <v/>
      </c>
      <c r="G53" s="63" t="str">
        <f>IF(OR($B53="",'Nhân viên'!F43=""),"",'Nhân viên'!F43)</f>
        <v/>
      </c>
      <c r="H53" s="31" t="str">
        <f>IF($B53="","",'Nhân viên'!I43)</f>
        <v/>
      </c>
      <c r="I53" s="31" t="str">
        <f>IF($B53="","",'Nhân viên'!J43)</f>
        <v/>
      </c>
      <c r="J53" s="64" t="str">
        <f t="shared" si="2"/>
        <v/>
      </c>
      <c r="K53" s="65"/>
      <c r="L53" s="31" t="str">
        <f t="shared" si="3"/>
        <v/>
      </c>
      <c r="M53" s="21"/>
      <c r="N53" s="31" t="str">
        <f t="shared" si="4"/>
        <v/>
      </c>
      <c r="O53" s="31" t="str">
        <f>IF($B53="","",IF(OR(J53=0,'Cài đặt'!$B$15=0),0,ROUND((H53+I53)/(J53*'Cài đặt'!$B$15),0)))</f>
        <v/>
      </c>
      <c r="P53" s="65"/>
      <c r="Q53" s="65"/>
      <c r="R53" s="65"/>
      <c r="S53" s="65"/>
      <c r="T53" s="64" t="str">
        <f t="shared" si="5"/>
        <v/>
      </c>
      <c r="U53" s="31" t="str">
        <f>IF($B53="","",ROUND(O53*(P53*'Cài đặt'!$B$16+Q53*'Cài đặt'!$B$17+R53*'Cài đặt'!$B$18+S53*'Cài đặt'!$B$19),0))</f>
        <v/>
      </c>
      <c r="V53" s="31" t="str">
        <f>IF($B53="","",IF('Cài đặt'!$B$21="Toàn bộ",U53,ROUND(O53*(P53*('Cài đặt'!$B$16-1)+Q53*('Cài đặt'!$B$17-1)+R53*('Cài đặt'!$B$18-1)+S53*'Cài đặt'!$B$19),0)))</f>
        <v/>
      </c>
      <c r="W53" s="31" t="str">
        <f>IF($B53="","",'Nhân viên'!K43)</f>
        <v/>
      </c>
      <c r="X53" s="66"/>
      <c r="Y53" s="31" t="str">
        <f>IF($B53="","",ROUND(X53*'Cài đặt'!$B$22,0))</f>
        <v/>
      </c>
      <c r="Z53" s="66"/>
      <c r="AA53" s="31" t="str">
        <f>IF($B53="","",ROUND(Z53*'Cài đặt'!$B$23,0))</f>
        <v/>
      </c>
      <c r="AB53" s="31" t="str">
        <f>IF($B53="","",ROUND(K53*'Cài đặt'!$B$24,0))</f>
        <v/>
      </c>
      <c r="AC53" s="31" t="str">
        <f>IF($B53="","",MIN(AB53,'Cài đặt'!$B$25))</f>
        <v/>
      </c>
      <c r="AD53" s="21"/>
      <c r="AE53" s="21"/>
      <c r="AF53" s="21"/>
      <c r="AG53" s="16"/>
      <c r="AH53" s="14"/>
      <c r="AI53" s="31" t="str">
        <f t="shared" si="6"/>
        <v/>
      </c>
      <c r="AJ53" s="31" t="str">
        <f>IF($B53="","",ROUND(MIN('Nhân viên'!N43,'Cài đặt'!$B$10)*'Cài đặt'!$B$5,0))</f>
        <v/>
      </c>
      <c r="AK53" s="31" t="str">
        <f>IF($B53="","",ROUND(MIN('Nhân viên'!N43,'Cài đặt'!$B$10)*'Cài đặt'!$B$6,0))</f>
        <v/>
      </c>
      <c r="AL53" s="31" t="str">
        <f>IF($B53="","",ROUND(MIN('Nhân viên'!N43,'Cài đặt'!$B$12)*'Cài đặt'!$B$7,0))</f>
        <v/>
      </c>
      <c r="AM53" s="31" t="str">
        <f>IF($B53="","",'Cài đặt'!$B$13+'Nhân viên'!H43*'Cài đặt'!$B$14)</f>
        <v/>
      </c>
      <c r="AN53" s="31" t="str">
        <f t="shared" si="7"/>
        <v/>
      </c>
      <c r="AO53" s="31" t="str">
        <f>IF($B53="","",ROUND(SUMPRODUCT((AN53&gt;'Cài đặt'!$B$29:$B$33)*(AN53-'Cài đặt'!$B$29:$B$33)*'Cài đặt'!$E$29:$E$33),0))</f>
        <v/>
      </c>
      <c r="AP53" s="21"/>
      <c r="AQ53" s="21"/>
      <c r="AR53" s="31" t="str">
        <f t="shared" si="8"/>
        <v/>
      </c>
      <c r="AS53" s="67" t="str">
        <f t="shared" si="9"/>
        <v/>
      </c>
      <c r="AT53" s="14"/>
      <c r="AU53" s="68"/>
      <c r="AV53" s="14"/>
      <c r="AW53" s="16"/>
    </row>
    <row r="54" ht="21.75" customHeight="1">
      <c r="A54" s="48" t="str">
        <f t="shared" si="1"/>
        <v/>
      </c>
      <c r="B54" s="48" t="str">
        <f>IF('Nhân viên'!A44="","",'Nhân viên'!A44)</f>
        <v/>
      </c>
      <c r="C54" s="17" t="str">
        <f>IF($B54="","",'Nhân viên'!B44)</f>
        <v/>
      </c>
      <c r="D54" s="17" t="str">
        <f>IF($B54="","",'Nhân viên'!C44)</f>
        <v/>
      </c>
      <c r="E54" s="17" t="str">
        <f>IF($B54="","",'Nhân viên'!D44)</f>
        <v/>
      </c>
      <c r="F54" s="17" t="str">
        <f>IF($B54="","",'Nhân viên'!E44)</f>
        <v/>
      </c>
      <c r="G54" s="69" t="str">
        <f>IF(OR($B54="",'Nhân viên'!F44=""),"",'Nhân viên'!F44)</f>
        <v/>
      </c>
      <c r="H54" s="25" t="str">
        <f>IF($B54="","",'Nhân viên'!I44)</f>
        <v/>
      </c>
      <c r="I54" s="25" t="str">
        <f>IF($B54="","",'Nhân viên'!J44)</f>
        <v/>
      </c>
      <c r="J54" s="70" t="str">
        <f t="shared" si="2"/>
        <v/>
      </c>
      <c r="K54" s="71"/>
      <c r="L54" s="25" t="str">
        <f t="shared" si="3"/>
        <v/>
      </c>
      <c r="M54" s="22"/>
      <c r="N54" s="25" t="str">
        <f t="shared" si="4"/>
        <v/>
      </c>
      <c r="O54" s="25" t="str">
        <f>IF($B54="","",IF(OR(J54=0,'Cài đặt'!$B$15=0),0,ROUND((H54+I54)/(J54*'Cài đặt'!$B$15),0)))</f>
        <v/>
      </c>
      <c r="P54" s="71"/>
      <c r="Q54" s="71"/>
      <c r="R54" s="71"/>
      <c r="S54" s="71"/>
      <c r="T54" s="70" t="str">
        <f t="shared" si="5"/>
        <v/>
      </c>
      <c r="U54" s="25" t="str">
        <f>IF($B54="","",ROUND(O54*(P54*'Cài đặt'!$B$16+Q54*'Cài đặt'!$B$17+R54*'Cài đặt'!$B$18+S54*'Cài đặt'!$B$19),0))</f>
        <v/>
      </c>
      <c r="V54" s="25" t="str">
        <f>IF($B54="","",IF('Cài đặt'!$B$21="Toàn bộ",U54,ROUND(O54*(P54*('Cài đặt'!$B$16-1)+Q54*('Cài đặt'!$B$17-1)+R54*('Cài đặt'!$B$18-1)+S54*'Cài đặt'!$B$19),0)))</f>
        <v/>
      </c>
      <c r="W54" s="25" t="str">
        <f>IF($B54="","",'Nhân viên'!K44)</f>
        <v/>
      </c>
      <c r="X54" s="75"/>
      <c r="Y54" s="25" t="str">
        <f>IF($B54="","",ROUND(X54*'Cài đặt'!$B$22,0))</f>
        <v/>
      </c>
      <c r="Z54" s="75"/>
      <c r="AA54" s="25" t="str">
        <f>IF($B54="","",ROUND(Z54*'Cài đặt'!$B$23,0))</f>
        <v/>
      </c>
      <c r="AB54" s="25" t="str">
        <f>IF($B54="","",ROUND(K54*'Cài đặt'!$B$24,0))</f>
        <v/>
      </c>
      <c r="AC54" s="25" t="str">
        <f>IF($B54="","",MIN(AB54,'Cài đặt'!$B$25))</f>
        <v/>
      </c>
      <c r="AD54" s="22"/>
      <c r="AE54" s="22"/>
      <c r="AF54" s="22"/>
      <c r="AG54" s="33"/>
      <c r="AH54" s="32"/>
      <c r="AI54" s="25" t="str">
        <f t="shared" si="6"/>
        <v/>
      </c>
      <c r="AJ54" s="25" t="str">
        <f>IF($B54="","",ROUND(MIN('Nhân viên'!N44,'Cài đặt'!$B$10)*'Cài đặt'!$B$5,0))</f>
        <v/>
      </c>
      <c r="AK54" s="25" t="str">
        <f>IF($B54="","",ROUND(MIN('Nhân viên'!N44,'Cài đặt'!$B$10)*'Cài đặt'!$B$6,0))</f>
        <v/>
      </c>
      <c r="AL54" s="25" t="str">
        <f>IF($B54="","",ROUND(MIN('Nhân viên'!N44,'Cài đặt'!$B$12)*'Cài đặt'!$B$7,0))</f>
        <v/>
      </c>
      <c r="AM54" s="25" t="str">
        <f>IF($B54="","",'Cài đặt'!$B$13+'Nhân viên'!H44*'Cài đặt'!$B$14)</f>
        <v/>
      </c>
      <c r="AN54" s="25" t="str">
        <f t="shared" si="7"/>
        <v/>
      </c>
      <c r="AO54" s="25" t="str">
        <f>IF($B54="","",ROUND(SUMPRODUCT((AN54&gt;'Cài đặt'!$B$29:$B$33)*(AN54-'Cài đặt'!$B$29:$B$33)*'Cài đặt'!$E$29:$E$33),0))</f>
        <v/>
      </c>
      <c r="AP54" s="22"/>
      <c r="AQ54" s="22"/>
      <c r="AR54" s="25" t="str">
        <f t="shared" si="8"/>
        <v/>
      </c>
      <c r="AS54" s="67" t="str">
        <f t="shared" si="9"/>
        <v/>
      </c>
      <c r="AT54" s="32"/>
      <c r="AU54" s="76"/>
      <c r="AV54" s="32"/>
      <c r="AW54" s="33"/>
    </row>
    <row r="55" ht="27.75" customHeight="1">
      <c r="A55" s="77" t="s">
        <v>205</v>
      </c>
      <c r="B55" s="10"/>
      <c r="C55" s="10"/>
      <c r="D55" s="10"/>
      <c r="E55" s="10"/>
      <c r="F55" s="10"/>
      <c r="G55" s="11"/>
      <c r="H55" s="78"/>
      <c r="I55" s="78"/>
      <c r="J55" s="78"/>
      <c r="K55" s="78"/>
      <c r="L55" s="73">
        <f t="shared" ref="L55:N55" si="10">SUM(L15:L54)</f>
        <v>137300001</v>
      </c>
      <c r="M55" s="73">
        <f t="shared" si="10"/>
        <v>0</v>
      </c>
      <c r="N55" s="73">
        <f t="shared" si="10"/>
        <v>137300001</v>
      </c>
      <c r="O55" s="78"/>
      <c r="P55" s="74">
        <f t="shared" ref="P55:W55" si="11">SUM(P15:P54)</f>
        <v>76</v>
      </c>
      <c r="Q55" s="74">
        <f t="shared" si="11"/>
        <v>24</v>
      </c>
      <c r="R55" s="74">
        <f t="shared" si="11"/>
        <v>8</v>
      </c>
      <c r="S55" s="74">
        <f t="shared" si="11"/>
        <v>96</v>
      </c>
      <c r="T55" s="74">
        <f t="shared" si="11"/>
        <v>108</v>
      </c>
      <c r="U55" s="73">
        <f t="shared" si="11"/>
        <v>17409420</v>
      </c>
      <c r="V55" s="73">
        <f t="shared" si="11"/>
        <v>8080576</v>
      </c>
      <c r="W55" s="73">
        <f t="shared" si="11"/>
        <v>6700000</v>
      </c>
      <c r="X55" s="78"/>
      <c r="Y55" s="73">
        <f>SUM(Y15:Y54)</f>
        <v>3300000</v>
      </c>
      <c r="Z55" s="78"/>
      <c r="AA55" s="73">
        <f t="shared" ref="AA55:AF55" si="12">SUM(AA15:AA54)</f>
        <v>3150000</v>
      </c>
      <c r="AB55" s="73">
        <f t="shared" si="12"/>
        <v>7035000</v>
      </c>
      <c r="AC55" s="73">
        <f t="shared" si="12"/>
        <v>5840000</v>
      </c>
      <c r="AD55" s="73">
        <f t="shared" si="12"/>
        <v>1200000</v>
      </c>
      <c r="AE55" s="73">
        <f t="shared" si="12"/>
        <v>9000000</v>
      </c>
      <c r="AF55" s="73">
        <f t="shared" si="12"/>
        <v>1500000</v>
      </c>
      <c r="AG55" s="78"/>
      <c r="AH55" s="78"/>
      <c r="AI55" s="73">
        <f t="shared" ref="AI55:AL55" si="13">SUM(AI15:AI54)</f>
        <v>183594421</v>
      </c>
      <c r="AJ55" s="73">
        <f t="shared" si="13"/>
        <v>11080000</v>
      </c>
      <c r="AK55" s="73">
        <f t="shared" si="13"/>
        <v>2077500</v>
      </c>
      <c r="AL55" s="73">
        <f t="shared" si="13"/>
        <v>1385000</v>
      </c>
      <c r="AM55" s="78"/>
      <c r="AN55" s="73">
        <f t="shared" ref="AN55:AS55" si="14">SUM(AN15:AN54)</f>
        <v>23248804</v>
      </c>
      <c r="AO55" s="73">
        <f t="shared" si="14"/>
        <v>1267066</v>
      </c>
      <c r="AP55" s="73">
        <f t="shared" si="14"/>
        <v>2000000</v>
      </c>
      <c r="AQ55" s="73">
        <f t="shared" si="14"/>
        <v>300000</v>
      </c>
      <c r="AR55" s="73">
        <f t="shared" si="14"/>
        <v>18109566</v>
      </c>
      <c r="AS55" s="73">
        <f t="shared" si="14"/>
        <v>165484855</v>
      </c>
      <c r="AT55" s="78"/>
      <c r="AU55" s="78"/>
      <c r="AV55" s="78"/>
      <c r="AW55" s="78"/>
    </row>
    <row r="56" ht="15.75" customHeight="1"/>
    <row r="57" ht="15.75" customHeight="1">
      <c r="A57" s="41" t="s">
        <v>219</v>
      </c>
    </row>
    <row r="58" ht="15.75" customHeight="1">
      <c r="A58" s="26" t="s">
        <v>220</v>
      </c>
      <c r="E58" s="79"/>
      <c r="F58" s="11"/>
    </row>
    <row r="59" ht="15.75" customHeight="1">
      <c r="A59" s="26" t="s">
        <v>221</v>
      </c>
      <c r="E59" s="80">
        <f>E9</f>
        <v>89988405</v>
      </c>
      <c r="F59" s="11"/>
    </row>
    <row r="60" ht="15.75" customHeight="1">
      <c r="A60" s="26" t="s">
        <v>222</v>
      </c>
      <c r="E60" s="80" t="str">
        <f>IF(E58="","Chưa nhập chứng từ",E59-E58)</f>
        <v>Chưa nhập chứng từ</v>
      </c>
      <c r="F60" s="11"/>
      <c r="G60" s="53" t="str">
        <f>IF(E58="","",IF(E59=E58,"Khớp","Lệch – cần đối chiếu"))</f>
        <v/>
      </c>
    </row>
    <row r="61" ht="15.75" customHeight="1"/>
    <row r="62" ht="15.75" customHeight="1">
      <c r="B62" s="81" t="s">
        <v>223</v>
      </c>
      <c r="H62" s="81" t="s">
        <v>224</v>
      </c>
      <c r="N62" s="81" t="s">
        <v>225</v>
      </c>
    </row>
    <row r="63" ht="15.75" customHeight="1">
      <c r="B63" s="82" t="s">
        <v>226</v>
      </c>
      <c r="H63" s="82" t="s">
        <v>226</v>
      </c>
      <c r="N63" s="82" t="s">
        <v>226</v>
      </c>
    </row>
    <row r="64" ht="21.75" customHeight="1"/>
    <row r="65" ht="21.75" customHeight="1"/>
    <row r="66" ht="21.75" customHeight="1"/>
    <row r="67" ht="15.75" customHeight="1">
      <c r="B67" s="83" t="s">
        <v>227</v>
      </c>
      <c r="C67" s="2"/>
      <c r="D67" s="3"/>
      <c r="H67" s="83" t="s">
        <v>228</v>
      </c>
      <c r="I67" s="2"/>
      <c r="J67" s="2"/>
      <c r="K67" s="3"/>
      <c r="N67" s="83" t="s">
        <v>229</v>
      </c>
      <c r="O67" s="2"/>
      <c r="P67" s="2"/>
      <c r="Q67" s="2"/>
      <c r="R67" s="3"/>
    </row>
    <row r="68" ht="15.75" customHeight="1">
      <c r="B68" s="84">
        <v>46323.0</v>
      </c>
      <c r="H68" s="84">
        <v>46323.0</v>
      </c>
      <c r="N68" s="84">
        <v>46323.0</v>
      </c>
    </row>
    <row r="69" ht="15.75" customHeight="1"/>
    <row r="70" ht="15.75" customHeight="1">
      <c r="A70" s="41" t="s">
        <v>230</v>
      </c>
    </row>
    <row r="71" ht="27.75" customHeight="1">
      <c r="A71" s="85" t="s">
        <v>231</v>
      </c>
    </row>
    <row r="72" ht="27.75" customHeight="1">
      <c r="A72" s="85" t="s">
        <v>232</v>
      </c>
    </row>
    <row r="73" ht="27.75" customHeight="1">
      <c r="A73" s="85" t="s">
        <v>233</v>
      </c>
    </row>
    <row r="74" ht="27.75" customHeight="1">
      <c r="A74" s="85" t="s">
        <v>234</v>
      </c>
    </row>
    <row r="75" ht="27.75" customHeight="1">
      <c r="A75" s="85" t="s">
        <v>235</v>
      </c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6">
    <mergeCell ref="A60:D60"/>
    <mergeCell ref="B62:D62"/>
    <mergeCell ref="H62:K62"/>
    <mergeCell ref="N62:R62"/>
    <mergeCell ref="B63:D63"/>
    <mergeCell ref="H63:K63"/>
    <mergeCell ref="N63:R63"/>
    <mergeCell ref="A55:G55"/>
    <mergeCell ref="A58:D58"/>
    <mergeCell ref="E58:F58"/>
    <mergeCell ref="A59:D59"/>
    <mergeCell ref="E59:F59"/>
    <mergeCell ref="E60:F60"/>
    <mergeCell ref="G60:I60"/>
    <mergeCell ref="A72:R72"/>
    <mergeCell ref="A73:R73"/>
    <mergeCell ref="A74:R74"/>
    <mergeCell ref="A75:R75"/>
    <mergeCell ref="B67:D67"/>
    <mergeCell ref="H67:K67"/>
    <mergeCell ref="N67:R67"/>
    <mergeCell ref="B68:D68"/>
    <mergeCell ref="H68:K68"/>
    <mergeCell ref="N68:R68"/>
    <mergeCell ref="A71:R71"/>
    <mergeCell ref="A2:AW2"/>
    <mergeCell ref="C4:D4"/>
    <mergeCell ref="E4:G4"/>
    <mergeCell ref="H4:K4"/>
    <mergeCell ref="L4:N4"/>
    <mergeCell ref="O4:R4"/>
    <mergeCell ref="D1:V1"/>
    <mergeCell ref="A4:B4"/>
    <mergeCell ref="A5:B5"/>
    <mergeCell ref="C5:D5"/>
    <mergeCell ref="E5:G6"/>
    <mergeCell ref="H5:K6"/>
    <mergeCell ref="L5:N6"/>
    <mergeCell ref="O5:R6"/>
    <mergeCell ref="H8:K8"/>
    <mergeCell ref="L8:N8"/>
    <mergeCell ref="O8:R8"/>
    <mergeCell ref="A9:B9"/>
    <mergeCell ref="C9:D9"/>
    <mergeCell ref="E9:G10"/>
    <mergeCell ref="H9:K10"/>
    <mergeCell ref="L9:N10"/>
    <mergeCell ref="O9:R10"/>
    <mergeCell ref="C10:D10"/>
    <mergeCell ref="AE13:AI13"/>
    <mergeCell ref="AJ13:AS13"/>
    <mergeCell ref="AT13:AW13"/>
    <mergeCell ref="A10:B10"/>
    <mergeCell ref="A11:B11"/>
    <mergeCell ref="C11:D11"/>
    <mergeCell ref="A13:G13"/>
    <mergeCell ref="H13:N13"/>
    <mergeCell ref="O13:V13"/>
    <mergeCell ref="W13:AD13"/>
    <mergeCell ref="A6:B6"/>
    <mergeCell ref="C6:D6"/>
    <mergeCell ref="A7:B7"/>
    <mergeCell ref="C7:D7"/>
    <mergeCell ref="A8:B8"/>
    <mergeCell ref="C8:D8"/>
    <mergeCell ref="E8:G8"/>
  </mergeCells>
  <conditionalFormatting sqref="G60">
    <cfRule type="expression" dxfId="0" priority="1">
      <formula>G60="Lệch – cần đối chiếu"</formula>
    </cfRule>
  </conditionalFormatting>
  <conditionalFormatting sqref="AT15:AT54">
    <cfRule type="cellIs" dxfId="1" priority="2" operator="equal">
      <formula>"Đã thanh toán"</formula>
    </cfRule>
  </conditionalFormatting>
  <conditionalFormatting sqref="AT15:AT54">
    <cfRule type="cellIs" dxfId="2" priority="3" operator="equal">
      <formula>"Chưa thanh toán"</formula>
    </cfRule>
  </conditionalFormatting>
  <conditionalFormatting sqref="AH15:AH54">
    <cfRule type="cellIs" dxfId="3" priority="4" operator="equal">
      <formula>"Chờ xác nhận"</formula>
    </cfRule>
  </conditionalFormatting>
  <conditionalFormatting sqref="AS15:AS54">
    <cfRule type="cellIs" dxfId="0" priority="5" operator="lessThan">
      <formula>0</formula>
    </cfRule>
  </conditionalFormatting>
  <dataValidations>
    <dataValidation type="list" allowBlank="1" sqref="AH15:AH54">
      <formula1>"Đã xác nhận,Chờ xác nhận"</formula1>
    </dataValidation>
    <dataValidation type="list" allowBlank="1" sqref="AT15:AT54">
      <formula1>"Chưa thanh toán,Đã thanh toán"</formula1>
    </dataValidation>
    <dataValidation type="decimal" allowBlank="1" sqref="K15:K54">
      <formula1>0.0</formula1>
      <formula2>31.0</formula2>
    </dataValidation>
    <dataValidation type="decimal" operator="greaterThanOrEqual" allowBlank="1" sqref="P15:S54 X15:X54 Z15:Z54">
      <formula1>0.0</formula1>
    </dataValidation>
  </dataValidations>
  <printOptions/>
  <pageMargins bottom="1.0" footer="0.0" header="0.0" left="0.75" right="0.75" top="1.0"/>
  <pageSetup fitToHeight="0"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F3F46"/>
    <pageSetUpPr/>
  </sheetPr>
  <sheetViews>
    <sheetView showGridLines="0" workbookViewId="0"/>
  </sheetViews>
  <sheetFormatPr customHeight="1" defaultColWidth="14.43" defaultRowHeight="15.0"/>
  <cols>
    <col customWidth="1" min="1" max="1" width="24.0"/>
    <col customWidth="1" min="2" max="3" width="12.0"/>
    <col customWidth="1" min="4" max="4" width="20.0"/>
    <col customWidth="1" min="5" max="9" width="18.0"/>
    <col customWidth="1" min="10" max="26" width="8.71"/>
  </cols>
  <sheetData>
    <row r="1" ht="42.0" customHeight="1">
      <c r="A1" s="1" t="s">
        <v>145</v>
      </c>
      <c r="B1" s="2"/>
      <c r="C1" s="2"/>
      <c r="D1" s="2"/>
      <c r="E1" s="2"/>
      <c r="F1" s="2"/>
      <c r="G1" s="2"/>
      <c r="H1" s="2"/>
      <c r="I1" s="3"/>
    </row>
    <row r="2" ht="19.5" customHeight="1">
      <c r="A2" s="5" t="s">
        <v>150</v>
      </c>
    </row>
    <row r="3">
      <c r="A3" s="53" t="str">
        <f>"Tháng "&amp;TEXT('Bảng lương KT'!$C$6,"mm/yyyy")&amp;"  |  "&amp;'Bảng lương KT'!$C$4&amp;" – "&amp;'Bảng lương KT'!$C$5</f>
        <v>Tháng 10/2026  |  Công ty TNHH ABC – Phòng Kỹ thuật – Trụ sở chính</v>
      </c>
    </row>
    <row r="5" ht="39.75" customHeight="1">
      <c r="A5" s="6" t="s">
        <v>12</v>
      </c>
      <c r="B5" s="6" t="s">
        <v>52</v>
      </c>
      <c r="C5" s="6" t="s">
        <v>154</v>
      </c>
      <c r="D5" s="6" t="s">
        <v>155</v>
      </c>
      <c r="E5" s="6" t="s">
        <v>55</v>
      </c>
      <c r="F5" s="6" t="s">
        <v>58</v>
      </c>
      <c r="G5" s="6" t="s">
        <v>156</v>
      </c>
      <c r="H5" s="6" t="s">
        <v>137</v>
      </c>
      <c r="I5" s="6" t="s">
        <v>140</v>
      </c>
    </row>
    <row r="6" ht="21.75" customHeight="1">
      <c r="A6" s="12" t="str">
        <f>'Cài đặt'!A37</f>
        <v>Hạ tầng – Mạng</v>
      </c>
      <c r="B6" s="31">
        <f>COUNTIF('Bảng lương KT'!$E$15:$E$54,A6)</f>
        <v>2</v>
      </c>
      <c r="C6" s="57">
        <f>SUMIF('Bảng lương KT'!$E$15:$E$54,A6,'Bảng lương KT'!$T$15:$T$54)</f>
        <v>18</v>
      </c>
      <c r="D6" s="31">
        <f>SUMIF('Bảng lương KT'!$E$15:$E$54,A6,'Bảng lương KT'!$U$15:$U$54)</f>
        <v>3028842</v>
      </c>
      <c r="E6" s="31">
        <f>SUMIF('Bảng lương KT'!$E$15:$E$54,A6,'Bảng lương KT'!$AI$15:$AI$54)</f>
        <v>61294227</v>
      </c>
      <c r="F6" s="31">
        <f>SUMIF('Bảng lương KT'!$E$15:$E$54,A6,'Bảng lương KT'!$AR$15:$AR$54)</f>
        <v>6217431</v>
      </c>
      <c r="G6" s="31">
        <f>SUMIF('Bảng lương KT'!$E$15:$E$54,A6,'Bảng lương KT'!$AS$15:$AS$54)</f>
        <v>55076796</v>
      </c>
      <c r="H6" s="31">
        <f>SUMIFS('Bảng lương KT'!$AS$15:$AS$54,'Bảng lương KT'!$E$15:$E$54,A6,'Bảng lương KT'!$AT$15:$AT$54,"Đã thanh toán")</f>
        <v>34897119</v>
      </c>
      <c r="I6" s="31">
        <f t="shared" ref="I6:I11" si="1">G6-H6</f>
        <v>20179677</v>
      </c>
    </row>
    <row r="7" ht="21.75" customHeight="1">
      <c r="A7" s="17" t="str">
        <f>'Cài đặt'!A38</f>
        <v>Phần mềm</v>
      </c>
      <c r="B7" s="25">
        <f>COUNTIF('Bảng lương KT'!$E$15:$E$54,A7)</f>
        <v>2</v>
      </c>
      <c r="C7" s="62">
        <f>SUMIF('Bảng lương KT'!$E$15:$E$54,A7,'Bảng lương KT'!$T$15:$T$54)</f>
        <v>34</v>
      </c>
      <c r="D7" s="25">
        <f>SUMIF('Bảng lương KT'!$E$15:$E$54,A7,'Bảng lương KT'!$U$15:$U$54)</f>
        <v>6370190</v>
      </c>
      <c r="E7" s="25">
        <f>SUMIF('Bảng lương KT'!$E$15:$E$54,A7,'Bảng lương KT'!$AI$15:$AI$54)</f>
        <v>60924421</v>
      </c>
      <c r="F7" s="25">
        <f>SUMIF('Bảng lương KT'!$E$15:$E$54,A7,'Bảng lương KT'!$AR$15:$AR$54)</f>
        <v>5833135</v>
      </c>
      <c r="G7" s="25">
        <f>SUMIF('Bảng lương KT'!$E$15:$E$54,A7,'Bảng lương KT'!$AS$15:$AS$54)</f>
        <v>55091286</v>
      </c>
      <c r="H7" s="25">
        <f>SUMIFS('Bảng lương KT'!$AS$15:$AS$54,'Bảng lương KT'!$E$15:$E$54,A7,'Bảng lương KT'!$AT$15:$AT$54,"Đã thanh toán")</f>
        <v>55091286</v>
      </c>
      <c r="I7" s="25">
        <f t="shared" si="1"/>
        <v>0</v>
      </c>
    </row>
    <row r="8" ht="21.75" customHeight="1">
      <c r="A8" s="12" t="str">
        <f>'Cài đặt'!A39</f>
        <v>Vận hành – Bảo trì</v>
      </c>
      <c r="B8" s="31">
        <f>COUNTIF('Bảng lương KT'!$E$15:$E$54,A8)</f>
        <v>2</v>
      </c>
      <c r="C8" s="57">
        <f>SUMIF('Bảng lương KT'!$E$15:$E$54,A8,'Bảng lương KT'!$T$15:$T$54)</f>
        <v>44</v>
      </c>
      <c r="D8" s="31">
        <f>SUMIF('Bảng lương KT'!$E$15:$E$54,A8,'Bảng lương KT'!$U$15:$U$54)</f>
        <v>6632691</v>
      </c>
      <c r="E8" s="31">
        <f>SUMIF('Bảng lương KT'!$E$15:$E$54,A8,'Bảng lương KT'!$AI$15:$AI$54)</f>
        <v>31378076</v>
      </c>
      <c r="F8" s="31">
        <f>SUMIF('Bảng lương KT'!$E$15:$E$54,A8,'Bảng lương KT'!$AR$15:$AR$54)</f>
        <v>1717500</v>
      </c>
      <c r="G8" s="31">
        <f>SUMIF('Bảng lương KT'!$E$15:$E$54,A8,'Bảng lương KT'!$AS$15:$AS$54)</f>
        <v>29660576</v>
      </c>
      <c r="H8" s="31">
        <f>SUMIFS('Bảng lương KT'!$AS$15:$AS$54,'Bảng lương KT'!$E$15:$E$54,A8,'Bảng lương KT'!$AT$15:$AT$54,"Đã thanh toán")</f>
        <v>0</v>
      </c>
      <c r="I8" s="31">
        <f t="shared" si="1"/>
        <v>29660576</v>
      </c>
    </row>
    <row r="9" ht="21.75" customHeight="1">
      <c r="A9" s="17" t="str">
        <f>'Cài đặt'!A40</f>
        <v>Điện – Tự động hóa</v>
      </c>
      <c r="B9" s="25">
        <f>COUNTIF('Bảng lương KT'!$E$15:$E$54,A9)</f>
        <v>1</v>
      </c>
      <c r="C9" s="62">
        <f>SUMIF('Bảng lương KT'!$E$15:$E$54,A9,'Bảng lương KT'!$T$15:$T$54)</f>
        <v>8</v>
      </c>
      <c r="D9" s="25">
        <f>SUMIF('Bảng lương KT'!$E$15:$E$54,A9,'Bảng lương KT'!$U$15:$U$54)</f>
        <v>1089235</v>
      </c>
      <c r="E9" s="25">
        <f>SUMIF('Bảng lương KT'!$E$15:$E$54,A9,'Bảng lương KT'!$AI$15:$AI$54)</f>
        <v>18199235</v>
      </c>
      <c r="F9" s="25">
        <f>SUMIF('Bảng lương KT'!$E$15:$E$54,A9,'Bảng lương KT'!$AR$15:$AR$54)</f>
        <v>1291500</v>
      </c>
      <c r="G9" s="25">
        <f>SUMIF('Bảng lương KT'!$E$15:$E$54,A9,'Bảng lương KT'!$AS$15:$AS$54)</f>
        <v>16907735</v>
      </c>
      <c r="H9" s="25">
        <f>SUMIFS('Bảng lương KT'!$AS$15:$AS$54,'Bảng lương KT'!$E$15:$E$54,A9,'Bảng lương KT'!$AT$15:$AT$54,"Đã thanh toán")</f>
        <v>0</v>
      </c>
      <c r="I9" s="25">
        <f t="shared" si="1"/>
        <v>16907735</v>
      </c>
    </row>
    <row r="10" ht="21.75" customHeight="1">
      <c r="A10" s="12" t="str">
        <f>'Cài đặt'!A41</f>
        <v>Hỗ trợ kỹ thuật</v>
      </c>
      <c r="B10" s="31">
        <f>COUNTIF('Bảng lương KT'!$E$15:$E$54,A10)</f>
        <v>1</v>
      </c>
      <c r="C10" s="57">
        <f>SUMIF('Bảng lương KT'!$E$15:$E$54,A10,'Bảng lương KT'!$T$15:$T$54)</f>
        <v>4</v>
      </c>
      <c r="D10" s="31">
        <f>SUMIF('Bảng lương KT'!$E$15:$E$54,A10,'Bảng lương KT'!$U$15:$U$54)</f>
        <v>288462</v>
      </c>
      <c r="E10" s="31">
        <f>SUMIF('Bảng lương KT'!$E$15:$E$54,A10,'Bảng lương KT'!$AI$15:$AI$54)</f>
        <v>11798462</v>
      </c>
      <c r="F10" s="31">
        <f>SUMIF('Bảng lương KT'!$E$15:$E$54,A10,'Bảng lương KT'!$AR$15:$AR$54)</f>
        <v>3050000</v>
      </c>
      <c r="G10" s="31">
        <f>SUMIF('Bảng lương KT'!$E$15:$E$54,A10,'Bảng lương KT'!$AS$15:$AS$54)</f>
        <v>8748462</v>
      </c>
      <c r="H10" s="31">
        <f>SUMIFS('Bảng lương KT'!$AS$15:$AS$54,'Bảng lương KT'!$E$15:$E$54,A10,'Bảng lương KT'!$AT$15:$AT$54,"Đã thanh toán")</f>
        <v>0</v>
      </c>
      <c r="I10" s="31">
        <f t="shared" si="1"/>
        <v>8748462</v>
      </c>
    </row>
    <row r="11" ht="21.75" customHeight="1">
      <c r="A11" s="17" t="str">
        <f>'Cài đặt'!A42</f>
        <v>Khác</v>
      </c>
      <c r="B11" s="25">
        <f>COUNTIF('Bảng lương KT'!$E$15:$E$54,A11)</f>
        <v>0</v>
      </c>
      <c r="C11" s="62">
        <f>SUMIF('Bảng lương KT'!$E$15:$E$54,A11,'Bảng lương KT'!$T$15:$T$54)</f>
        <v>0</v>
      </c>
      <c r="D11" s="25">
        <f>SUMIF('Bảng lương KT'!$E$15:$E$54,A11,'Bảng lương KT'!$U$15:$U$54)</f>
        <v>0</v>
      </c>
      <c r="E11" s="25">
        <f>SUMIF('Bảng lương KT'!$E$15:$E$54,A11,'Bảng lương KT'!$AI$15:$AI$54)</f>
        <v>0</v>
      </c>
      <c r="F11" s="25">
        <f>SUMIF('Bảng lương KT'!$E$15:$E$54,A11,'Bảng lương KT'!$AR$15:$AR$54)</f>
        <v>0</v>
      </c>
      <c r="G11" s="25">
        <f>SUMIF('Bảng lương KT'!$E$15:$E$54,A11,'Bảng lương KT'!$AS$15:$AS$54)</f>
        <v>0</v>
      </c>
      <c r="H11" s="25">
        <f>SUMIFS('Bảng lương KT'!$AS$15:$AS$54,'Bảng lương KT'!$E$15:$E$54,A11,'Bảng lương KT'!$AT$15:$AT$54,"Đã thanh toán")</f>
        <v>0</v>
      </c>
      <c r="I11" s="25">
        <f t="shared" si="1"/>
        <v>0</v>
      </c>
    </row>
    <row r="12" ht="25.5" customHeight="1">
      <c r="A12" s="72" t="s">
        <v>205</v>
      </c>
      <c r="B12" s="73">
        <f t="shared" ref="B12:I12" si="2">SUM(B6:B11)</f>
        <v>8</v>
      </c>
      <c r="C12" s="74">
        <f t="shared" si="2"/>
        <v>108</v>
      </c>
      <c r="D12" s="73">
        <f t="shared" si="2"/>
        <v>17409420</v>
      </c>
      <c r="E12" s="73">
        <f t="shared" si="2"/>
        <v>183594421</v>
      </c>
      <c r="F12" s="73">
        <f t="shared" si="2"/>
        <v>18109566</v>
      </c>
      <c r="G12" s="73">
        <f t="shared" si="2"/>
        <v>165484855</v>
      </c>
      <c r="H12" s="73">
        <f t="shared" si="2"/>
        <v>89988405</v>
      </c>
      <c r="I12" s="73">
        <f t="shared" si="2"/>
        <v>75496450</v>
      </c>
    </row>
    <row r="13">
      <c r="A13" s="52" t="s">
        <v>206</v>
      </c>
    </row>
    <row r="14">
      <c r="A14" s="26" t="s">
        <v>207</v>
      </c>
      <c r="D14" s="53" t="str">
        <f>IF(G12='Bảng lương KT'!AS55,"Khớp","Lệch – kiểm tra tổ/nhóm của nhân viên")</f>
        <v>Khớp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I1"/>
    <mergeCell ref="A2:I2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0"/>
    <col customWidth="1" min="2" max="2" width="24.0"/>
    <col customWidth="1" min="3" max="3" width="28.0"/>
    <col customWidth="1" min="4" max="4" width="20.0"/>
    <col customWidth="1" min="5" max="5" width="16.0"/>
    <col customWidth="1" min="6" max="6" width="18.0"/>
    <col customWidth="1" min="7" max="7" width="14.0"/>
    <col customWidth="1" min="8" max="8" width="11.0"/>
    <col customWidth="1" min="9" max="9" width="17.0"/>
    <col customWidth="1" min="10" max="10" width="16.0"/>
    <col customWidth="1" min="11" max="11" width="17.0"/>
    <col customWidth="1" min="12" max="12" width="13.0"/>
    <col customWidth="1" min="13" max="14" width="17.0"/>
    <col customWidth="1" min="15" max="26" width="8.71"/>
  </cols>
  <sheetData>
    <row r="1" ht="42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9.5" customHeight="1">
      <c r="A2" s="5" t="s">
        <v>3</v>
      </c>
    </row>
    <row r="3">
      <c r="A3" s="8" t="s">
        <v>6</v>
      </c>
    </row>
    <row r="4" ht="51.7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16</v>
      </c>
      <c r="H4" s="6" t="s">
        <v>17</v>
      </c>
      <c r="I4" s="6" t="s">
        <v>18</v>
      </c>
      <c r="J4" s="6" t="s">
        <v>19</v>
      </c>
      <c r="K4" s="6" t="s">
        <v>20</v>
      </c>
      <c r="L4" s="6" t="s">
        <v>21</v>
      </c>
      <c r="M4" s="6" t="s">
        <v>22</v>
      </c>
      <c r="N4" s="6" t="s">
        <v>23</v>
      </c>
    </row>
    <row r="5" ht="21.75" customHeight="1">
      <c r="A5" s="14" t="s">
        <v>25</v>
      </c>
      <c r="B5" s="16" t="s">
        <v>26</v>
      </c>
      <c r="C5" s="16" t="s">
        <v>27</v>
      </c>
      <c r="D5" s="16" t="s">
        <v>30</v>
      </c>
      <c r="E5" s="16" t="s">
        <v>31</v>
      </c>
      <c r="F5" s="20" t="s">
        <v>32</v>
      </c>
      <c r="G5" s="20" t="s">
        <v>34</v>
      </c>
      <c r="H5" s="14">
        <v>2.0</v>
      </c>
      <c r="I5" s="21">
        <v>3.0E7</v>
      </c>
      <c r="J5" s="21">
        <v>4000000.0</v>
      </c>
      <c r="K5" s="21">
        <v>2000000.0</v>
      </c>
      <c r="L5" s="14" t="s">
        <v>38</v>
      </c>
      <c r="M5" s="21"/>
      <c r="N5" s="31">
        <f t="shared" ref="N5:N44" si="1">IF(A5="","",IF(L5="Không",0,IF(M5&lt;&gt;"",M5,I5+J5+K5)))</f>
        <v>36000000</v>
      </c>
    </row>
    <row r="6" ht="21.75" customHeight="1">
      <c r="A6" s="32" t="s">
        <v>64</v>
      </c>
      <c r="B6" s="33" t="s">
        <v>68</v>
      </c>
      <c r="C6" s="33" t="s">
        <v>70</v>
      </c>
      <c r="D6" s="33" t="s">
        <v>71</v>
      </c>
      <c r="E6" s="33" t="s">
        <v>73</v>
      </c>
      <c r="F6" s="35" t="s">
        <v>74</v>
      </c>
      <c r="G6" s="35" t="s">
        <v>76</v>
      </c>
      <c r="H6" s="32">
        <v>1.0</v>
      </c>
      <c r="I6" s="22">
        <v>2.4E7</v>
      </c>
      <c r="J6" s="22">
        <v>2000000.0</v>
      </c>
      <c r="K6" s="22">
        <v>1500000.0</v>
      </c>
      <c r="L6" s="32" t="s">
        <v>38</v>
      </c>
      <c r="M6" s="22"/>
      <c r="N6" s="25">
        <f t="shared" si="1"/>
        <v>27500000</v>
      </c>
    </row>
    <row r="7" ht="21.75" customHeight="1">
      <c r="A7" s="14" t="s">
        <v>82</v>
      </c>
      <c r="B7" s="16" t="s">
        <v>83</v>
      </c>
      <c r="C7" s="16" t="s">
        <v>84</v>
      </c>
      <c r="D7" s="16" t="s">
        <v>71</v>
      </c>
      <c r="E7" s="16" t="s">
        <v>86</v>
      </c>
      <c r="F7" s="20" t="s">
        <v>87</v>
      </c>
      <c r="G7" s="20" t="s">
        <v>88</v>
      </c>
      <c r="H7" s="14">
        <v>0.0</v>
      </c>
      <c r="I7" s="21">
        <v>1.8E7</v>
      </c>
      <c r="J7" s="21">
        <v>1000000.0</v>
      </c>
      <c r="K7" s="21">
        <v>1000000.0</v>
      </c>
      <c r="L7" s="14" t="s">
        <v>38</v>
      </c>
      <c r="M7" s="21"/>
      <c r="N7" s="31">
        <f t="shared" si="1"/>
        <v>20000000</v>
      </c>
    </row>
    <row r="8" ht="21.75" customHeight="1">
      <c r="A8" s="32" t="s">
        <v>91</v>
      </c>
      <c r="B8" s="33" t="s">
        <v>92</v>
      </c>
      <c r="C8" s="33" t="s">
        <v>94</v>
      </c>
      <c r="D8" s="33" t="s">
        <v>95</v>
      </c>
      <c r="E8" s="33" t="s">
        <v>96</v>
      </c>
      <c r="F8" s="35" t="s">
        <v>97</v>
      </c>
      <c r="G8" s="35" t="s">
        <v>99</v>
      </c>
      <c r="H8" s="32">
        <v>1.0</v>
      </c>
      <c r="I8" s="22">
        <v>1.2E7</v>
      </c>
      <c r="J8" s="22">
        <v>1000000.0</v>
      </c>
      <c r="K8" s="22">
        <v>500000.0</v>
      </c>
      <c r="L8" s="32" t="s">
        <v>38</v>
      </c>
      <c r="M8" s="22"/>
      <c r="N8" s="25">
        <f t="shared" si="1"/>
        <v>13500000</v>
      </c>
    </row>
    <row r="9" ht="21.75" customHeight="1">
      <c r="A9" s="14" t="s">
        <v>106</v>
      </c>
      <c r="B9" s="16" t="s">
        <v>107</v>
      </c>
      <c r="C9" s="16" t="s">
        <v>108</v>
      </c>
      <c r="D9" s="16" t="s">
        <v>110</v>
      </c>
      <c r="E9" s="16" t="s">
        <v>111</v>
      </c>
      <c r="F9" s="20" t="s">
        <v>112</v>
      </c>
      <c r="G9" s="20" t="s">
        <v>113</v>
      </c>
      <c r="H9" s="14">
        <v>2.0</v>
      </c>
      <c r="I9" s="21">
        <v>1.1E7</v>
      </c>
      <c r="J9" s="21">
        <v>800000.0</v>
      </c>
      <c r="K9" s="21">
        <v>500000.0</v>
      </c>
      <c r="L9" s="14" t="s">
        <v>38</v>
      </c>
      <c r="M9" s="21"/>
      <c r="N9" s="31">
        <f t="shared" si="1"/>
        <v>12300000</v>
      </c>
    </row>
    <row r="10" ht="21.75" customHeight="1">
      <c r="A10" s="32" t="s">
        <v>114</v>
      </c>
      <c r="B10" s="33" t="s">
        <v>115</v>
      </c>
      <c r="C10" s="33" t="s">
        <v>116</v>
      </c>
      <c r="D10" s="33" t="s">
        <v>117</v>
      </c>
      <c r="E10" s="33" t="s">
        <v>118</v>
      </c>
      <c r="F10" s="35" t="s">
        <v>119</v>
      </c>
      <c r="G10" s="35" t="s">
        <v>120</v>
      </c>
      <c r="H10" s="32">
        <v>0.0</v>
      </c>
      <c r="I10" s="22">
        <v>9500000.0</v>
      </c>
      <c r="J10" s="22">
        <v>500000.0</v>
      </c>
      <c r="K10" s="22">
        <v>0.0</v>
      </c>
      <c r="L10" s="32" t="s">
        <v>38</v>
      </c>
      <c r="M10" s="22"/>
      <c r="N10" s="25">
        <f t="shared" si="1"/>
        <v>10000000</v>
      </c>
    </row>
    <row r="11" ht="21.75" customHeight="1">
      <c r="A11" s="14" t="s">
        <v>123</v>
      </c>
      <c r="B11" s="16" t="s">
        <v>124</v>
      </c>
      <c r="C11" s="16" t="s">
        <v>125</v>
      </c>
      <c r="D11" s="16" t="s">
        <v>30</v>
      </c>
      <c r="E11" s="16" t="s">
        <v>126</v>
      </c>
      <c r="F11" s="20" t="s">
        <v>127</v>
      </c>
      <c r="G11" s="20" t="s">
        <v>128</v>
      </c>
      <c r="H11" s="14">
        <v>0.0</v>
      </c>
      <c r="I11" s="21">
        <v>1.7E7</v>
      </c>
      <c r="J11" s="21">
        <v>1000000.0</v>
      </c>
      <c r="K11" s="21">
        <v>1200000.0</v>
      </c>
      <c r="L11" s="14" t="s">
        <v>38</v>
      </c>
      <c r="M11" s="21"/>
      <c r="N11" s="31">
        <f t="shared" si="1"/>
        <v>19200000</v>
      </c>
    </row>
    <row r="12" ht="21.75" customHeight="1">
      <c r="A12" s="32" t="s">
        <v>131</v>
      </c>
      <c r="B12" s="33" t="s">
        <v>132</v>
      </c>
      <c r="C12" s="33" t="s">
        <v>133</v>
      </c>
      <c r="D12" s="33" t="s">
        <v>95</v>
      </c>
      <c r="E12" s="33" t="s">
        <v>134</v>
      </c>
      <c r="F12" s="35" t="s">
        <v>135</v>
      </c>
      <c r="G12" s="35"/>
      <c r="H12" s="32">
        <v>0.0</v>
      </c>
      <c r="I12" s="22">
        <v>9000000.0</v>
      </c>
      <c r="J12" s="22">
        <v>0.0</v>
      </c>
      <c r="K12" s="22">
        <v>0.0</v>
      </c>
      <c r="L12" s="32" t="s">
        <v>138</v>
      </c>
      <c r="M12" s="22"/>
      <c r="N12" s="25">
        <f t="shared" si="1"/>
        <v>0</v>
      </c>
    </row>
    <row r="13" ht="21.75" customHeight="1">
      <c r="A13" s="14"/>
      <c r="B13" s="16"/>
      <c r="C13" s="16"/>
      <c r="D13" s="16"/>
      <c r="E13" s="16"/>
      <c r="F13" s="20"/>
      <c r="G13" s="20"/>
      <c r="H13" s="14"/>
      <c r="I13" s="21"/>
      <c r="J13" s="21"/>
      <c r="K13" s="21"/>
      <c r="L13" s="14"/>
      <c r="M13" s="21"/>
      <c r="N13" s="31" t="str">
        <f t="shared" si="1"/>
        <v/>
      </c>
    </row>
    <row r="14" ht="21.75" customHeight="1">
      <c r="A14" s="32"/>
      <c r="B14" s="33"/>
      <c r="C14" s="33"/>
      <c r="D14" s="33"/>
      <c r="E14" s="33"/>
      <c r="F14" s="35"/>
      <c r="G14" s="35"/>
      <c r="H14" s="32"/>
      <c r="I14" s="22"/>
      <c r="J14" s="22"/>
      <c r="K14" s="22"/>
      <c r="L14" s="32"/>
      <c r="M14" s="22"/>
      <c r="N14" s="25" t="str">
        <f t="shared" si="1"/>
        <v/>
      </c>
    </row>
    <row r="15" ht="21.75" customHeight="1">
      <c r="A15" s="14"/>
      <c r="B15" s="16"/>
      <c r="C15" s="16"/>
      <c r="D15" s="16"/>
      <c r="E15" s="16"/>
      <c r="F15" s="20"/>
      <c r="G15" s="20"/>
      <c r="H15" s="14"/>
      <c r="I15" s="21"/>
      <c r="J15" s="21"/>
      <c r="K15" s="21"/>
      <c r="L15" s="14"/>
      <c r="M15" s="21"/>
      <c r="N15" s="31" t="str">
        <f t="shared" si="1"/>
        <v/>
      </c>
    </row>
    <row r="16" ht="21.75" customHeight="1">
      <c r="A16" s="32"/>
      <c r="B16" s="33"/>
      <c r="C16" s="33"/>
      <c r="D16" s="33"/>
      <c r="E16" s="33"/>
      <c r="F16" s="35"/>
      <c r="G16" s="35"/>
      <c r="H16" s="32"/>
      <c r="I16" s="22"/>
      <c r="J16" s="22"/>
      <c r="K16" s="22"/>
      <c r="L16" s="32"/>
      <c r="M16" s="22"/>
      <c r="N16" s="25" t="str">
        <f t="shared" si="1"/>
        <v/>
      </c>
    </row>
    <row r="17" ht="21.75" customHeight="1">
      <c r="A17" s="14"/>
      <c r="B17" s="16"/>
      <c r="C17" s="16"/>
      <c r="D17" s="16"/>
      <c r="E17" s="16"/>
      <c r="F17" s="20"/>
      <c r="G17" s="20"/>
      <c r="H17" s="14"/>
      <c r="I17" s="21"/>
      <c r="J17" s="21"/>
      <c r="K17" s="21"/>
      <c r="L17" s="14"/>
      <c r="M17" s="21"/>
      <c r="N17" s="31" t="str">
        <f t="shared" si="1"/>
        <v/>
      </c>
    </row>
    <row r="18" ht="21.75" customHeight="1">
      <c r="A18" s="32"/>
      <c r="B18" s="33"/>
      <c r="C18" s="33"/>
      <c r="D18" s="33"/>
      <c r="E18" s="33"/>
      <c r="F18" s="35"/>
      <c r="G18" s="35"/>
      <c r="H18" s="32"/>
      <c r="I18" s="22"/>
      <c r="J18" s="22"/>
      <c r="K18" s="22"/>
      <c r="L18" s="32"/>
      <c r="M18" s="22"/>
      <c r="N18" s="25" t="str">
        <f t="shared" si="1"/>
        <v/>
      </c>
    </row>
    <row r="19" ht="21.75" customHeight="1">
      <c r="A19" s="14"/>
      <c r="B19" s="16"/>
      <c r="C19" s="16"/>
      <c r="D19" s="16"/>
      <c r="E19" s="16"/>
      <c r="F19" s="20"/>
      <c r="G19" s="20"/>
      <c r="H19" s="14"/>
      <c r="I19" s="21"/>
      <c r="J19" s="21"/>
      <c r="K19" s="21"/>
      <c r="L19" s="14"/>
      <c r="M19" s="21"/>
      <c r="N19" s="31" t="str">
        <f t="shared" si="1"/>
        <v/>
      </c>
    </row>
    <row r="20" ht="21.75" customHeight="1">
      <c r="A20" s="32"/>
      <c r="B20" s="33"/>
      <c r="C20" s="33"/>
      <c r="D20" s="33"/>
      <c r="E20" s="33"/>
      <c r="F20" s="35"/>
      <c r="G20" s="35"/>
      <c r="H20" s="32"/>
      <c r="I20" s="22"/>
      <c r="J20" s="22"/>
      <c r="K20" s="22"/>
      <c r="L20" s="32"/>
      <c r="M20" s="22"/>
      <c r="N20" s="25" t="str">
        <f t="shared" si="1"/>
        <v/>
      </c>
    </row>
    <row r="21" ht="21.75" customHeight="1">
      <c r="A21" s="14"/>
      <c r="B21" s="16"/>
      <c r="C21" s="16"/>
      <c r="D21" s="16"/>
      <c r="E21" s="16"/>
      <c r="F21" s="20"/>
      <c r="G21" s="20"/>
      <c r="H21" s="14"/>
      <c r="I21" s="21"/>
      <c r="J21" s="21"/>
      <c r="K21" s="21"/>
      <c r="L21" s="14"/>
      <c r="M21" s="21"/>
      <c r="N21" s="31" t="str">
        <f t="shared" si="1"/>
        <v/>
      </c>
    </row>
    <row r="22" ht="21.75" customHeight="1">
      <c r="A22" s="32"/>
      <c r="B22" s="33"/>
      <c r="C22" s="33"/>
      <c r="D22" s="33"/>
      <c r="E22" s="33"/>
      <c r="F22" s="35"/>
      <c r="G22" s="35"/>
      <c r="H22" s="32"/>
      <c r="I22" s="22"/>
      <c r="J22" s="22"/>
      <c r="K22" s="22"/>
      <c r="L22" s="32"/>
      <c r="M22" s="22"/>
      <c r="N22" s="25" t="str">
        <f t="shared" si="1"/>
        <v/>
      </c>
    </row>
    <row r="23" ht="21.75" customHeight="1">
      <c r="A23" s="14"/>
      <c r="B23" s="16"/>
      <c r="C23" s="16"/>
      <c r="D23" s="16"/>
      <c r="E23" s="16"/>
      <c r="F23" s="20"/>
      <c r="G23" s="20"/>
      <c r="H23" s="14"/>
      <c r="I23" s="21"/>
      <c r="J23" s="21"/>
      <c r="K23" s="21"/>
      <c r="L23" s="14"/>
      <c r="M23" s="21"/>
      <c r="N23" s="31" t="str">
        <f t="shared" si="1"/>
        <v/>
      </c>
    </row>
    <row r="24" ht="21.75" customHeight="1">
      <c r="A24" s="32"/>
      <c r="B24" s="33"/>
      <c r="C24" s="33"/>
      <c r="D24" s="33"/>
      <c r="E24" s="33"/>
      <c r="F24" s="35"/>
      <c r="G24" s="35"/>
      <c r="H24" s="32"/>
      <c r="I24" s="22"/>
      <c r="J24" s="22"/>
      <c r="K24" s="22"/>
      <c r="L24" s="32"/>
      <c r="M24" s="22"/>
      <c r="N24" s="25" t="str">
        <f t="shared" si="1"/>
        <v/>
      </c>
    </row>
    <row r="25" ht="21.75" customHeight="1">
      <c r="A25" s="14"/>
      <c r="B25" s="16"/>
      <c r="C25" s="16"/>
      <c r="D25" s="16"/>
      <c r="E25" s="16"/>
      <c r="F25" s="20"/>
      <c r="G25" s="20"/>
      <c r="H25" s="14"/>
      <c r="I25" s="21"/>
      <c r="J25" s="21"/>
      <c r="K25" s="21"/>
      <c r="L25" s="14"/>
      <c r="M25" s="21"/>
      <c r="N25" s="31" t="str">
        <f t="shared" si="1"/>
        <v/>
      </c>
    </row>
    <row r="26" ht="21.75" customHeight="1">
      <c r="A26" s="32"/>
      <c r="B26" s="33"/>
      <c r="C26" s="33"/>
      <c r="D26" s="33"/>
      <c r="E26" s="33"/>
      <c r="F26" s="35"/>
      <c r="G26" s="35"/>
      <c r="H26" s="32"/>
      <c r="I26" s="22"/>
      <c r="J26" s="22"/>
      <c r="K26" s="22"/>
      <c r="L26" s="32"/>
      <c r="M26" s="22"/>
      <c r="N26" s="25" t="str">
        <f t="shared" si="1"/>
        <v/>
      </c>
    </row>
    <row r="27" ht="21.75" customHeight="1">
      <c r="A27" s="14"/>
      <c r="B27" s="16"/>
      <c r="C27" s="16"/>
      <c r="D27" s="16"/>
      <c r="E27" s="16"/>
      <c r="F27" s="20"/>
      <c r="G27" s="20"/>
      <c r="H27" s="14"/>
      <c r="I27" s="21"/>
      <c r="J27" s="21"/>
      <c r="K27" s="21"/>
      <c r="L27" s="14"/>
      <c r="M27" s="21"/>
      <c r="N27" s="31" t="str">
        <f t="shared" si="1"/>
        <v/>
      </c>
    </row>
    <row r="28" ht="21.75" customHeight="1">
      <c r="A28" s="32"/>
      <c r="B28" s="33"/>
      <c r="C28" s="33"/>
      <c r="D28" s="33"/>
      <c r="E28" s="33"/>
      <c r="F28" s="35"/>
      <c r="G28" s="35"/>
      <c r="H28" s="32"/>
      <c r="I28" s="22"/>
      <c r="J28" s="22"/>
      <c r="K28" s="22"/>
      <c r="L28" s="32"/>
      <c r="M28" s="22"/>
      <c r="N28" s="25" t="str">
        <f t="shared" si="1"/>
        <v/>
      </c>
    </row>
    <row r="29" ht="21.75" customHeight="1">
      <c r="A29" s="14"/>
      <c r="B29" s="16"/>
      <c r="C29" s="16"/>
      <c r="D29" s="16"/>
      <c r="E29" s="16"/>
      <c r="F29" s="20"/>
      <c r="G29" s="20"/>
      <c r="H29" s="14"/>
      <c r="I29" s="21"/>
      <c r="J29" s="21"/>
      <c r="K29" s="21"/>
      <c r="L29" s="14"/>
      <c r="M29" s="21"/>
      <c r="N29" s="31" t="str">
        <f t="shared" si="1"/>
        <v/>
      </c>
    </row>
    <row r="30" ht="21.75" customHeight="1">
      <c r="A30" s="32"/>
      <c r="B30" s="33"/>
      <c r="C30" s="33"/>
      <c r="D30" s="33"/>
      <c r="E30" s="33"/>
      <c r="F30" s="35"/>
      <c r="G30" s="35"/>
      <c r="H30" s="32"/>
      <c r="I30" s="22"/>
      <c r="J30" s="22"/>
      <c r="K30" s="22"/>
      <c r="L30" s="32"/>
      <c r="M30" s="22"/>
      <c r="N30" s="25" t="str">
        <f t="shared" si="1"/>
        <v/>
      </c>
    </row>
    <row r="31" ht="21.75" customHeight="1">
      <c r="A31" s="14"/>
      <c r="B31" s="16"/>
      <c r="C31" s="16"/>
      <c r="D31" s="16"/>
      <c r="E31" s="16"/>
      <c r="F31" s="20"/>
      <c r="G31" s="20"/>
      <c r="H31" s="14"/>
      <c r="I31" s="21"/>
      <c r="J31" s="21"/>
      <c r="K31" s="21"/>
      <c r="L31" s="14"/>
      <c r="M31" s="21"/>
      <c r="N31" s="31" t="str">
        <f t="shared" si="1"/>
        <v/>
      </c>
    </row>
    <row r="32" ht="21.75" customHeight="1">
      <c r="A32" s="32"/>
      <c r="B32" s="33"/>
      <c r="C32" s="33"/>
      <c r="D32" s="33"/>
      <c r="E32" s="33"/>
      <c r="F32" s="35"/>
      <c r="G32" s="35"/>
      <c r="H32" s="32"/>
      <c r="I32" s="22"/>
      <c r="J32" s="22"/>
      <c r="K32" s="22"/>
      <c r="L32" s="32"/>
      <c r="M32" s="22"/>
      <c r="N32" s="25" t="str">
        <f t="shared" si="1"/>
        <v/>
      </c>
    </row>
    <row r="33" ht="21.75" customHeight="1">
      <c r="A33" s="14"/>
      <c r="B33" s="16"/>
      <c r="C33" s="16"/>
      <c r="D33" s="16"/>
      <c r="E33" s="16"/>
      <c r="F33" s="20"/>
      <c r="G33" s="20"/>
      <c r="H33" s="14"/>
      <c r="I33" s="21"/>
      <c r="J33" s="21"/>
      <c r="K33" s="21"/>
      <c r="L33" s="14"/>
      <c r="M33" s="21"/>
      <c r="N33" s="31" t="str">
        <f t="shared" si="1"/>
        <v/>
      </c>
    </row>
    <row r="34" ht="21.75" customHeight="1">
      <c r="A34" s="32"/>
      <c r="B34" s="33"/>
      <c r="C34" s="33"/>
      <c r="D34" s="33"/>
      <c r="E34" s="33"/>
      <c r="F34" s="35"/>
      <c r="G34" s="35"/>
      <c r="H34" s="32"/>
      <c r="I34" s="22"/>
      <c r="J34" s="22"/>
      <c r="K34" s="22"/>
      <c r="L34" s="32"/>
      <c r="M34" s="22"/>
      <c r="N34" s="25" t="str">
        <f t="shared" si="1"/>
        <v/>
      </c>
    </row>
    <row r="35" ht="21.75" customHeight="1">
      <c r="A35" s="14"/>
      <c r="B35" s="16"/>
      <c r="C35" s="16"/>
      <c r="D35" s="16"/>
      <c r="E35" s="16"/>
      <c r="F35" s="20"/>
      <c r="G35" s="20"/>
      <c r="H35" s="14"/>
      <c r="I35" s="21"/>
      <c r="J35" s="21"/>
      <c r="K35" s="21"/>
      <c r="L35" s="14"/>
      <c r="M35" s="21"/>
      <c r="N35" s="31" t="str">
        <f t="shared" si="1"/>
        <v/>
      </c>
    </row>
    <row r="36" ht="21.75" customHeight="1">
      <c r="A36" s="32"/>
      <c r="B36" s="33"/>
      <c r="C36" s="33"/>
      <c r="D36" s="33"/>
      <c r="E36" s="33"/>
      <c r="F36" s="35"/>
      <c r="G36" s="35"/>
      <c r="H36" s="32"/>
      <c r="I36" s="22"/>
      <c r="J36" s="22"/>
      <c r="K36" s="22"/>
      <c r="L36" s="32"/>
      <c r="M36" s="22"/>
      <c r="N36" s="25" t="str">
        <f t="shared" si="1"/>
        <v/>
      </c>
    </row>
    <row r="37" ht="21.75" customHeight="1">
      <c r="A37" s="14"/>
      <c r="B37" s="16"/>
      <c r="C37" s="16"/>
      <c r="D37" s="16"/>
      <c r="E37" s="16"/>
      <c r="F37" s="20"/>
      <c r="G37" s="20"/>
      <c r="H37" s="14"/>
      <c r="I37" s="21"/>
      <c r="J37" s="21"/>
      <c r="K37" s="21"/>
      <c r="L37" s="14"/>
      <c r="M37" s="21"/>
      <c r="N37" s="31" t="str">
        <f t="shared" si="1"/>
        <v/>
      </c>
    </row>
    <row r="38" ht="21.75" customHeight="1">
      <c r="A38" s="32"/>
      <c r="B38" s="33"/>
      <c r="C38" s="33"/>
      <c r="D38" s="33"/>
      <c r="E38" s="33"/>
      <c r="F38" s="35"/>
      <c r="G38" s="35"/>
      <c r="H38" s="32"/>
      <c r="I38" s="22"/>
      <c r="J38" s="22"/>
      <c r="K38" s="22"/>
      <c r="L38" s="32"/>
      <c r="M38" s="22"/>
      <c r="N38" s="25" t="str">
        <f t="shared" si="1"/>
        <v/>
      </c>
    </row>
    <row r="39" ht="21.75" customHeight="1">
      <c r="A39" s="14"/>
      <c r="B39" s="16"/>
      <c r="C39" s="16"/>
      <c r="D39" s="16"/>
      <c r="E39" s="16"/>
      <c r="F39" s="20"/>
      <c r="G39" s="20"/>
      <c r="H39" s="14"/>
      <c r="I39" s="21"/>
      <c r="J39" s="21"/>
      <c r="K39" s="21"/>
      <c r="L39" s="14"/>
      <c r="M39" s="21"/>
      <c r="N39" s="31" t="str">
        <f t="shared" si="1"/>
        <v/>
      </c>
    </row>
    <row r="40" ht="21.75" customHeight="1">
      <c r="A40" s="32"/>
      <c r="B40" s="33"/>
      <c r="C40" s="33"/>
      <c r="D40" s="33"/>
      <c r="E40" s="33"/>
      <c r="F40" s="35"/>
      <c r="G40" s="35"/>
      <c r="H40" s="32"/>
      <c r="I40" s="22"/>
      <c r="J40" s="22"/>
      <c r="K40" s="22"/>
      <c r="L40" s="32"/>
      <c r="M40" s="22"/>
      <c r="N40" s="25" t="str">
        <f t="shared" si="1"/>
        <v/>
      </c>
    </row>
    <row r="41" ht="21.75" customHeight="1">
      <c r="A41" s="14"/>
      <c r="B41" s="16"/>
      <c r="C41" s="16"/>
      <c r="D41" s="16"/>
      <c r="E41" s="16"/>
      <c r="F41" s="20"/>
      <c r="G41" s="20"/>
      <c r="H41" s="14"/>
      <c r="I41" s="21"/>
      <c r="J41" s="21"/>
      <c r="K41" s="21"/>
      <c r="L41" s="14"/>
      <c r="M41" s="21"/>
      <c r="N41" s="31" t="str">
        <f t="shared" si="1"/>
        <v/>
      </c>
    </row>
    <row r="42" ht="21.75" customHeight="1">
      <c r="A42" s="32"/>
      <c r="B42" s="33"/>
      <c r="C42" s="33"/>
      <c r="D42" s="33"/>
      <c r="E42" s="33"/>
      <c r="F42" s="35"/>
      <c r="G42" s="35"/>
      <c r="H42" s="32"/>
      <c r="I42" s="22"/>
      <c r="J42" s="22"/>
      <c r="K42" s="22"/>
      <c r="L42" s="32"/>
      <c r="M42" s="22"/>
      <c r="N42" s="25" t="str">
        <f t="shared" si="1"/>
        <v/>
      </c>
    </row>
    <row r="43" ht="21.75" customHeight="1">
      <c r="A43" s="14"/>
      <c r="B43" s="16"/>
      <c r="C43" s="16"/>
      <c r="D43" s="16"/>
      <c r="E43" s="16"/>
      <c r="F43" s="20"/>
      <c r="G43" s="20"/>
      <c r="H43" s="14"/>
      <c r="I43" s="21"/>
      <c r="J43" s="21"/>
      <c r="K43" s="21"/>
      <c r="L43" s="14"/>
      <c r="M43" s="21"/>
      <c r="N43" s="31" t="str">
        <f t="shared" si="1"/>
        <v/>
      </c>
    </row>
    <row r="44" ht="21.75" customHeight="1">
      <c r="A44" s="32"/>
      <c r="B44" s="33"/>
      <c r="C44" s="33"/>
      <c r="D44" s="33"/>
      <c r="E44" s="33"/>
      <c r="F44" s="35"/>
      <c r="G44" s="35"/>
      <c r="H44" s="32"/>
      <c r="I44" s="22"/>
      <c r="J44" s="22"/>
      <c r="K44" s="22"/>
      <c r="L44" s="32"/>
      <c r="M44" s="22"/>
      <c r="N44" s="25" t="str">
        <f t="shared" si="1"/>
        <v/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N1"/>
    <mergeCell ref="A2:N2"/>
    <mergeCell ref="A3:N3"/>
  </mergeCells>
  <dataValidations>
    <dataValidation type="list" allowBlank="1" sqref="D5:D44">
      <formula1>'Cài đặt'!$A$37:$A$42</formula1>
    </dataValidation>
    <dataValidation type="list" allowBlank="1" sqref="L5:L44">
      <formula1>"Có,Không"</formula1>
    </dataValidation>
    <dataValidation type="decimal" operator="greaterThanOrEqual" allowBlank="1" sqref="H5:H44">
      <formula1>0.0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1717A"/>
    <pageSetUpPr/>
  </sheetPr>
  <sheetViews>
    <sheetView showGridLines="0" workbookViewId="0"/>
  </sheetViews>
  <sheetFormatPr customHeight="1" defaultColWidth="14.43" defaultRowHeight="15.0"/>
  <cols>
    <col customWidth="1" min="1" max="1" width="50.0"/>
    <col customWidth="1" min="2" max="2" width="22.0"/>
    <col customWidth="1" min="3" max="3" width="18.0"/>
    <col customWidth="1" min="4" max="4" width="14.0"/>
    <col customWidth="1" min="5" max="5" width="22.0"/>
    <col customWidth="1" min="6" max="26" width="8.71"/>
  </cols>
  <sheetData>
    <row r="1" ht="42.0" customHeight="1">
      <c r="A1" s="1" t="s">
        <v>1</v>
      </c>
      <c r="B1" s="2"/>
      <c r="C1" s="2"/>
      <c r="D1" s="2"/>
      <c r="E1" s="3"/>
    </row>
    <row r="2" ht="19.5" customHeight="1">
      <c r="A2" s="5" t="s">
        <v>2</v>
      </c>
    </row>
    <row r="4" ht="15.0" customHeight="1">
      <c r="A4" s="6" t="s">
        <v>5</v>
      </c>
      <c r="B4" s="6" t="s">
        <v>7</v>
      </c>
      <c r="C4" s="9" t="s">
        <v>8</v>
      </c>
      <c r="D4" s="10"/>
      <c r="E4" s="11"/>
    </row>
    <row r="5" ht="21.75" customHeight="1">
      <c r="A5" s="12" t="s">
        <v>15</v>
      </c>
      <c r="B5" s="13">
        <v>0.08</v>
      </c>
      <c r="C5" s="15" t="s">
        <v>24</v>
      </c>
      <c r="D5" s="10"/>
      <c r="E5" s="11"/>
    </row>
    <row r="6" ht="21.75" customHeight="1">
      <c r="A6" s="17" t="s">
        <v>28</v>
      </c>
      <c r="B6" s="18">
        <v>0.015</v>
      </c>
      <c r="C6" s="19" t="s">
        <v>29</v>
      </c>
      <c r="D6" s="10"/>
      <c r="E6" s="11"/>
    </row>
    <row r="7" ht="21.75" customHeight="1">
      <c r="A7" s="12" t="s">
        <v>33</v>
      </c>
      <c r="B7" s="13">
        <v>0.01</v>
      </c>
      <c r="C7" s="15" t="s">
        <v>35</v>
      </c>
      <c r="D7" s="10"/>
      <c r="E7" s="11"/>
    </row>
    <row r="8" ht="21.75" customHeight="1">
      <c r="A8" s="17" t="s">
        <v>36</v>
      </c>
      <c r="B8" s="22">
        <v>2530000.0</v>
      </c>
      <c r="C8" s="19" t="s">
        <v>37</v>
      </c>
      <c r="D8" s="10"/>
      <c r="E8" s="11"/>
    </row>
    <row r="9" ht="21.75" customHeight="1">
      <c r="A9" s="12" t="s">
        <v>39</v>
      </c>
      <c r="B9" s="23">
        <v>20.0</v>
      </c>
      <c r="C9" s="15" t="s">
        <v>40</v>
      </c>
      <c r="D9" s="10"/>
      <c r="E9" s="11"/>
    </row>
    <row r="10" ht="21.75" customHeight="1">
      <c r="A10" s="17" t="s">
        <v>41</v>
      </c>
      <c r="B10" s="25">
        <f>B8*B9</f>
        <v>50600000</v>
      </c>
      <c r="C10" s="19" t="s">
        <v>42</v>
      </c>
      <c r="D10" s="10"/>
      <c r="E10" s="11"/>
    </row>
    <row r="11" ht="21.75" customHeight="1">
      <c r="A11" s="12" t="s">
        <v>43</v>
      </c>
      <c r="B11" s="21">
        <v>5310000.0</v>
      </c>
      <c r="C11" s="15" t="s">
        <v>44</v>
      </c>
      <c r="D11" s="10"/>
      <c r="E11" s="11"/>
    </row>
    <row r="12" ht="21.75" customHeight="1">
      <c r="A12" s="17" t="s">
        <v>45</v>
      </c>
      <c r="B12" s="25">
        <f>B11*B9</f>
        <v>106200000</v>
      </c>
      <c r="C12" s="19" t="s">
        <v>46</v>
      </c>
      <c r="D12" s="10"/>
      <c r="E12" s="11"/>
    </row>
    <row r="13" ht="21.75" customHeight="1">
      <c r="A13" s="12" t="s">
        <v>48</v>
      </c>
      <c r="B13" s="21">
        <v>1.55E7</v>
      </c>
      <c r="C13" s="15" t="s">
        <v>50</v>
      </c>
      <c r="D13" s="10"/>
      <c r="E13" s="11"/>
    </row>
    <row r="14" ht="21.75" customHeight="1">
      <c r="A14" s="17" t="s">
        <v>51</v>
      </c>
      <c r="B14" s="22">
        <v>6200000.0</v>
      </c>
      <c r="C14" s="19" t="s">
        <v>50</v>
      </c>
      <c r="D14" s="10"/>
      <c r="E14" s="11"/>
    </row>
    <row r="15" ht="27.75" customHeight="1">
      <c r="A15" s="12" t="s">
        <v>53</v>
      </c>
      <c r="B15" s="23">
        <v>8.0</v>
      </c>
      <c r="C15" s="15" t="s">
        <v>54</v>
      </c>
      <c r="D15" s="10"/>
      <c r="E15" s="11"/>
    </row>
    <row r="16" ht="21.75" customHeight="1">
      <c r="A16" s="17" t="s">
        <v>56</v>
      </c>
      <c r="B16" s="29">
        <v>1.5</v>
      </c>
      <c r="C16" s="19" t="s">
        <v>57</v>
      </c>
      <c r="D16" s="10"/>
      <c r="E16" s="11"/>
    </row>
    <row r="17" ht="21.75" customHeight="1">
      <c r="A17" s="12" t="s">
        <v>59</v>
      </c>
      <c r="B17" s="30">
        <v>2.0</v>
      </c>
      <c r="C17" s="15" t="s">
        <v>60</v>
      </c>
      <c r="D17" s="10"/>
      <c r="E17" s="11"/>
    </row>
    <row r="18" ht="21.75" customHeight="1">
      <c r="A18" s="17" t="s">
        <v>62</v>
      </c>
      <c r="B18" s="29">
        <v>3.0</v>
      </c>
      <c r="C18" s="19" t="s">
        <v>63</v>
      </c>
      <c r="D18" s="10"/>
      <c r="E18" s="11"/>
    </row>
    <row r="19" ht="27.75" customHeight="1">
      <c r="A19" s="12" t="s">
        <v>67</v>
      </c>
      <c r="B19" s="30">
        <v>0.3</v>
      </c>
      <c r="C19" s="15" t="s">
        <v>69</v>
      </c>
      <c r="D19" s="10"/>
      <c r="E19" s="11"/>
    </row>
    <row r="20" ht="21.75" customHeight="1">
      <c r="A20" s="17" t="s">
        <v>72</v>
      </c>
      <c r="B20" s="34">
        <v>40.0</v>
      </c>
      <c r="C20" s="19" t="s">
        <v>75</v>
      </c>
      <c r="D20" s="10"/>
      <c r="E20" s="11"/>
    </row>
    <row r="21" ht="27.75" customHeight="1">
      <c r="A21" s="12" t="s">
        <v>77</v>
      </c>
      <c r="B21" s="36" t="s">
        <v>78</v>
      </c>
      <c r="C21" s="15" t="s">
        <v>79</v>
      </c>
      <c r="D21" s="10"/>
      <c r="E21" s="11"/>
    </row>
    <row r="22" ht="21.75" customHeight="1">
      <c r="A22" s="17" t="s">
        <v>80</v>
      </c>
      <c r="B22" s="22">
        <v>300000.0</v>
      </c>
      <c r="C22" s="19" t="s">
        <v>81</v>
      </c>
      <c r="D22" s="10"/>
      <c r="E22" s="11"/>
    </row>
    <row r="23" ht="21.75" customHeight="1">
      <c r="A23" s="12" t="s">
        <v>85</v>
      </c>
      <c r="B23" s="21">
        <v>150000.0</v>
      </c>
      <c r="C23" s="15" t="s">
        <v>81</v>
      </c>
      <c r="D23" s="10"/>
      <c r="E23" s="11"/>
    </row>
    <row r="24" ht="21.75" customHeight="1">
      <c r="A24" s="17" t="s">
        <v>89</v>
      </c>
      <c r="B24" s="22">
        <v>35000.0</v>
      </c>
      <c r="C24" s="19" t="s">
        <v>81</v>
      </c>
      <c r="D24" s="10"/>
      <c r="E24" s="11"/>
    </row>
    <row r="25" ht="27.75" customHeight="1">
      <c r="A25" s="12" t="s">
        <v>90</v>
      </c>
      <c r="B25" s="21">
        <v>730000.0</v>
      </c>
      <c r="C25" s="15" t="s">
        <v>93</v>
      </c>
      <c r="D25" s="10"/>
      <c r="E25" s="11"/>
    </row>
    <row r="26" ht="15.75" customHeight="1"/>
    <row r="27" ht="15.75" customHeight="1">
      <c r="A27" s="41" t="s">
        <v>98</v>
      </c>
    </row>
    <row r="28" ht="33.75" customHeight="1">
      <c r="A28" s="6" t="s">
        <v>100</v>
      </c>
      <c r="B28" s="6" t="s">
        <v>101</v>
      </c>
      <c r="C28" s="6" t="s">
        <v>102</v>
      </c>
      <c r="D28" s="6" t="s">
        <v>103</v>
      </c>
      <c r="E28" s="6" t="s">
        <v>104</v>
      </c>
    </row>
    <row r="29" ht="21.75" customHeight="1">
      <c r="A29" s="42" t="s">
        <v>105</v>
      </c>
      <c r="B29" s="21">
        <v>0.0</v>
      </c>
      <c r="C29" s="21">
        <v>1.0E7</v>
      </c>
      <c r="D29" s="30">
        <v>0.05</v>
      </c>
      <c r="E29" s="47">
        <f>D29</f>
        <v>0.05</v>
      </c>
    </row>
    <row r="30" ht="21.75" customHeight="1">
      <c r="A30" s="48" t="s">
        <v>121</v>
      </c>
      <c r="B30" s="22">
        <v>1.0E7</v>
      </c>
      <c r="C30" s="22">
        <v>3.0E7</v>
      </c>
      <c r="D30" s="29">
        <v>0.1</v>
      </c>
      <c r="E30" s="50">
        <f t="shared" ref="E30:E33" si="1">D30-D29</f>
        <v>0.05</v>
      </c>
    </row>
    <row r="31" ht="21.75" customHeight="1">
      <c r="A31" s="42" t="s">
        <v>129</v>
      </c>
      <c r="B31" s="21">
        <v>3.0E7</v>
      </c>
      <c r="C31" s="21">
        <v>6.0E7</v>
      </c>
      <c r="D31" s="30">
        <v>0.2</v>
      </c>
      <c r="E31" s="47">
        <f t="shared" si="1"/>
        <v>0.1</v>
      </c>
    </row>
    <row r="32" ht="21.75" customHeight="1">
      <c r="A32" s="48" t="s">
        <v>136</v>
      </c>
      <c r="B32" s="22">
        <v>6.0E7</v>
      </c>
      <c r="C32" s="22">
        <v>1.0E8</v>
      </c>
      <c r="D32" s="29">
        <v>0.3</v>
      </c>
      <c r="E32" s="50">
        <f t="shared" si="1"/>
        <v>0.1</v>
      </c>
    </row>
    <row r="33" ht="21.75" customHeight="1">
      <c r="A33" s="42" t="s">
        <v>139</v>
      </c>
      <c r="B33" s="21">
        <v>1.0E8</v>
      </c>
      <c r="C33" s="31" t="s">
        <v>141</v>
      </c>
      <c r="D33" s="30">
        <v>0.35</v>
      </c>
      <c r="E33" s="47">
        <f t="shared" si="1"/>
        <v>0.05</v>
      </c>
    </row>
    <row r="34" ht="15.75" customHeight="1"/>
    <row r="35" ht="15.75" customHeight="1">
      <c r="A35" s="41" t="s">
        <v>143</v>
      </c>
    </row>
    <row r="36" ht="15.75" customHeight="1">
      <c r="A36" s="6" t="s">
        <v>12</v>
      </c>
    </row>
    <row r="37" ht="21.75" customHeight="1">
      <c r="A37" s="16" t="s">
        <v>30</v>
      </c>
    </row>
    <row r="38" ht="21.75" customHeight="1">
      <c r="A38" s="33" t="s">
        <v>71</v>
      </c>
    </row>
    <row r="39" ht="21.75" customHeight="1">
      <c r="A39" s="16" t="s">
        <v>95</v>
      </c>
    </row>
    <row r="40" ht="21.75" customHeight="1">
      <c r="A40" s="33" t="s">
        <v>110</v>
      </c>
    </row>
    <row r="41" ht="21.75" customHeight="1">
      <c r="A41" s="16" t="s">
        <v>117</v>
      </c>
    </row>
    <row r="42" ht="21.75" customHeight="1">
      <c r="A42" s="33" t="s">
        <v>147</v>
      </c>
    </row>
    <row r="43" ht="15.75" customHeight="1"/>
    <row r="44" ht="15.75" customHeight="1">
      <c r="A44" s="51" t="s">
        <v>148</v>
      </c>
    </row>
    <row r="45" ht="15.75" customHeight="1">
      <c r="A45" s="52" t="s">
        <v>149</v>
      </c>
    </row>
    <row r="46" ht="15.75" customHeight="1">
      <c r="A46" s="52" t="s">
        <v>151</v>
      </c>
    </row>
    <row r="47" ht="15.75" customHeight="1">
      <c r="A47" s="52" t="s">
        <v>152</v>
      </c>
    </row>
    <row r="48" ht="15.75" customHeight="1">
      <c r="A48" s="52" t="s">
        <v>153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1:E1"/>
    <mergeCell ref="A2:E2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23:E23"/>
    <mergeCell ref="C24:E24"/>
    <mergeCell ref="C25:E25"/>
    <mergeCell ref="C16:E16"/>
    <mergeCell ref="C17:E17"/>
    <mergeCell ref="C18:E18"/>
    <mergeCell ref="C19:E19"/>
    <mergeCell ref="C20:E20"/>
    <mergeCell ref="C21:E21"/>
    <mergeCell ref="C22:E22"/>
  </mergeCells>
  <dataValidations>
    <dataValidation type="list" allowBlank="1" sqref="B21">
      <formula1>"Phần chênh lệch,Toàn bộ"</formula1>
    </dataValidation>
  </dataValidation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2026-10-29T08:13:52Z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