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hấm công" sheetId="1" r:id="rId4"/>
    <sheet state="visible" name="Tổng hợp lương" sheetId="2" r:id="rId5"/>
    <sheet state="visible" name="Kiểm tra chất lượng" sheetId="3" r:id="rId6"/>
    <sheet state="visible" name="Cài đặt" sheetId="4" r:id="rId7"/>
  </sheets>
  <definedNames/>
  <calcPr/>
  <extLst>
    <ext uri="GoogleSheetsCustomDataVersion2">
      <go:sheetsCustomData xmlns:go="http://customooxmlschemas.google.com/" r:id="rId8" roundtripDataChecksum="RbeyvzmNjvk4cHvLBxV8gZAI0ovttCd41MkQuqweoMo="/>
    </ext>
  </extLst>
</workbook>
</file>

<file path=xl/sharedStrings.xml><?xml version="1.0" encoding="utf-8"?>
<sst xmlns="http://schemas.openxmlformats.org/spreadsheetml/2006/main" count="526" uniqueCount="181">
  <si>
    <t>CÀI ĐẶT BẢNG CHẤM CÔNG VỆ SINH</t>
  </si>
  <si>
    <t>BẢNG CHẤM CÔNG NHÂN VIÊN VỆ SINH</t>
  </si>
  <si>
    <t>BẢNG TỔNG HỢP CÔNG VÀ LƯƠNG NHÂN VIÊN VỆ SINH</t>
  </si>
  <si>
    <t>HƯỚNG DẪN SỬ DỤNG</t>
  </si>
  <si>
    <t>1. THÔNG TIN CHUNG</t>
  </si>
  <si>
    <t>PHIẾU KIỂM TRA CHẤT LƯỢNG VỆ SINH</t>
  </si>
  <si>
    <t>1) Nhập tên đơn vị, địa điểm, tháng và năm ở mục 1.
2) Kiểm tra bảng ký hiệu ca (mục 2): sửa giờ vào/ra và giờ nghỉ giữa ca nếu khác thực tế.
3) Nhập ngày lễ của năm vào mục 3 – cột ngày lễ sẽ tự tô màu.
4) Sang sheet 'Chấm công': nhập họ tên, khu vực phụ trách và chọn ký hiệu từng ngày (danh sách thả xuống).
5) Các cột tổng hợp và dòng tổng tự tính, không cần nhập.
6) Mục 4: nhập đơn giá và hệ số tính lương cho sheet 'Tổng hợp lương'.
7) Mục 5: đặt ngưỡng xếp loại cho sheet 'Kiểm tra chất lượng'.
Ô nền cam nhạt = ô cần nhập. Ô nền xám = ô tự tính.</t>
  </si>
  <si>
    <t>Tên đơn vị / công ty</t>
  </si>
  <si>
    <t>STT</t>
  </si>
  <si>
    <t>CÔNG TY TNHH DỊCH VỤ VỆ SINH MẪU</t>
  </si>
  <si>
    <t>Số lượt kiểm tra</t>
  </si>
  <si>
    <t>Mã NV</t>
  </si>
  <si>
    <t>Họ và tên</t>
  </si>
  <si>
    <t>Khu vực phụ trách</t>
  </si>
  <si>
    <t>NGÀY TRONG THÁNG</t>
  </si>
  <si>
    <t>Điểm trung bình</t>
  </si>
  <si>
    <t>Mục tiêu / địa điểm làm việc</t>
  </si>
  <si>
    <t>NGÀY CÔNG</t>
  </si>
  <si>
    <t>Lượt đạt (Tốt + Khá)</t>
  </si>
  <si>
    <t>Tòa nhà văn phòng ABC – 123 Phố Huế, Hà Nội</t>
  </si>
  <si>
    <t>Lượt cần khắc phục chưa xong</t>
  </si>
  <si>
    <t>Tháng chấm công</t>
  </si>
  <si>
    <t>TỔNG HỢP SỐ CA / NGÀY</t>
  </si>
  <si>
    <t>CÔNG &amp; GIỜ</t>
  </si>
  <si>
    <t>TỔNG HỢP GIỜ &amp; CÔNG</t>
  </si>
  <si>
    <t>THU NHẬP (VNĐ)</t>
  </si>
  <si>
    <t>Ghi chú</t>
  </si>
  <si>
    <t>KHẤU TRỪ &amp; THỰC LĨNH</t>
  </si>
  <si>
    <t>Năm chấm công</t>
  </si>
  <si>
    <t>Ký nhận</t>
  </si>
  <si>
    <t>Số ngày trong tháng</t>
  </si>
  <si>
    <t>Ngày làm thực tế</t>
  </si>
  <si>
    <t>Nghỉ hưởng lương (P+L)</t>
  </si>
  <si>
    <t>Nghỉ ốm / không lương</t>
  </si>
  <si>
    <t>Công hưởng lương</t>
  </si>
  <si>
    <t>Giờ tăng ca</t>
  </si>
  <si>
    <t>Giờ làm Chủ nhật</t>
  </si>
  <si>
    <t>Giờ làm ngày lễ</t>
  </si>
  <si>
    <t>Lương theo công</t>
  </si>
  <si>
    <t>PC tăng ca</t>
  </si>
  <si>
    <t>PC Chủ nhật</t>
  </si>
  <si>
    <t>PC ngày lễ</t>
  </si>
  <si>
    <t>PC ăn ca</t>
  </si>
  <si>
    <t>PC chuyên cần</t>
  </si>
  <si>
    <t>Tổng thu nhập</t>
  </si>
  <si>
    <t>Khấu trừ bảo hiểm</t>
  </si>
  <si>
    <t>Tạm ứng / khấu trừ khác</t>
  </si>
  <si>
    <t>THỰC LĨNH</t>
  </si>
  <si>
    <t>Tự tính theo tháng/năm</t>
  </si>
  <si>
    <t>Số ngày Chủ nhật</t>
  </si>
  <si>
    <t>Tự đếm trên bảng chấm công</t>
  </si>
  <si>
    <t>Công chuẩn trong tháng (ngày)</t>
  </si>
  <si>
    <t>Bằng số ngày − Chủ nhật (có thể nhập đè số khác)</t>
  </si>
  <si>
    <t>Số giờ tính 1 công</t>
  </si>
  <si>
    <t>Dùng quy đổi giờ → công và tính tăng ca</t>
  </si>
  <si>
    <t>2. BẢNG KÝ HIỆU CHẤM CÔNG</t>
  </si>
  <si>
    <t>3. NGÀY LỄ TRONG NĂM</t>
  </si>
  <si>
    <t>Ký hiệu</t>
  </si>
  <si>
    <t>Tên ca / loại nghỉ</t>
  </si>
  <si>
    <t>Giờ bắt đầu</t>
  </si>
  <si>
    <t>Giờ kết thúc</t>
  </si>
  <si>
    <t>Ngày kiểm tra</t>
  </si>
  <si>
    <t>Nghỉ giữa ca (giờ)</t>
  </si>
  <si>
    <t>Giờ làm thực tế</t>
  </si>
  <si>
    <t>Khu vực</t>
  </si>
  <si>
    <t>Giờ hưởng lương</t>
  </si>
  <si>
    <t>Nhân viên phụ trách</t>
  </si>
  <si>
    <t>Ngày</t>
  </si>
  <si>
    <t>Người kiểm tra</t>
  </si>
  <si>
    <t>Sàn nhà</t>
  </si>
  <si>
    <t>Nhà vệ sinh</t>
  </si>
  <si>
    <t>Tên ngày lễ</t>
  </si>
  <si>
    <t>Bề mặt (bàn, tay nắm)</t>
  </si>
  <si>
    <t>Kính – cửa</t>
  </si>
  <si>
    <t>S</t>
  </si>
  <si>
    <t>Rác &amp; vật tư</t>
  </si>
  <si>
    <t>Ca sáng</t>
  </si>
  <si>
    <t>Tổng điểm</t>
  </si>
  <si>
    <t>Tỷ lệ</t>
  </si>
  <si>
    <t>Xếp loại</t>
  </si>
  <si>
    <t>Nội dung cần khắc phục</t>
  </si>
  <si>
    <t>Hạn khắc phục</t>
  </si>
  <si>
    <t>Tình trạng khắc phục</t>
  </si>
  <si>
    <t>Tầng 1 – Sảnh</t>
  </si>
  <si>
    <t>Nguyễn Thị Lan</t>
  </si>
  <si>
    <t>Đặng Thị Hạnh</t>
  </si>
  <si>
    <t>Tết Dương lịch</t>
  </si>
  <si>
    <t>C</t>
  </si>
  <si>
    <t>Ca chiều</t>
  </si>
  <si>
    <t>Ngày Giải phóng miền Nam</t>
  </si>
  <si>
    <t>H</t>
  </si>
  <si>
    <t>Ca hành chính</t>
  </si>
  <si>
    <t>Quốc tế Lao động</t>
  </si>
  <si>
    <t>G</t>
  </si>
  <si>
    <t>Ca gãy (2 đợt)</t>
  </si>
  <si>
    <t>Quốc khánh</t>
  </si>
  <si>
    <t>N</t>
  </si>
  <si>
    <t>Nửa ngày</t>
  </si>
  <si>
    <t>P</t>
  </si>
  <si>
    <t>Nghỉ phép năm</t>
  </si>
  <si>
    <t>L</t>
  </si>
  <si>
    <t>Nghỉ lễ</t>
  </si>
  <si>
    <t>Ô</t>
  </si>
  <si>
    <t>Nghỉ ốm (BHXH)</t>
  </si>
  <si>
    <t>K</t>
  </si>
  <si>
    <t>Nghỉ không lương</t>
  </si>
  <si>
    <t>OFF</t>
  </si>
  <si>
    <t>Nghỉ tuần</t>
  </si>
  <si>
    <t>Ghi chú: 'Giờ làm thực tế' = (giờ kết thúc − giờ bắt đầu) − nghỉ giữa ca, dùng tính tổng giờ và tăng ca; 'Giờ hưởng lương' dùng quy đổi ra công (= giờ ÷ số giờ tính 1 công). Nghỉ phép/nghỉ lễ mặc định hưởng 1 công – sửa ở cột H nếu chính sách khác. Muốn thêm ký hiệu mới: chèn dòng vào GIỮA bảng để công thức tự mở rộng.</t>
  </si>
  <si>
    <t>4. THAM SỐ TÍNH LƯƠNG</t>
  </si>
  <si>
    <t>Cần tự bổ sung: Tết Âm lịch, Giỗ Tổ Hùng Vương và các ngày nghỉ bù theo thông báo hằng năm của Chính phủ.</t>
  </si>
  <si>
    <t>Đơn giá 1 công (VNĐ)</t>
  </si>
  <si>
    <t>Lương cho 1 công = 8 giờ</t>
  </si>
  <si>
    <t>Hệ số tăng ca ngày thường</t>
  </si>
  <si>
    <t>Phần giờ vượt công chuẩn</t>
  </si>
  <si>
    <t>Hệ số làm Chủ nhật</t>
  </si>
  <si>
    <t>Nhà vệ sinh chung</t>
  </si>
  <si>
    <t>Phạm Thị Hương</t>
  </si>
  <si>
    <t>Áp dụng cho giờ làm Chủ nhật</t>
  </si>
  <si>
    <t>Hệ số làm ngày lễ</t>
  </si>
  <si>
    <t>Áp dụng cho giờ làm ngày lễ</t>
  </si>
  <si>
    <t>Phụ cấp ăn ca (VNĐ/ngày làm)</t>
  </si>
  <si>
    <t>Tính cho mỗi ngày đi làm thực tế</t>
  </si>
  <si>
    <t>Phụ cấp chuyên cần (VNĐ/tháng)</t>
  </si>
  <si>
    <t>Chỉ nhận khi không nghỉ không lương</t>
  </si>
  <si>
    <t>Khấu trừ bảo hiểm (% lương công)</t>
  </si>
  <si>
    <t>BHXH+BHYT+BHTN NLĐ; nhập 0% nếu không trừ</t>
  </si>
  <si>
    <t>Bổ sung giấy vệ sinh, xà phòng rửa tay</t>
  </si>
  <si>
    <t>Cách tính: mọi giờ làm đều được trả 1× qua 'công hưởng lương'; tăng ca, Chủ nhật, ngày lễ chỉ cộng THÊM phần chênh (hệ số − 1) × đơn giá giờ (= đơn giá công ÷ số giờ tính 1 công). Các số liệu trên là giá trị mẫu do bạn tự đặt – hãy sửa theo hợp đồng/quy chế của đơn vị.</t>
  </si>
  <si>
    <t>Đã xong</t>
  </si>
  <si>
    <t>5. TIÊU CHUẨN XẾP LOẠI KIỂM TRA CHẤT LƯỢNG</t>
  </si>
  <si>
    <t>Tầng 2–3</t>
  </si>
  <si>
    <t>Trần Thị Hoa</t>
  </si>
  <si>
    <t>Loại Tốt từ</t>
  </si>
  <si>
    <t>Tỷ lệ điểm đạt được / điểm tối đa</t>
  </si>
  <si>
    <t>Loại Khá từ</t>
  </si>
  <si>
    <t>Loại Trung bình từ</t>
  </si>
  <si>
    <t>Dưới ngưỡng Trung bình = 'Cần khắc phục'. Mỗi tiêu chí chấm thang điểm 1–5.</t>
  </si>
  <si>
    <t>Tầng 4–5</t>
  </si>
  <si>
    <t>Lê Thị Mai</t>
  </si>
  <si>
    <t>Lau lại bề mặt bàn, tay nắm cửa</t>
  </si>
  <si>
    <t>Đang xử lý</t>
  </si>
  <si>
    <t>Ngoại cảnh – sân vườn</t>
  </si>
  <si>
    <t>Đỗ Văn Nam</t>
  </si>
  <si>
    <t>Quét lá, thu gom rác khu sân vườn</t>
  </si>
  <si>
    <t>Chưa xử lý</t>
  </si>
  <si>
    <t>Nhắc nhở lần 1</t>
  </si>
  <si>
    <t>Tầng hầm – hành lang</t>
  </si>
  <si>
    <t>Vũ Thị Thủy</t>
  </si>
  <si>
    <t>Tổng giờ làm thực tế</t>
  </si>
  <si>
    <t>Tổng công hưởng lương</t>
  </si>
  <si>
    <t>VS001</t>
  </si>
  <si>
    <t>VS002</t>
  </si>
  <si>
    <t>VS003</t>
  </si>
  <si>
    <t>Lưu ý: 6 dòng đầu là DỮ LIỆU MẪU – xóa nội dung rồi nhập thật. Nhập ở ô nền trắng; ô nền xám (Tổng điểm, Tỷ lệ, Xếp loại) tự tính. Ngưỡng xếp loại chỉnh ở mục 5 sheet 'Cài đặt'. Hạn khắc phục quá ngày mà chưa 'Đã xong' sẽ tô màu cam.</t>
  </si>
  <si>
    <t>NGƯỜI KIỂM TRA</t>
  </si>
  <si>
    <t>TỔ TRƯỞNG VỆ SINH</t>
  </si>
  <si>
    <t>XÁC NHẬN CỦA ĐƠN VỊ</t>
  </si>
  <si>
    <t>(Ký, ghi rõ họ tên)</t>
  </si>
  <si>
    <t>VS004</t>
  </si>
  <si>
    <t>VS005</t>
  </si>
  <si>
    <t>VS006</t>
  </si>
  <si>
    <t>VS007</t>
  </si>
  <si>
    <t>Hoàng Thị Yến</t>
  </si>
  <si>
    <t>Phòng họp – căng tin</t>
  </si>
  <si>
    <t>VS008</t>
  </si>
  <si>
    <t>Bùi Thị Ngọc</t>
  </si>
  <si>
    <t>Tầng 6–7</t>
  </si>
  <si>
    <t>VS009</t>
  </si>
  <si>
    <t>Ngô Văn Dũng</t>
  </si>
  <si>
    <t>Thang máy – kính</t>
  </si>
  <si>
    <t>VS010</t>
  </si>
  <si>
    <t>Tổ trưởng – kiểm tra</t>
  </si>
  <si>
    <t>TỔNG CỘNG</t>
  </si>
  <si>
    <t>Tên, công, giờ lấy tự động từ sheet 'Chấm công'; đơn giá và hệ số lấy từ mục 4 sheet 'Cài đặt'. Chỉ nhập tay cột 'Tạm ứng / khấu trừ khác' (ô nền trắng). Công thức tính lương xem ghi chú ở mục 4 sheet 'Cài đặt'.</t>
  </si>
  <si>
    <t>NGƯỜI LẬP BẢNG</t>
  </si>
  <si>
    <t>KẾ TOÁN</t>
  </si>
  <si>
    <t>GIÁM ĐỐC / QUẢN LÝ</t>
  </si>
  <si>
    <t>Số người làm trong ngày</t>
  </si>
  <si>
    <t>Lưu ý: 10 dòng đầu là DỮ LIỆU MẪU – xóa họ tên, khu vực và ký hiệu rồi nhập thông tin thật. Nhập liệu ở cột A–D, lưới ngày và Ghi chú (nền trắng); các ô nền xám tự tính. Tăng ca = Tổng giờ làm − Công chuẩn × 8 giờ (nếu &gt; 0).</t>
  </si>
  <si>
    <t>KÝ HIỆU CHẤM CÔNG</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</si>
</sst>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0.0;\-0.0;\-"/>
    <numFmt numFmtId="165" formatCode="hh:mm"/>
    <numFmt numFmtId="166" formatCode="0.0"/>
    <numFmt numFmtId="167" formatCode="dd/mm/yyyy"/>
    <numFmt numFmtId="168" formatCode="#,##0;\-#,##0;\-"/>
    <numFmt numFmtId="169" formatCode="0.0%"/>
    <numFmt numFmtId="170" formatCode="0;\-0;\-"/>
  </numFmts>
  <fonts count="24">
    <font>
      <sz val="11.0"/>
      <color theme="1"/>
      <name val="Calibri"/>
      <scheme val="minor"/>
    </font>
    <font>
      <b/>
      <sz val="11.0"/>
      <color rgb="FFFFFFFF"/>
      <name val="Inter Tight"/>
    </font>
    <font/>
    <font>
      <b/>
      <sz val="14.0"/>
      <color rgb="FFFFFFFF"/>
      <name val="Inter Tight"/>
    </font>
    <font>
      <b/>
      <sz val="24.0"/>
      <color rgb="FFF97316"/>
      <name val="Inter Tight"/>
    </font>
    <font>
      <b/>
      <sz val="10.0"/>
      <color rgb="FFFFFFFF"/>
      <name val="Inter Tight"/>
    </font>
    <font>
      <sz val="9.0"/>
      <color rgb="FF27272A"/>
      <name val="Inter Tight"/>
    </font>
    <font>
      <sz val="11.0"/>
      <color rgb="FF3F3F46"/>
      <name val="Inter Tight"/>
    </font>
    <font>
      <b/>
      <sz val="10.0"/>
      <color rgb="FF3F3F46"/>
      <name val="Inter Tight"/>
    </font>
    <font>
      <b/>
      <sz val="10.0"/>
      <color rgb="FF9A3412"/>
      <name val="Inter Tight"/>
    </font>
    <font>
      <b/>
      <sz val="9.0"/>
      <color rgb="FFFFFFFF"/>
      <name val="Inter Tight"/>
    </font>
    <font>
      <b/>
      <sz val="16.0"/>
      <color rgb="FFF97316"/>
      <name val="Inter Tight"/>
    </font>
    <font>
      <sz val="10.0"/>
      <color rgb="FF71717A"/>
      <name val="Inter Tight"/>
    </font>
    <font>
      <b/>
      <sz val="8.0"/>
      <color rgb="FF71717A"/>
      <name val="Inter Tight"/>
    </font>
    <font>
      <sz val="10.0"/>
      <color rgb="FF27272A"/>
      <name val="Inter Tight"/>
    </font>
    <font>
      <i/>
      <sz val="8.0"/>
      <color rgb="FF71717A"/>
      <name val="Inter Tight"/>
    </font>
    <font>
      <b/>
      <sz val="10.0"/>
      <color rgb="FF27272A"/>
      <name val="Inter Tight"/>
    </font>
    <font>
      <b/>
      <sz val="9.0"/>
      <color rgb="FF27272A"/>
      <name val="Inter Tight"/>
    </font>
    <font>
      <b/>
      <sz val="9.0"/>
      <color rgb="FF3F3F46"/>
      <name val="Inter Tight"/>
    </font>
    <font>
      <i/>
      <sz val="9.0"/>
      <color rgb="FF71717A"/>
      <name val="Inter Tight"/>
    </font>
    <font>
      <b/>
      <sz val="9.0"/>
      <color rgb="FF9A3412"/>
      <name val="Inter Tight"/>
    </font>
    <font>
      <sz val="9.0"/>
      <color rgb="FF3F3F46"/>
      <name val="Inter Tight"/>
    </font>
    <font>
      <b/>
      <sz val="9.0"/>
      <color rgb="FF7C2D12"/>
      <name val="Inter Tight"/>
    </font>
    <font>
      <b/>
      <sz val="9.0"/>
      <color rgb="FFA1A1AA"/>
      <name val="Inter Tight"/>
    </font>
  </fonts>
  <fills count="14">
    <fill>
      <patternFill patternType="none"/>
    </fill>
    <fill>
      <patternFill patternType="lightGray"/>
    </fill>
    <fill>
      <patternFill patternType="solid">
        <fgColor rgb="FFF97316"/>
        <bgColor rgb="FFF97316"/>
      </patternFill>
    </fill>
    <fill>
      <patternFill patternType="solid">
        <fgColor rgb="FF3F3F46"/>
        <bgColor rgb="FF3F3F46"/>
      </patternFill>
    </fill>
    <fill>
      <patternFill patternType="solid">
        <fgColor rgb="FFF4F4F5"/>
        <bgColor rgb="FFF4F4F5"/>
      </patternFill>
    </fill>
    <fill>
      <patternFill patternType="solid">
        <fgColor rgb="FFFFF7ED"/>
        <bgColor rgb="FFFFF7ED"/>
      </patternFill>
    </fill>
    <fill>
      <patternFill patternType="solid">
        <fgColor rgb="FF71717A"/>
        <bgColor rgb="FF71717A"/>
      </patternFill>
    </fill>
    <fill>
      <patternFill patternType="solid">
        <fgColor rgb="FFFFFFFF"/>
        <bgColor rgb="FFFFFFFF"/>
      </patternFill>
    </fill>
    <fill>
      <patternFill patternType="solid">
        <fgColor rgb="FFFFEDD5"/>
        <bgColor rgb="FFFFEDD5"/>
      </patternFill>
    </fill>
    <fill>
      <patternFill patternType="solid">
        <fgColor rgb="FFE4E4E7"/>
        <bgColor rgb="FFE4E4E7"/>
      </patternFill>
    </fill>
    <fill>
      <patternFill patternType="solid">
        <fgColor rgb="FFFED7AA"/>
        <bgColor rgb="FFFED7AA"/>
      </patternFill>
    </fill>
    <fill>
      <patternFill patternType="solid">
        <fgColor rgb="FFFDBA74"/>
        <bgColor rgb="FFFDBA74"/>
      </patternFill>
    </fill>
    <fill>
      <patternFill patternType="solid">
        <fgColor rgb="FF9A3412"/>
        <bgColor rgb="FF9A3412"/>
      </patternFill>
    </fill>
    <fill>
      <patternFill patternType="solid">
        <fgColor rgb="FFD4D4D8"/>
        <bgColor rgb="FFD4D4D8"/>
      </patternFill>
    </fill>
  </fills>
  <borders count="21">
    <border/>
    <border>
      <left/>
      <top/>
      <bottom/>
    </border>
    <border>
      <top/>
      <bottom/>
    </border>
    <border>
      <right/>
      <top/>
      <bottom/>
    </border>
    <border>
      <left style="thin">
        <color rgb="FFD4D4D8"/>
      </left>
      <top style="thin">
        <color rgb="FFD4D4D8"/>
      </top>
    </border>
    <border>
      <right style="thin">
        <color rgb="FFD4D4D8"/>
      </right>
      <top style="thin">
        <color rgb="FFD4D4D8"/>
      </top>
    </border>
    <border>
      <left style="thin">
        <color rgb="FFD4D4D8"/>
      </left>
      <top style="thin">
        <color rgb="FFD4D4D8"/>
      </top>
      <bottom style="thin">
        <color rgb="FFD4D4D8"/>
      </bottom>
    </border>
    <border>
      <right style="thin">
        <color rgb="FFD4D4D8"/>
      </right>
      <top style="thin">
        <color rgb="FFD4D4D8"/>
      </top>
      <bottom style="thin">
        <color rgb="FFD4D4D8"/>
      </bottom>
    </border>
    <border>
      <left style="thin">
        <color rgb="FFD4D4D8"/>
      </left>
      <right style="thin">
        <color rgb="FFD4D4D8"/>
      </right>
      <top style="thin">
        <color rgb="FFD4D4D8"/>
      </top>
    </border>
    <border>
      <left style="thin">
        <color rgb="FFF97316"/>
      </left>
      <top style="thin">
        <color rgb="FFF97316"/>
      </top>
      <bottom style="thin">
        <color rgb="FFF97316"/>
      </bottom>
    </border>
    <border>
      <top style="thin">
        <color rgb="FFF97316"/>
      </top>
      <bottom style="thin">
        <color rgb="FFF97316"/>
      </bottom>
    </border>
    <border>
      <right style="thin">
        <color rgb="FFF97316"/>
      </right>
      <top style="thin">
        <color rgb="FFF97316"/>
      </top>
      <bottom style="thin">
        <color rgb="FFF97316"/>
      </bottom>
    </border>
    <border>
      <left style="thin">
        <color rgb="FFD4D4D8"/>
      </left>
    </border>
    <border>
      <right style="thin">
        <color rgb="FFD4D4D8"/>
      </right>
    </border>
    <border>
      <top style="thin">
        <color rgb="FFD4D4D8"/>
      </top>
      <bottom style="thin">
        <color rgb="FFD4D4D8"/>
      </bottom>
    </border>
    <border>
      <left style="thin">
        <color rgb="FFD4D4D8"/>
      </left>
      <right style="thin">
        <color rgb="FFD4D4D8"/>
      </right>
    </border>
    <border>
      <left style="thin">
        <color rgb="FFD4D4D8"/>
      </left>
      <right style="thin">
        <color rgb="FFD4D4D8"/>
      </right>
      <bottom style="thin">
        <color rgb="FFD4D4D8"/>
      </bottom>
    </border>
    <border>
      <left style="thin">
        <color rgb="FFD4D4D8"/>
      </left>
      <right style="thin">
        <color rgb="FFD4D4D8"/>
      </right>
      <top style="thin">
        <color rgb="FFD4D4D8"/>
      </top>
      <bottom style="thin">
        <color rgb="FFD4D4D8"/>
      </bottom>
    </border>
    <border>
      <left style="thin">
        <color rgb="FFD4D4D8"/>
      </left>
      <bottom style="thin">
        <color rgb="FFD4D4D8"/>
      </bottom>
    </border>
    <border>
      <right style="thin">
        <color rgb="FFD4D4D8"/>
      </right>
      <bottom style="thin">
        <color rgb="FFD4D4D8"/>
      </bottom>
    </border>
    <border>
      <left style="thin">
        <color rgb="FFF97316"/>
      </left>
      <right style="thin">
        <color rgb="FFF97316"/>
      </right>
      <top style="thin">
        <color rgb="FFF97316"/>
      </top>
      <bottom style="thin">
        <color rgb="FFF97316"/>
      </bottom>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2" fillId="0" fontId="2" numFmtId="0" xfId="0" applyBorder="1" applyFont="1"/>
    <xf borderId="1" fillId="2" fontId="3" numFmtId="0" xfId="0" applyAlignment="1" applyBorder="1" applyFill="1" applyFont="1">
      <alignment horizontal="left" shrinkToFit="0" vertical="center" wrapText="0"/>
    </xf>
    <xf borderId="3" fillId="0" fontId="2" numFmtId="0" xfId="0" applyBorder="1" applyFont="1"/>
    <xf borderId="0" fillId="0" fontId="4" numFmtId="0" xfId="0" applyAlignment="1" applyFont="1">
      <alignment horizontal="left" shrinkToFit="0" vertical="center" wrapText="0"/>
    </xf>
    <xf borderId="0" fillId="0" fontId="4" numFmtId="0" xfId="0" applyAlignment="1" applyFont="1">
      <alignment horizontal="center" shrinkToFit="0" vertical="center" wrapText="0"/>
    </xf>
    <xf borderId="1" fillId="3" fontId="5" numFmtId="0" xfId="0" applyAlignment="1" applyBorder="1" applyFill="1" applyFont="1">
      <alignment horizontal="left" shrinkToFit="0" vertical="center" wrapText="0"/>
    </xf>
    <xf borderId="4" fillId="4" fontId="6" numFmtId="0" xfId="0" applyAlignment="1" applyBorder="1" applyFill="1" applyFont="1">
      <alignment horizontal="left" shrinkToFit="0" vertical="top" wrapText="1"/>
    </xf>
    <xf borderId="5" fillId="0" fontId="2" numFmtId="0" xfId="0" applyBorder="1" applyFont="1"/>
    <xf borderId="0" fillId="0" fontId="7" numFmtId="0" xfId="0" applyAlignment="1" applyFont="1">
      <alignment horizontal="left" shrinkToFit="0" vertical="center" wrapText="0"/>
    </xf>
    <xf borderId="6" fillId="4" fontId="8" numFmtId="0" xfId="0" applyAlignment="1" applyBorder="1" applyFill="1" applyFont="1">
      <alignment horizontal="left" shrinkToFit="0" vertical="center" wrapText="0"/>
    </xf>
    <xf borderId="7" fillId="0" fontId="2" numFmtId="0" xfId="0" applyBorder="1" applyFont="1"/>
    <xf borderId="8" fillId="3" fontId="5" numFmtId="0" xfId="0" applyAlignment="1" applyBorder="1" applyFill="1" applyFont="1">
      <alignment horizontal="center" shrinkToFit="0" vertical="center" wrapText="1"/>
    </xf>
    <xf borderId="9" fillId="5" fontId="9" numFmtId="0" xfId="0" applyAlignment="1" applyBorder="1" applyFill="1" applyFont="1">
      <alignment horizontal="left" shrinkToFit="0" vertical="center" wrapText="0"/>
    </xf>
    <xf borderId="10" fillId="0" fontId="2" numFmtId="0" xfId="0" applyBorder="1" applyFont="1"/>
    <xf borderId="1" fillId="3" fontId="10" numFmtId="0" xfId="0" applyAlignment="1" applyBorder="1" applyFill="1" applyFont="1">
      <alignment horizontal="center" shrinkToFit="0" vertical="center" wrapText="0"/>
    </xf>
    <xf borderId="11" fillId="0" fontId="2" numFmtId="0" xfId="0" applyBorder="1" applyFont="1"/>
    <xf borderId="12" fillId="0" fontId="2" numFmtId="0" xfId="0" applyBorder="1" applyFont="1"/>
    <xf borderId="13" fillId="0" fontId="2" numFmtId="0" xfId="0" applyBorder="1" applyFont="1"/>
    <xf borderId="6" fillId="2" fontId="5" numFmtId="0" xfId="0" applyAlignment="1" applyBorder="1" applyFill="1" applyFont="1">
      <alignment horizontal="center" shrinkToFit="0" vertical="center" wrapText="0"/>
    </xf>
    <xf borderId="14" fillId="0" fontId="2" numFmtId="0" xfId="0" applyBorder="1" applyFont="1"/>
    <xf borderId="6" fillId="6" fontId="5" numFmtId="0" xfId="0" applyAlignment="1" applyBorder="1" applyFill="1" applyFont="1">
      <alignment horizontal="center" shrinkToFit="0" vertical="center" wrapText="0"/>
    </xf>
    <xf borderId="6" fillId="4" fontId="11" numFmtId="1" xfId="0" applyAlignment="1" applyBorder="1" applyFill="1" applyFont="1" applyNumberFormat="1">
      <alignment horizontal="center" shrinkToFit="0" vertical="center" wrapText="0"/>
    </xf>
    <xf borderId="9" fillId="5" fontId="9" numFmtId="1" xfId="0" applyAlignment="1" applyBorder="1" applyFill="1" applyFont="1" applyNumberFormat="1">
      <alignment horizontal="center" shrinkToFit="0" vertical="center" wrapText="0"/>
    </xf>
    <xf borderId="8" fillId="3" fontId="5" numFmtId="0" xfId="0" applyAlignment="1" applyBorder="1" applyFill="1" applyFont="1">
      <alignment horizontal="center" shrinkToFit="0" vertical="center" wrapText="0"/>
    </xf>
    <xf borderId="15" fillId="0" fontId="2" numFmtId="0" xfId="0" applyBorder="1" applyFont="1"/>
    <xf borderId="16" fillId="0" fontId="2" numFmtId="0" xfId="0" applyBorder="1" applyFont="1"/>
    <xf borderId="17" fillId="3" fontId="10" numFmtId="0" xfId="0" applyAlignment="1" applyBorder="1" applyFill="1" applyFont="1">
      <alignment horizontal="center" shrinkToFit="0" vertical="center" wrapText="1"/>
    </xf>
    <xf borderId="17" fillId="4" fontId="12" numFmtId="0" xfId="0" applyAlignment="1" applyBorder="1" applyFill="1" applyFont="1">
      <alignment horizontal="center" shrinkToFit="0" vertical="center" wrapText="0"/>
    </xf>
    <xf borderId="17" fillId="4" fontId="13" numFmtId="0" xfId="0" applyAlignment="1" applyBorder="1" applyFill="1" applyFont="1">
      <alignment horizontal="center" shrinkToFit="0" vertical="center" wrapText="0"/>
    </xf>
    <xf borderId="6" fillId="4" fontId="11" numFmtId="9" xfId="0" applyAlignment="1" applyBorder="1" applyFill="1" applyFont="1" applyNumberFormat="1">
      <alignment horizontal="center" shrinkToFit="0" vertical="center" wrapText="0"/>
    </xf>
    <xf borderId="6" fillId="4" fontId="14" numFmtId="1" xfId="0" applyAlignment="1" applyBorder="1" applyFill="1" applyFont="1" applyNumberFormat="1">
      <alignment horizontal="center" shrinkToFit="0" vertical="center" wrapText="0"/>
    </xf>
    <xf borderId="0" fillId="0" fontId="15" numFmtId="0" xfId="0" applyAlignment="1" applyFont="1">
      <alignment horizontal="left" shrinkToFit="0" vertical="center" wrapText="1"/>
    </xf>
    <xf borderId="17" fillId="4" fontId="14" numFmtId="0" xfId="0" applyAlignment="1" applyBorder="1" applyFill="1" applyFont="1">
      <alignment horizontal="center" shrinkToFit="0" vertical="center" wrapText="0"/>
    </xf>
    <xf borderId="17" fillId="4" fontId="16" numFmtId="0" xfId="0" applyAlignment="1" applyBorder="1" applyFill="1" applyFont="1">
      <alignment horizontal="left" shrinkToFit="0" vertical="center" wrapText="0"/>
    </xf>
    <xf borderId="17" fillId="4" fontId="6" numFmtId="0" xfId="0" applyAlignment="1" applyBorder="1" applyFill="1" applyFont="1">
      <alignment horizontal="left" shrinkToFit="0" vertical="center" wrapText="0"/>
    </xf>
    <xf borderId="18" fillId="0" fontId="2" numFmtId="0" xfId="0" applyBorder="1" applyFont="1"/>
    <xf borderId="19" fillId="0" fontId="2" numFmtId="0" xfId="0" applyBorder="1" applyFont="1"/>
    <xf borderId="17" fillId="4" fontId="14" numFmtId="164" xfId="0" applyAlignment="1" applyBorder="1" applyFill="1" applyFont="1" applyNumberFormat="1">
      <alignment horizontal="center" shrinkToFit="0" vertical="center" wrapText="0"/>
    </xf>
    <xf borderId="17" fillId="2" fontId="10" numFmtId="0" xfId="0" applyAlignment="1" applyBorder="1" applyFill="1" applyFont="1">
      <alignment horizontal="center" shrinkToFit="0" vertical="center" wrapText="1"/>
    </xf>
    <xf borderId="17" fillId="2" fontId="10" numFmtId="0" xfId="0" applyAlignment="1" applyBorder="1" applyFill="1" applyFont="1">
      <alignment horizontal="center" shrinkToFit="0" vertical="center" wrapText="0"/>
    </xf>
    <xf borderId="20" fillId="5" fontId="9" numFmtId="0" xfId="0" applyAlignment="1" applyBorder="1" applyFill="1" applyFont="1">
      <alignment horizontal="center" shrinkToFit="0" vertical="center" wrapText="0"/>
    </xf>
    <xf borderId="20" fillId="5" fontId="14" numFmtId="0" xfId="0" applyAlignment="1" applyBorder="1" applyFill="1" applyFont="1">
      <alignment horizontal="left" shrinkToFit="0" vertical="center" wrapText="0"/>
    </xf>
    <xf borderId="17" fillId="6" fontId="10" numFmtId="0" xfId="0" applyAlignment="1" applyBorder="1" applyFill="1" applyFont="1">
      <alignment horizontal="center" shrinkToFit="0" vertical="center" wrapText="1"/>
    </xf>
    <xf borderId="20" fillId="5" fontId="14" numFmtId="165" xfId="0" applyAlignment="1" applyBorder="1" applyFill="1" applyFont="1" applyNumberFormat="1">
      <alignment horizontal="center" shrinkToFit="0" vertical="center" wrapText="0"/>
    </xf>
    <xf borderId="17" fillId="0" fontId="12" numFmtId="0" xfId="0" applyAlignment="1" applyBorder="1" applyFont="1">
      <alignment horizontal="center" shrinkToFit="0" vertical="center" wrapText="0"/>
    </xf>
    <xf borderId="20" fillId="5" fontId="14" numFmtId="166" xfId="0" applyAlignment="1" applyBorder="1" applyFill="1" applyFont="1" applyNumberFormat="1">
      <alignment horizontal="center" shrinkToFit="0" vertical="center" wrapText="0"/>
    </xf>
    <xf borderId="17" fillId="7" fontId="14" numFmtId="167" xfId="0" applyAlignment="1" applyBorder="1" applyFill="1" applyFont="1" applyNumberFormat="1">
      <alignment horizontal="center" shrinkToFit="0" vertical="center" wrapText="0"/>
    </xf>
    <xf borderId="17" fillId="7" fontId="6" numFmtId="0" xfId="0" applyAlignment="1" applyBorder="1" applyFill="1" applyFont="1">
      <alignment horizontal="left" shrinkToFit="0" vertical="center" wrapText="0"/>
    </xf>
    <xf borderId="17" fillId="4" fontId="9" numFmtId="164" xfId="0" applyAlignment="1" applyBorder="1" applyFill="1" applyFont="1" applyNumberFormat="1">
      <alignment horizontal="center" shrinkToFit="0" vertical="center" wrapText="0"/>
    </xf>
    <xf borderId="17" fillId="4" fontId="14" numFmtId="166" xfId="0" applyAlignment="1" applyBorder="1" applyFill="1" applyFont="1" applyNumberFormat="1">
      <alignment horizontal="center" shrinkToFit="0" vertical="center" wrapText="0"/>
    </xf>
    <xf borderId="17" fillId="7" fontId="16" numFmtId="0" xfId="0" applyAlignment="1" applyBorder="1" applyFill="1" applyFont="1">
      <alignment horizontal="center" shrinkToFit="0" vertical="center" wrapText="0"/>
    </xf>
    <xf borderId="20" fillId="5" fontId="14" numFmtId="167" xfId="0" applyAlignment="1" applyBorder="1" applyFill="1" applyFont="1" applyNumberFormat="1">
      <alignment horizontal="center" shrinkToFit="0" vertical="center" wrapText="0"/>
    </xf>
    <xf borderId="17" fillId="4" fontId="14" numFmtId="168" xfId="0" applyAlignment="1" applyBorder="1" applyFill="1" applyFont="1" applyNumberFormat="1">
      <alignment horizontal="center" shrinkToFit="0" vertical="center" wrapText="0"/>
    </xf>
    <xf borderId="17" fillId="4" fontId="16" numFmtId="0" xfId="0" applyAlignment="1" applyBorder="1" applyFill="1" applyFont="1">
      <alignment horizontal="center" shrinkToFit="0" vertical="center" wrapText="0"/>
    </xf>
    <xf borderId="17" fillId="4" fontId="14" numFmtId="9" xfId="0" applyAlignment="1" applyBorder="1" applyFill="1" applyFont="1" applyNumberFormat="1">
      <alignment horizontal="center" shrinkToFit="0" vertical="center" wrapText="0"/>
    </xf>
    <xf borderId="17" fillId="4" fontId="14" numFmtId="165" xfId="0" applyAlignment="1" applyBorder="1" applyFill="1" applyFont="1" applyNumberFormat="1">
      <alignment horizontal="center" shrinkToFit="0" vertical="center" wrapText="0"/>
    </xf>
    <xf borderId="0" fillId="0" fontId="15" numFmtId="0" xfId="0" applyAlignment="1" applyFont="1">
      <alignment horizontal="left" shrinkToFit="0" vertical="top" wrapText="1"/>
    </xf>
    <xf borderId="17" fillId="8" fontId="16" numFmtId="168" xfId="0" applyAlignment="1" applyBorder="1" applyFill="1" applyFont="1" applyNumberFormat="1">
      <alignment horizontal="center" shrinkToFit="0" vertical="center" wrapText="0"/>
    </xf>
    <xf borderId="17" fillId="4" fontId="17" numFmtId="0" xfId="0" applyAlignment="1" applyBorder="1" applyFill="1" applyFont="1">
      <alignment horizontal="center" shrinkToFit="0" vertical="center" wrapText="0"/>
    </xf>
    <xf borderId="9" fillId="5" fontId="9" numFmtId="3" xfId="0" applyAlignment="1" applyBorder="1" applyFill="1" applyFont="1" applyNumberFormat="1">
      <alignment horizontal="center" shrinkToFit="0" vertical="center" wrapText="0"/>
    </xf>
    <xf borderId="17" fillId="7" fontId="14" numFmtId="168" xfId="0" applyAlignment="1" applyBorder="1" applyFill="1" applyFont="1" applyNumberFormat="1">
      <alignment horizontal="center" shrinkToFit="0" vertical="center" wrapText="0"/>
    </xf>
    <xf borderId="17" fillId="7" fontId="6" numFmtId="0" xfId="0" applyAlignment="1" applyBorder="1" applyFill="1" applyFont="1">
      <alignment horizontal="left" shrinkToFit="0" vertical="center" wrapText="1"/>
    </xf>
    <xf borderId="17" fillId="7" fontId="6" numFmtId="167" xfId="0" applyAlignment="1" applyBorder="1" applyFill="1" applyFont="1" applyNumberFormat="1">
      <alignment horizontal="center" shrinkToFit="0" vertical="center" wrapText="0"/>
    </xf>
    <xf borderId="9" fillId="5" fontId="9" numFmtId="166" xfId="0" applyAlignment="1" applyBorder="1" applyFill="1" applyFont="1" applyNumberFormat="1">
      <alignment horizontal="center" shrinkToFit="0" vertical="center" wrapText="0"/>
    </xf>
    <xf borderId="17" fillId="8" fontId="9" numFmtId="168" xfId="0" applyAlignment="1" applyBorder="1" applyFill="1" applyFont="1" applyNumberFormat="1">
      <alignment horizontal="center" shrinkToFit="0" vertical="center" wrapText="0"/>
    </xf>
    <xf borderId="17" fillId="7" fontId="6" numFmtId="0" xfId="0" applyAlignment="1" applyBorder="1" applyFill="1" applyFont="1">
      <alignment horizontal="center" shrinkToFit="0" vertical="center" wrapText="0"/>
    </xf>
    <xf borderId="17" fillId="7" fontId="14" numFmtId="0" xfId="0" applyAlignment="1" applyBorder="1" applyFill="1" applyFont="1">
      <alignment horizontal="center" shrinkToFit="0" vertical="center" wrapText="0"/>
    </xf>
    <xf borderId="9" fillId="5" fontId="9" numFmtId="169" xfId="0" applyAlignment="1" applyBorder="1" applyFill="1" applyFont="1" applyNumberFormat="1">
      <alignment horizontal="center" shrinkToFit="0" vertical="center" wrapText="0"/>
    </xf>
    <xf borderId="9" fillId="5" fontId="9" numFmtId="9" xfId="0" applyAlignment="1" applyBorder="1" applyFill="1" applyFont="1" applyNumberFormat="1">
      <alignment horizontal="center" shrinkToFit="0" vertical="center" wrapText="0"/>
    </xf>
    <xf borderId="0" fillId="0" fontId="15" numFmtId="0" xfId="0" applyAlignment="1" applyFont="1">
      <alignment horizontal="left" shrinkToFit="0" vertical="center" wrapText="0"/>
    </xf>
    <xf borderId="8" fillId="3" fontId="10" numFmtId="0" xfId="0" applyAlignment="1" applyBorder="1" applyFill="1" applyFont="1">
      <alignment horizontal="center" shrinkToFit="0" vertical="center" wrapText="1"/>
    </xf>
    <xf borderId="17" fillId="3" fontId="5" numFmtId="0" xfId="0" applyAlignment="1" applyBorder="1" applyFill="1" applyFont="1">
      <alignment horizontal="center" shrinkToFit="0" vertical="center" wrapText="0"/>
    </xf>
    <xf borderId="17" fillId="9" fontId="18" numFmtId="0" xfId="0" applyAlignment="1" applyBorder="1" applyFill="1" applyFont="1">
      <alignment horizontal="center" shrinkToFit="0" vertical="center" wrapText="0"/>
    </xf>
    <xf borderId="17" fillId="7" fontId="12" numFmtId="0" xfId="0" applyAlignment="1" applyBorder="1" applyFill="1" applyFont="1">
      <alignment horizontal="center" shrinkToFit="0" vertical="center" wrapText="0"/>
    </xf>
    <xf borderId="17" fillId="7" fontId="14" numFmtId="0" xfId="0" applyAlignment="1" applyBorder="1" applyFill="1" applyFont="1">
      <alignment horizontal="left" shrinkToFit="0" vertical="center" wrapText="0"/>
    </xf>
    <xf borderId="17" fillId="7" fontId="17" numFmtId="0" xfId="0" applyAlignment="1" applyBorder="1" applyFill="1" applyFont="1">
      <alignment horizontal="center" shrinkToFit="0" vertical="center" wrapText="0"/>
    </xf>
    <xf borderId="17" fillId="4" fontId="14" numFmtId="170" xfId="0" applyAlignment="1" applyBorder="1" applyFill="1" applyFont="1" applyNumberFormat="1">
      <alignment horizontal="center" shrinkToFit="0" vertical="center" wrapText="0"/>
    </xf>
    <xf borderId="17" fillId="4" fontId="16" numFmtId="164" xfId="0" applyAlignment="1" applyBorder="1" applyFill="1" applyFont="1" applyNumberFormat="1">
      <alignment horizontal="center" shrinkToFit="0" vertical="center" wrapText="0"/>
    </xf>
    <xf borderId="0" fillId="0" fontId="19" numFmtId="0" xfId="0" applyAlignment="1" applyFont="1">
      <alignment horizontal="left" shrinkToFit="0" vertical="center" wrapText="0"/>
    </xf>
    <xf borderId="0" fillId="0" fontId="8" numFmtId="0" xfId="0" applyAlignment="1" applyFont="1">
      <alignment horizontal="center" shrinkToFit="0" vertical="center" wrapText="0"/>
    </xf>
    <xf borderId="0" fillId="0" fontId="19" numFmtId="0" xfId="0" applyAlignment="1" applyFont="1">
      <alignment horizontal="center" shrinkToFit="0" vertical="center" wrapText="0"/>
    </xf>
    <xf borderId="6" fillId="3" fontId="5" numFmtId="0" xfId="0" applyAlignment="1" applyBorder="1" applyFill="1" applyFont="1">
      <alignment horizontal="left" shrinkToFit="0" vertical="center" wrapText="0"/>
    </xf>
    <xf borderId="17" fillId="8" fontId="9" numFmtId="164" xfId="0" applyAlignment="1" applyBorder="1" applyFill="1" applyFont="1" applyNumberFormat="1">
      <alignment horizontal="center" shrinkToFit="0" vertical="center" wrapText="0"/>
    </xf>
    <xf borderId="6" fillId="4" fontId="14" numFmtId="0" xfId="0" applyAlignment="1" applyBorder="1" applyFill="1" applyFont="1">
      <alignment horizontal="center" shrinkToFit="0" vertical="center" wrapText="0"/>
    </xf>
    <xf borderId="17" fillId="8" fontId="9" numFmtId="170" xfId="0" applyAlignment="1" applyBorder="1" applyFill="1" applyFont="1" applyNumberFormat="1">
      <alignment horizontal="center" shrinkToFit="0" vertical="center" wrapText="0"/>
    </xf>
    <xf borderId="17" fillId="8" fontId="20" numFmtId="170" xfId="0" applyAlignment="1" applyBorder="1" applyFill="1" applyFont="1" applyNumberFormat="1">
      <alignment horizontal="center" shrinkToFit="0" vertical="center" wrapText="0"/>
    </xf>
    <xf borderId="6" fillId="4" fontId="21" numFmtId="0" xfId="0" applyAlignment="1" applyBorder="1" applyFill="1" applyFont="1">
      <alignment horizontal="left" shrinkToFit="0" vertical="center" wrapText="0"/>
    </xf>
    <xf borderId="17" fillId="4" fontId="21" numFmtId="170" xfId="0" applyAlignment="1" applyBorder="1" applyFill="1" applyFont="1" applyNumberFormat="1">
      <alignment horizontal="center" shrinkToFit="0" vertical="center" wrapText="0"/>
    </xf>
    <xf borderId="6" fillId="3" fontId="5" numFmtId="0" xfId="0" applyAlignment="1" applyBorder="1" applyFill="1" applyFont="1">
      <alignment horizontal="center" shrinkToFit="0" vertical="center" wrapText="0"/>
    </xf>
    <xf borderId="17" fillId="8" fontId="20" numFmtId="0" xfId="0" applyAlignment="1" applyBorder="1" applyFill="1" applyFont="1">
      <alignment horizontal="center" shrinkToFit="0" vertical="center" wrapText="0"/>
    </xf>
    <xf borderId="6" fillId="0" fontId="6" numFmtId="0" xfId="0" applyAlignment="1" applyBorder="1" applyFont="1">
      <alignment horizontal="left" shrinkToFit="0" vertical="center" wrapText="0"/>
    </xf>
    <xf borderId="17" fillId="10" fontId="20" numFmtId="0" xfId="0" applyAlignment="1" applyBorder="1" applyFill="1" applyFont="1">
      <alignment horizontal="center" shrinkToFit="0" vertical="center" wrapText="0"/>
    </xf>
    <xf borderId="17" fillId="11" fontId="22" numFmtId="0" xfId="0" applyAlignment="1" applyBorder="1" applyFill="1" applyFont="1">
      <alignment horizontal="center" shrinkToFit="0" vertical="center" wrapText="0"/>
    </xf>
    <xf borderId="17" fillId="12" fontId="10" numFmtId="0" xfId="0" applyAlignment="1" applyBorder="1" applyFill="1" applyFont="1">
      <alignment horizontal="center" shrinkToFit="0" vertical="center" wrapText="0"/>
    </xf>
    <xf borderId="17" fillId="13" fontId="18" numFmtId="0" xfId="0" applyAlignment="1" applyBorder="1" applyFill="1" applyFont="1">
      <alignment horizontal="center" shrinkToFit="0" vertical="center" wrapText="0"/>
    </xf>
    <xf borderId="17" fillId="6" fontId="10" numFmtId="0" xfId="0" applyAlignment="1" applyBorder="1" applyFill="1" applyFont="1">
      <alignment horizontal="center" shrinkToFit="0" vertical="center" wrapText="0"/>
    </xf>
    <xf borderId="17" fillId="3" fontId="10" numFmtId="0" xfId="0" applyAlignment="1" applyBorder="1" applyFill="1" applyFont="1">
      <alignment horizontal="center" shrinkToFit="0" vertical="center" wrapText="0"/>
    </xf>
    <xf borderId="17" fillId="4" fontId="23" numFmtId="0" xfId="0" applyAlignment="1" applyBorder="1" applyFill="1" applyFont="1">
      <alignment horizontal="center" shrinkToFit="0" vertical="center" wrapText="0"/>
    </xf>
  </cellXfs>
  <cellStyles count="1">
    <cellStyle xfId="0" name="Normal" builtinId="0"/>
  </cellStyles>
  <dxfs count="10">
    <dxf>
      <font>
        <b/>
        <color rgb="FFFFFFFF"/>
      </font>
      <fill>
        <patternFill patternType="solid">
          <fgColor rgb="FFF97316"/>
          <bgColor rgb="FFF97316"/>
        </patternFill>
      </fill>
      <border/>
    </dxf>
    <dxf>
      <font>
        <b/>
        <color rgb="FF9A3412"/>
      </font>
      <fill>
        <patternFill patternType="solid">
          <fgColor rgb="FFFED7AA"/>
          <bgColor rgb="FFFED7AA"/>
        </patternFill>
      </fill>
      <border/>
    </dxf>
    <dxf>
      <font>
        <b/>
        <color rgb="FF3F3F46"/>
      </font>
      <fill>
        <patternFill patternType="solid">
          <fgColor rgb="FFE4E4E7"/>
          <bgColor rgb="FFE4E4E7"/>
        </patternFill>
      </fill>
      <border/>
    </dxf>
    <dxf>
      <font>
        <b/>
        <color rgb="FFFFFFFF"/>
      </font>
      <fill>
        <patternFill patternType="solid">
          <fgColor rgb="FF3F3F46"/>
          <bgColor rgb="FF3F3F46"/>
        </patternFill>
      </fill>
      <border/>
    </dxf>
    <dxf>
      <font>
        <b/>
        <color rgb="FF9A3412"/>
      </font>
      <fill>
        <patternFill patternType="solid">
          <fgColor rgb="FFFFEDD5"/>
          <bgColor rgb="FFFFEDD5"/>
        </patternFill>
      </fill>
      <border/>
    </dxf>
    <dxf>
      <font>
        <b/>
        <color rgb="FF71717A"/>
      </font>
      <fill>
        <patternFill patternType="solid">
          <fgColor rgb="FFF4F4F5"/>
          <bgColor rgb="FFF4F4F5"/>
        </patternFill>
      </fill>
      <border/>
    </dxf>
    <dxf>
      <font/>
      <fill>
        <patternFill patternType="solid">
          <fgColor rgb="FFD4D4D8"/>
          <bgColor rgb="FFD4D4D8"/>
        </patternFill>
      </fill>
      <border/>
    </dxf>
    <dxf>
      <font/>
      <fill>
        <patternFill patternType="solid">
          <fgColor rgb="FFFFEDD5"/>
          <bgColor rgb="FFFFEDD5"/>
        </patternFill>
      </fill>
      <border/>
    </dxf>
    <dxf>
      <font/>
      <fill>
        <patternFill patternType="solid">
          <fgColor rgb="FFFFF7ED"/>
          <bgColor rgb="FFFFF7ED"/>
        </patternFill>
      </fill>
      <border/>
    </dxf>
    <dxf>
      <font>
        <b/>
        <color rgb="FFFFFFFF"/>
      </font>
      <fill>
        <patternFill patternType="solid">
          <fgColor rgb="FF9A3412"/>
          <bgColor rgb="FF9A3412"/>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97316"/>
    <pageSetUpPr fitToPage="1"/>
  </sheetPr>
  <sheetViews>
    <sheetView showGridLines="0" workbookViewId="0">
      <pane xSplit="4.0" ySplit="7.0" topLeftCell="E8" activePane="bottomRight" state="frozen"/>
      <selection activeCell="E1" sqref="E1" pane="topRight"/>
      <selection activeCell="A8" sqref="A8" pane="bottomLeft"/>
      <selection activeCell="E8" sqref="E8" pane="bottomRight"/>
    </sheetView>
  </sheetViews>
  <sheetFormatPr customHeight="1" defaultColWidth="14.43" defaultRowHeight="15.0"/>
  <cols>
    <col customWidth="1" min="1" max="1" width="5.0"/>
    <col customWidth="1" min="2" max="2" width="10.0"/>
    <col customWidth="1" min="3" max="3" width="24.0"/>
    <col customWidth="1" min="4" max="4" width="20.0"/>
    <col customWidth="1" min="5" max="35" width="4.86"/>
    <col customWidth="1" min="36" max="44" width="7.43"/>
    <col customWidth="1" min="45" max="49" width="10.57"/>
    <col customWidth="1" min="50" max="50" width="24.0"/>
  </cols>
  <sheetData>
    <row r="1" ht="24.0"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4"/>
    </row>
    <row r="2" ht="39.75" customHeight="1">
      <c r="A2" s="5"/>
      <c r="B2" s="5"/>
      <c r="C2" s="5"/>
      <c r="D2" s="5"/>
      <c r="E2" s="6" t="s">
        <v>1</v>
      </c>
      <c r="AH2" s="5"/>
      <c r="AI2" s="5"/>
    </row>
    <row r="3" ht="21.75" customHeight="1">
      <c r="A3" s="10" t="str">
        <f>"Tháng "&amp;'Cài đặt'!D7&amp;" năm "&amp;'Cài đặt'!D8&amp;"   |   Địa điểm: "&amp;'Cài đặt'!D6&amp;"   |   Công chuẩn: "&amp;'Cài đặt'!D11&amp;" ngày"</f>
        <v>Tháng 11 năm 2026   |   Địa điểm: Tòa nhà văn phòng ABC – 123 Phố Huế, Hà Nội   |   Công chuẩn: 25 ngày</v>
      </c>
    </row>
    <row r="4" ht="19.5" customHeight="1">
      <c r="A4" s="13" t="s">
        <v>8</v>
      </c>
      <c r="B4" s="13" t="s">
        <v>11</v>
      </c>
      <c r="C4" s="13" t="s">
        <v>12</v>
      </c>
      <c r="D4" s="13" t="s">
        <v>13</v>
      </c>
      <c r="E4" s="20" t="s">
        <v>14</v>
      </c>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12"/>
      <c r="AJ4" s="22" t="s">
        <v>22</v>
      </c>
      <c r="AK4" s="21"/>
      <c r="AL4" s="21"/>
      <c r="AM4" s="21"/>
      <c r="AN4" s="21"/>
      <c r="AO4" s="21"/>
      <c r="AP4" s="21"/>
      <c r="AQ4" s="21"/>
      <c r="AR4" s="12"/>
      <c r="AS4" s="20" t="s">
        <v>24</v>
      </c>
      <c r="AT4" s="21"/>
      <c r="AU4" s="21"/>
      <c r="AV4" s="21"/>
      <c r="AW4" s="12"/>
      <c r="AX4" s="25" t="s">
        <v>26</v>
      </c>
    </row>
    <row r="5" ht="15.75" customHeight="1">
      <c r="A5" s="26"/>
      <c r="B5" s="26"/>
      <c r="C5" s="26"/>
      <c r="D5" s="26"/>
      <c r="E5" s="30" t="str">
        <f>IF(E$6="","",IF(COUNTIF('Cài đặt'!$J$16:$J$30,DATE('Cài đặt'!$D$8,'Cài đặt'!$D$7,E$6))&gt;0,"Lễ",""))</f>
        <v/>
      </c>
      <c r="F5" s="30" t="str">
        <f>IF(F$6="","",IF(COUNTIF('Cài đặt'!$J$16:$J$30,DATE('Cài đặt'!$D$8,'Cài đặt'!$D$7,F$6))&gt;0,"Lễ",""))</f>
        <v/>
      </c>
      <c r="G5" s="30" t="str">
        <f>IF(G$6="","",IF(COUNTIF('Cài đặt'!$J$16:$J$30,DATE('Cài đặt'!$D$8,'Cài đặt'!$D$7,G$6))&gt;0,"Lễ",""))</f>
        <v/>
      </c>
      <c r="H5" s="30" t="str">
        <f>IF(H$6="","",IF(COUNTIF('Cài đặt'!$J$16:$J$30,DATE('Cài đặt'!$D$8,'Cài đặt'!$D$7,H$6))&gt;0,"Lễ",""))</f>
        <v/>
      </c>
      <c r="I5" s="30" t="str">
        <f>IF(I$6="","",IF(COUNTIF('Cài đặt'!$J$16:$J$30,DATE('Cài đặt'!$D$8,'Cài đặt'!$D$7,I$6))&gt;0,"Lễ",""))</f>
        <v/>
      </c>
      <c r="J5" s="30" t="str">
        <f>IF(J$6="","",IF(COUNTIF('Cài đặt'!$J$16:$J$30,DATE('Cài đặt'!$D$8,'Cài đặt'!$D$7,J$6))&gt;0,"Lễ",""))</f>
        <v/>
      </c>
      <c r="K5" s="30" t="str">
        <f>IF(K$6="","",IF(COUNTIF('Cài đặt'!$J$16:$J$30,DATE('Cài đặt'!$D$8,'Cài đặt'!$D$7,K$6))&gt;0,"Lễ",""))</f>
        <v/>
      </c>
      <c r="L5" s="30" t="str">
        <f>IF(L$6="","",IF(COUNTIF('Cài đặt'!$J$16:$J$30,DATE('Cài đặt'!$D$8,'Cài đặt'!$D$7,L$6))&gt;0,"Lễ",""))</f>
        <v/>
      </c>
      <c r="M5" s="30" t="str">
        <f>IF(M$6="","",IF(COUNTIF('Cài đặt'!$J$16:$J$30,DATE('Cài đặt'!$D$8,'Cài đặt'!$D$7,M$6))&gt;0,"Lễ",""))</f>
        <v/>
      </c>
      <c r="N5" s="30" t="str">
        <f>IF(N$6="","",IF(COUNTIF('Cài đặt'!$J$16:$J$30,DATE('Cài đặt'!$D$8,'Cài đặt'!$D$7,N$6))&gt;0,"Lễ",""))</f>
        <v/>
      </c>
      <c r="O5" s="30" t="str">
        <f>IF(O$6="","",IF(COUNTIF('Cài đặt'!$J$16:$J$30,DATE('Cài đặt'!$D$8,'Cài đặt'!$D$7,O$6))&gt;0,"Lễ",""))</f>
        <v/>
      </c>
      <c r="P5" s="30" t="str">
        <f>IF(P$6="","",IF(COUNTIF('Cài đặt'!$J$16:$J$30,DATE('Cài đặt'!$D$8,'Cài đặt'!$D$7,P$6))&gt;0,"Lễ",""))</f>
        <v/>
      </c>
      <c r="Q5" s="30" t="str">
        <f>IF(Q$6="","",IF(COUNTIF('Cài đặt'!$J$16:$J$30,DATE('Cài đặt'!$D$8,'Cài đặt'!$D$7,Q$6))&gt;0,"Lễ",""))</f>
        <v/>
      </c>
      <c r="R5" s="30" t="str">
        <f>IF(R$6="","",IF(COUNTIF('Cài đặt'!$J$16:$J$30,DATE('Cài đặt'!$D$8,'Cài đặt'!$D$7,R$6))&gt;0,"Lễ",""))</f>
        <v/>
      </c>
      <c r="S5" s="30" t="str">
        <f>IF(S$6="","",IF(COUNTIF('Cài đặt'!$J$16:$J$30,DATE('Cài đặt'!$D$8,'Cài đặt'!$D$7,S$6))&gt;0,"Lễ",""))</f>
        <v/>
      </c>
      <c r="T5" s="30" t="str">
        <f>IF(T$6="","",IF(COUNTIF('Cài đặt'!$J$16:$J$30,DATE('Cài đặt'!$D$8,'Cài đặt'!$D$7,T$6))&gt;0,"Lễ",""))</f>
        <v/>
      </c>
      <c r="U5" s="30" t="str">
        <f>IF(U$6="","",IF(COUNTIF('Cài đặt'!$J$16:$J$30,DATE('Cài đặt'!$D$8,'Cài đặt'!$D$7,U$6))&gt;0,"Lễ",""))</f>
        <v/>
      </c>
      <c r="V5" s="30" t="str">
        <f>IF(V$6="","",IF(COUNTIF('Cài đặt'!$J$16:$J$30,DATE('Cài đặt'!$D$8,'Cài đặt'!$D$7,V$6))&gt;0,"Lễ",""))</f>
        <v/>
      </c>
      <c r="W5" s="30" t="str">
        <f>IF(W$6="","",IF(COUNTIF('Cài đặt'!$J$16:$J$30,DATE('Cài đặt'!$D$8,'Cài đặt'!$D$7,W$6))&gt;0,"Lễ",""))</f>
        <v/>
      </c>
      <c r="X5" s="30" t="str">
        <f>IF(X$6="","",IF(COUNTIF('Cài đặt'!$J$16:$J$30,DATE('Cài đặt'!$D$8,'Cài đặt'!$D$7,X$6))&gt;0,"Lễ",""))</f>
        <v/>
      </c>
      <c r="Y5" s="30" t="str">
        <f>IF(Y$6="","",IF(COUNTIF('Cài đặt'!$J$16:$J$30,DATE('Cài đặt'!$D$8,'Cài đặt'!$D$7,Y$6))&gt;0,"Lễ",""))</f>
        <v/>
      </c>
      <c r="Z5" s="30" t="str">
        <f>IF(Z$6="","",IF(COUNTIF('Cài đặt'!$J$16:$J$30,DATE('Cài đặt'!$D$8,'Cài đặt'!$D$7,Z$6))&gt;0,"Lễ",""))</f>
        <v/>
      </c>
      <c r="AA5" s="30" t="str">
        <f>IF(AA$6="","",IF(COUNTIF('Cài đặt'!$J$16:$J$30,DATE('Cài đặt'!$D$8,'Cài đặt'!$D$7,AA$6))&gt;0,"Lễ",""))</f>
        <v/>
      </c>
      <c r="AB5" s="30" t="str">
        <f>IF(AB$6="","",IF(COUNTIF('Cài đặt'!$J$16:$J$30,DATE('Cài đặt'!$D$8,'Cài đặt'!$D$7,AB$6))&gt;0,"Lễ",""))</f>
        <v/>
      </c>
      <c r="AC5" s="30" t="str">
        <f>IF(AC$6="","",IF(COUNTIF('Cài đặt'!$J$16:$J$30,DATE('Cài đặt'!$D$8,'Cài đặt'!$D$7,AC$6))&gt;0,"Lễ",""))</f>
        <v/>
      </c>
      <c r="AD5" s="30" t="str">
        <f>IF(AD$6="","",IF(COUNTIF('Cài đặt'!$J$16:$J$30,DATE('Cài đặt'!$D$8,'Cài đặt'!$D$7,AD$6))&gt;0,"Lễ",""))</f>
        <v/>
      </c>
      <c r="AE5" s="30" t="str">
        <f>IF(AE$6="","",IF(COUNTIF('Cài đặt'!$J$16:$J$30,DATE('Cài đặt'!$D$8,'Cài đặt'!$D$7,AE$6))&gt;0,"Lễ",""))</f>
        <v/>
      </c>
      <c r="AF5" s="30" t="str">
        <f>IF(AF$6="","",IF(COUNTIF('Cài đặt'!$J$16:$J$30,DATE('Cài đặt'!$D$8,'Cài đặt'!$D$7,AF$6))&gt;0,"Lễ",""))</f>
        <v/>
      </c>
      <c r="AG5" s="30" t="str">
        <f>IF(AG$6="","",IF(COUNTIF('Cài đặt'!$J$16:$J$30,DATE('Cài đặt'!$D$8,'Cài đặt'!$D$7,AG$6))&gt;0,"Lễ",""))</f>
        <v/>
      </c>
      <c r="AH5" s="30" t="str">
        <f>IF(AH$6="","",IF(COUNTIF('Cài đặt'!$J$16:$J$30,DATE('Cài đặt'!$D$8,'Cài đặt'!$D$7,AH$6))&gt;0,"Lễ",""))</f>
        <v/>
      </c>
      <c r="AI5" s="30" t="str">
        <f>IF(AI$6="","",IF(COUNTIF('Cài đặt'!$J$16:$J$30,DATE('Cài đặt'!$D$8,'Cài đặt'!$D$7,AI$6))&gt;0,"Lễ",""))</f>
        <v/>
      </c>
      <c r="AJ5" s="72" t="str">
        <f>'Cài đặt'!C16</f>
        <v>Ca sáng</v>
      </c>
      <c r="AK5" s="72" t="str">
        <f>'Cài đặt'!C17</f>
        <v>Ca chiều</v>
      </c>
      <c r="AL5" s="72" t="str">
        <f>'Cài đặt'!C18</f>
        <v>Ca hành chính</v>
      </c>
      <c r="AM5" s="72" t="str">
        <f>'Cài đặt'!C19</f>
        <v>Ca gãy (2 đợt)</v>
      </c>
      <c r="AN5" s="72" t="str">
        <f>'Cài đặt'!C20</f>
        <v>Nửa ngày</v>
      </c>
      <c r="AO5" s="72" t="str">
        <f>'Cài đặt'!C21</f>
        <v>Nghỉ phép năm</v>
      </c>
      <c r="AP5" s="72" t="str">
        <f>'Cài đặt'!C22</f>
        <v>Nghỉ lễ</v>
      </c>
      <c r="AQ5" s="72" t="str">
        <f>'Cài đặt'!C23</f>
        <v>Nghỉ ốm (BHXH)</v>
      </c>
      <c r="AR5" s="72" t="str">
        <f>'Cài đặt'!C24</f>
        <v>Nghỉ không lương</v>
      </c>
      <c r="AS5" s="72" t="s">
        <v>149</v>
      </c>
      <c r="AT5" s="72" t="s">
        <v>36</v>
      </c>
      <c r="AU5" s="72" t="s">
        <v>37</v>
      </c>
      <c r="AV5" s="72" t="s">
        <v>150</v>
      </c>
      <c r="AW5" s="72" t="s">
        <v>35</v>
      </c>
      <c r="AX5" s="26"/>
    </row>
    <row r="6" ht="19.5" customHeight="1">
      <c r="A6" s="26"/>
      <c r="B6" s="26"/>
      <c r="C6" s="26"/>
      <c r="D6" s="26"/>
      <c r="E6" s="73">
        <f>IF(COLUMN()-4&lt;='Cài đặt'!$D$9,COLUMN()-4,"")</f>
        <v>1</v>
      </c>
      <c r="F6" s="73">
        <f>IF(COLUMN()-4&lt;='Cài đặt'!$D$9,COLUMN()-4,"")</f>
        <v>2</v>
      </c>
      <c r="G6" s="73">
        <f>IF(COLUMN()-4&lt;='Cài đặt'!$D$9,COLUMN()-4,"")</f>
        <v>3</v>
      </c>
      <c r="H6" s="73">
        <f>IF(COLUMN()-4&lt;='Cài đặt'!$D$9,COLUMN()-4,"")</f>
        <v>4</v>
      </c>
      <c r="I6" s="73">
        <f>IF(COLUMN()-4&lt;='Cài đặt'!$D$9,COLUMN()-4,"")</f>
        <v>5</v>
      </c>
      <c r="J6" s="73">
        <f>IF(COLUMN()-4&lt;='Cài đặt'!$D$9,COLUMN()-4,"")</f>
        <v>6</v>
      </c>
      <c r="K6" s="73">
        <f>IF(COLUMN()-4&lt;='Cài đặt'!$D$9,COLUMN()-4,"")</f>
        <v>7</v>
      </c>
      <c r="L6" s="73">
        <f>IF(COLUMN()-4&lt;='Cài đặt'!$D$9,COLUMN()-4,"")</f>
        <v>8</v>
      </c>
      <c r="M6" s="73">
        <f>IF(COLUMN()-4&lt;='Cài đặt'!$D$9,COLUMN()-4,"")</f>
        <v>9</v>
      </c>
      <c r="N6" s="73">
        <f>IF(COLUMN()-4&lt;='Cài đặt'!$D$9,COLUMN()-4,"")</f>
        <v>10</v>
      </c>
      <c r="O6" s="73">
        <f>IF(COLUMN()-4&lt;='Cài đặt'!$D$9,COLUMN()-4,"")</f>
        <v>11</v>
      </c>
      <c r="P6" s="73">
        <f>IF(COLUMN()-4&lt;='Cài đặt'!$D$9,COLUMN()-4,"")</f>
        <v>12</v>
      </c>
      <c r="Q6" s="73">
        <f>IF(COLUMN()-4&lt;='Cài đặt'!$D$9,COLUMN()-4,"")</f>
        <v>13</v>
      </c>
      <c r="R6" s="73">
        <f>IF(COLUMN()-4&lt;='Cài đặt'!$D$9,COLUMN()-4,"")</f>
        <v>14</v>
      </c>
      <c r="S6" s="73">
        <f>IF(COLUMN()-4&lt;='Cài đặt'!$D$9,COLUMN()-4,"")</f>
        <v>15</v>
      </c>
      <c r="T6" s="73">
        <f>IF(COLUMN()-4&lt;='Cài đặt'!$D$9,COLUMN()-4,"")</f>
        <v>16</v>
      </c>
      <c r="U6" s="73">
        <f>IF(COLUMN()-4&lt;='Cài đặt'!$D$9,COLUMN()-4,"")</f>
        <v>17</v>
      </c>
      <c r="V6" s="73">
        <f>IF(COLUMN()-4&lt;='Cài đặt'!$D$9,COLUMN()-4,"")</f>
        <v>18</v>
      </c>
      <c r="W6" s="73">
        <f>IF(COLUMN()-4&lt;='Cài đặt'!$D$9,COLUMN()-4,"")</f>
        <v>19</v>
      </c>
      <c r="X6" s="73">
        <f>IF(COLUMN()-4&lt;='Cài đặt'!$D$9,COLUMN()-4,"")</f>
        <v>20</v>
      </c>
      <c r="Y6" s="73">
        <f>IF(COLUMN()-4&lt;='Cài đặt'!$D$9,COLUMN()-4,"")</f>
        <v>21</v>
      </c>
      <c r="Z6" s="73">
        <f>IF(COLUMN()-4&lt;='Cài đặt'!$D$9,COLUMN()-4,"")</f>
        <v>22</v>
      </c>
      <c r="AA6" s="73">
        <f>IF(COLUMN()-4&lt;='Cài đặt'!$D$9,COLUMN()-4,"")</f>
        <v>23</v>
      </c>
      <c r="AB6" s="73">
        <f>IF(COLUMN()-4&lt;='Cài đặt'!$D$9,COLUMN()-4,"")</f>
        <v>24</v>
      </c>
      <c r="AC6" s="73">
        <f>IF(COLUMN()-4&lt;='Cài đặt'!$D$9,COLUMN()-4,"")</f>
        <v>25</v>
      </c>
      <c r="AD6" s="73">
        <f>IF(COLUMN()-4&lt;='Cài đặt'!$D$9,COLUMN()-4,"")</f>
        <v>26</v>
      </c>
      <c r="AE6" s="73">
        <f>IF(COLUMN()-4&lt;='Cài đặt'!$D$9,COLUMN()-4,"")</f>
        <v>27</v>
      </c>
      <c r="AF6" s="73">
        <f>IF(COLUMN()-4&lt;='Cài đặt'!$D$9,COLUMN()-4,"")</f>
        <v>28</v>
      </c>
      <c r="AG6" s="73">
        <f>IF(COLUMN()-4&lt;='Cài đặt'!$D$9,COLUMN()-4,"")</f>
        <v>29</v>
      </c>
      <c r="AH6" s="73">
        <f>IF(COLUMN()-4&lt;='Cài đặt'!$D$9,COLUMN()-4,"")</f>
        <v>30</v>
      </c>
      <c r="AI6" s="73" t="str">
        <f>IF(COLUMN()-4&lt;='Cài đặt'!$D$9,COLUMN()-4,"")</f>
        <v/>
      </c>
      <c r="AJ6" s="26"/>
      <c r="AK6" s="26"/>
      <c r="AL6" s="26"/>
      <c r="AM6" s="26"/>
      <c r="AN6" s="26"/>
      <c r="AO6" s="26"/>
      <c r="AP6" s="26"/>
      <c r="AQ6" s="26"/>
      <c r="AR6" s="26"/>
      <c r="AS6" s="26"/>
      <c r="AT6" s="26"/>
      <c r="AU6" s="26"/>
      <c r="AV6" s="26"/>
      <c r="AW6" s="26"/>
      <c r="AX6" s="26"/>
    </row>
    <row r="7" ht="19.5" customHeight="1">
      <c r="A7" s="27"/>
      <c r="B7" s="27"/>
      <c r="C7" s="27"/>
      <c r="D7" s="27"/>
      <c r="E7" s="74" t="str">
        <f>IF(E$6="","",CHOOSE(WEEKDAY(DATE('Cài đặt'!$D$8,'Cài đặt'!$D$7,E$6),2),"T2","T3","T4","T5","T6","T7","CN"))</f>
        <v>CN</v>
      </c>
      <c r="F7" s="74" t="str">
        <f>IF(F$6="","",CHOOSE(WEEKDAY(DATE('Cài đặt'!$D$8,'Cài đặt'!$D$7,F$6),2),"T2","T3","T4","T5","T6","T7","CN"))</f>
        <v>T2</v>
      </c>
      <c r="G7" s="74" t="str">
        <f>IF(G$6="","",CHOOSE(WEEKDAY(DATE('Cài đặt'!$D$8,'Cài đặt'!$D$7,G$6),2),"T2","T3","T4","T5","T6","T7","CN"))</f>
        <v>T3</v>
      </c>
      <c r="H7" s="74" t="str">
        <f>IF(H$6="","",CHOOSE(WEEKDAY(DATE('Cài đặt'!$D$8,'Cài đặt'!$D$7,H$6),2),"T2","T3","T4","T5","T6","T7","CN"))</f>
        <v>T4</v>
      </c>
      <c r="I7" s="74" t="str">
        <f>IF(I$6="","",CHOOSE(WEEKDAY(DATE('Cài đặt'!$D$8,'Cài đặt'!$D$7,I$6),2),"T2","T3","T4","T5","T6","T7","CN"))</f>
        <v>T5</v>
      </c>
      <c r="J7" s="74" t="str">
        <f>IF(J$6="","",CHOOSE(WEEKDAY(DATE('Cài đặt'!$D$8,'Cài đặt'!$D$7,J$6),2),"T2","T3","T4","T5","T6","T7","CN"))</f>
        <v>T6</v>
      </c>
      <c r="K7" s="74" t="str">
        <f>IF(K$6="","",CHOOSE(WEEKDAY(DATE('Cài đặt'!$D$8,'Cài đặt'!$D$7,K$6),2),"T2","T3","T4","T5","T6","T7","CN"))</f>
        <v>T7</v>
      </c>
      <c r="L7" s="74" t="str">
        <f>IF(L$6="","",CHOOSE(WEEKDAY(DATE('Cài đặt'!$D$8,'Cài đặt'!$D$7,L$6),2),"T2","T3","T4","T5","T6","T7","CN"))</f>
        <v>CN</v>
      </c>
      <c r="M7" s="74" t="str">
        <f>IF(M$6="","",CHOOSE(WEEKDAY(DATE('Cài đặt'!$D$8,'Cài đặt'!$D$7,M$6),2),"T2","T3","T4","T5","T6","T7","CN"))</f>
        <v>T2</v>
      </c>
      <c r="N7" s="74" t="str">
        <f>IF(N$6="","",CHOOSE(WEEKDAY(DATE('Cài đặt'!$D$8,'Cài đặt'!$D$7,N$6),2),"T2","T3","T4","T5","T6","T7","CN"))</f>
        <v>T3</v>
      </c>
      <c r="O7" s="74" t="str">
        <f>IF(O$6="","",CHOOSE(WEEKDAY(DATE('Cài đặt'!$D$8,'Cài đặt'!$D$7,O$6),2),"T2","T3","T4","T5","T6","T7","CN"))</f>
        <v>T4</v>
      </c>
      <c r="P7" s="74" t="str">
        <f>IF(P$6="","",CHOOSE(WEEKDAY(DATE('Cài đặt'!$D$8,'Cài đặt'!$D$7,P$6),2),"T2","T3","T4","T5","T6","T7","CN"))</f>
        <v>T5</v>
      </c>
      <c r="Q7" s="74" t="str">
        <f>IF(Q$6="","",CHOOSE(WEEKDAY(DATE('Cài đặt'!$D$8,'Cài đặt'!$D$7,Q$6),2),"T2","T3","T4","T5","T6","T7","CN"))</f>
        <v>T6</v>
      </c>
      <c r="R7" s="74" t="str">
        <f>IF(R$6="","",CHOOSE(WEEKDAY(DATE('Cài đặt'!$D$8,'Cài đặt'!$D$7,R$6),2),"T2","T3","T4","T5","T6","T7","CN"))</f>
        <v>T7</v>
      </c>
      <c r="S7" s="74" t="str">
        <f>IF(S$6="","",CHOOSE(WEEKDAY(DATE('Cài đặt'!$D$8,'Cài đặt'!$D$7,S$6),2),"T2","T3","T4","T5","T6","T7","CN"))</f>
        <v>CN</v>
      </c>
      <c r="T7" s="74" t="str">
        <f>IF(T$6="","",CHOOSE(WEEKDAY(DATE('Cài đặt'!$D$8,'Cài đặt'!$D$7,T$6),2),"T2","T3","T4","T5","T6","T7","CN"))</f>
        <v>T2</v>
      </c>
      <c r="U7" s="74" t="str">
        <f>IF(U$6="","",CHOOSE(WEEKDAY(DATE('Cài đặt'!$D$8,'Cài đặt'!$D$7,U$6),2),"T2","T3","T4","T5","T6","T7","CN"))</f>
        <v>T3</v>
      </c>
      <c r="V7" s="74" t="str">
        <f>IF(V$6="","",CHOOSE(WEEKDAY(DATE('Cài đặt'!$D$8,'Cài đặt'!$D$7,V$6),2),"T2","T3","T4","T5","T6","T7","CN"))</f>
        <v>T4</v>
      </c>
      <c r="W7" s="74" t="str">
        <f>IF(W$6="","",CHOOSE(WEEKDAY(DATE('Cài đặt'!$D$8,'Cài đặt'!$D$7,W$6),2),"T2","T3","T4","T5","T6","T7","CN"))</f>
        <v>T5</v>
      </c>
      <c r="X7" s="74" t="str">
        <f>IF(X$6="","",CHOOSE(WEEKDAY(DATE('Cài đặt'!$D$8,'Cài đặt'!$D$7,X$6),2),"T2","T3","T4","T5","T6","T7","CN"))</f>
        <v>T6</v>
      </c>
      <c r="Y7" s="74" t="str">
        <f>IF(Y$6="","",CHOOSE(WEEKDAY(DATE('Cài đặt'!$D$8,'Cài đặt'!$D$7,Y$6),2),"T2","T3","T4","T5","T6","T7","CN"))</f>
        <v>T7</v>
      </c>
      <c r="Z7" s="74" t="str">
        <f>IF(Z$6="","",CHOOSE(WEEKDAY(DATE('Cài đặt'!$D$8,'Cài đặt'!$D$7,Z$6),2),"T2","T3","T4","T5","T6","T7","CN"))</f>
        <v>CN</v>
      </c>
      <c r="AA7" s="74" t="str">
        <f>IF(AA$6="","",CHOOSE(WEEKDAY(DATE('Cài đặt'!$D$8,'Cài đặt'!$D$7,AA$6),2),"T2","T3","T4","T5","T6","T7","CN"))</f>
        <v>T2</v>
      </c>
      <c r="AB7" s="74" t="str">
        <f>IF(AB$6="","",CHOOSE(WEEKDAY(DATE('Cài đặt'!$D$8,'Cài đặt'!$D$7,AB$6),2),"T2","T3","T4","T5","T6","T7","CN"))</f>
        <v>T3</v>
      </c>
      <c r="AC7" s="74" t="str">
        <f>IF(AC$6="","",CHOOSE(WEEKDAY(DATE('Cài đặt'!$D$8,'Cài đặt'!$D$7,AC$6),2),"T2","T3","T4","T5","T6","T7","CN"))</f>
        <v>T4</v>
      </c>
      <c r="AD7" s="74" t="str">
        <f>IF(AD$6="","",CHOOSE(WEEKDAY(DATE('Cài đặt'!$D$8,'Cài đặt'!$D$7,AD$6),2),"T2","T3","T4","T5","T6","T7","CN"))</f>
        <v>T5</v>
      </c>
      <c r="AE7" s="74" t="str">
        <f>IF(AE$6="","",CHOOSE(WEEKDAY(DATE('Cài đặt'!$D$8,'Cài đặt'!$D$7,AE$6),2),"T2","T3","T4","T5","T6","T7","CN"))</f>
        <v>T6</v>
      </c>
      <c r="AF7" s="74" t="str">
        <f>IF(AF$6="","",CHOOSE(WEEKDAY(DATE('Cài đặt'!$D$8,'Cài đặt'!$D$7,AF$6),2),"T2","T3","T4","T5","T6","T7","CN"))</f>
        <v>T7</v>
      </c>
      <c r="AG7" s="74" t="str">
        <f>IF(AG$6="","",CHOOSE(WEEKDAY(DATE('Cài đặt'!$D$8,'Cài đặt'!$D$7,AG$6),2),"T2","T3","T4","T5","T6","T7","CN"))</f>
        <v>CN</v>
      </c>
      <c r="AH7" s="74" t="str">
        <f>IF(AH$6="","",CHOOSE(WEEKDAY(DATE('Cài đặt'!$D$8,'Cài đặt'!$D$7,AH$6),2),"T2","T3","T4","T5","T6","T7","CN"))</f>
        <v>T2</v>
      </c>
      <c r="AI7" s="74" t="str">
        <f>IF(AI$6="","",CHOOSE(WEEKDAY(DATE('Cài đặt'!$D$8,'Cài đặt'!$D$7,AI$6),2),"T2","T3","T4","T5","T6","T7","CN"))</f>
        <v/>
      </c>
      <c r="AJ7" s="27"/>
      <c r="AK7" s="27"/>
      <c r="AL7" s="27"/>
      <c r="AM7" s="27"/>
      <c r="AN7" s="27"/>
      <c r="AO7" s="27"/>
      <c r="AP7" s="27"/>
      <c r="AQ7" s="27"/>
      <c r="AR7" s="27"/>
      <c r="AS7" s="27"/>
      <c r="AT7" s="27"/>
      <c r="AU7" s="27"/>
      <c r="AV7" s="27"/>
      <c r="AW7" s="27"/>
      <c r="AX7" s="27"/>
    </row>
    <row r="8" ht="21.0" customHeight="1">
      <c r="A8" s="75">
        <v>1.0</v>
      </c>
      <c r="B8" s="68" t="s">
        <v>151</v>
      </c>
      <c r="C8" s="76" t="s">
        <v>84</v>
      </c>
      <c r="D8" s="49" t="s">
        <v>83</v>
      </c>
      <c r="E8" s="77" t="s">
        <v>90</v>
      </c>
      <c r="F8" s="77" t="s">
        <v>90</v>
      </c>
      <c r="G8" s="77" t="s">
        <v>90</v>
      </c>
      <c r="H8" s="77" t="s">
        <v>90</v>
      </c>
      <c r="I8" s="77" t="s">
        <v>90</v>
      </c>
      <c r="J8" s="77" t="s">
        <v>90</v>
      </c>
      <c r="K8" s="77" t="s">
        <v>106</v>
      </c>
      <c r="L8" s="77" t="s">
        <v>90</v>
      </c>
      <c r="M8" s="77" t="s">
        <v>90</v>
      </c>
      <c r="N8" s="77" t="s">
        <v>90</v>
      </c>
      <c r="O8" s="77" t="s">
        <v>90</v>
      </c>
      <c r="P8" s="77" t="s">
        <v>90</v>
      </c>
      <c r="Q8" s="77" t="s">
        <v>90</v>
      </c>
      <c r="R8" s="77" t="s">
        <v>106</v>
      </c>
      <c r="S8" s="77" t="s">
        <v>90</v>
      </c>
      <c r="T8" s="77" t="s">
        <v>90</v>
      </c>
      <c r="U8" s="77" t="s">
        <v>90</v>
      </c>
      <c r="V8" s="77" t="s">
        <v>90</v>
      </c>
      <c r="W8" s="77" t="s">
        <v>90</v>
      </c>
      <c r="X8" s="77" t="s">
        <v>90</v>
      </c>
      <c r="Y8" s="77" t="s">
        <v>106</v>
      </c>
      <c r="Z8" s="77" t="s">
        <v>90</v>
      </c>
      <c r="AA8" s="77" t="s">
        <v>90</v>
      </c>
      <c r="AB8" s="77" t="s">
        <v>90</v>
      </c>
      <c r="AC8" s="77" t="s">
        <v>90</v>
      </c>
      <c r="AD8" s="77" t="s">
        <v>90</v>
      </c>
      <c r="AE8" s="77" t="s">
        <v>90</v>
      </c>
      <c r="AF8" s="77" t="s">
        <v>106</v>
      </c>
      <c r="AG8" s="77" t="s">
        <v>90</v>
      </c>
      <c r="AH8" s="77" t="s">
        <v>90</v>
      </c>
      <c r="AI8" s="77"/>
      <c r="AJ8" s="78">
        <f>IF($C8="","",COUNTIF($E8:$AI8,'Cài đặt'!$B$16))</f>
        <v>0</v>
      </c>
      <c r="AK8" s="78">
        <f>IF($C8="","",COUNTIF($E8:$AI8,'Cài đặt'!$B$17))</f>
        <v>0</v>
      </c>
      <c r="AL8" s="78">
        <f>IF($C8="","",COUNTIF($E8:$AI8,'Cài đặt'!$B$18))</f>
        <v>26</v>
      </c>
      <c r="AM8" s="78">
        <f>IF($C8="","",COUNTIF($E8:$AI8,'Cài đặt'!$B$19))</f>
        <v>0</v>
      </c>
      <c r="AN8" s="78">
        <f>IF($C8="","",COUNTIF($E8:$AI8,'Cài đặt'!$B$20))</f>
        <v>0</v>
      </c>
      <c r="AO8" s="78">
        <f>IF($C8="","",COUNTIF($E8:$AI8,'Cài đặt'!$B$21))</f>
        <v>0</v>
      </c>
      <c r="AP8" s="78">
        <f>IF($C8="","",COUNTIF($E8:$AI8,'Cài đặt'!$B$22))</f>
        <v>0</v>
      </c>
      <c r="AQ8" s="78">
        <f>IF($C8="","",COUNTIF($E8:$AI8,'Cài đặt'!$B$23))</f>
        <v>0</v>
      </c>
      <c r="AR8" s="78">
        <f>IF($C8="","",COUNTIF($E8:$AI8,'Cài đặt'!$B$24))</f>
        <v>0</v>
      </c>
      <c r="AS8" s="79">
        <f t="array" ref="AS8">IF($C8="","",SUMPRODUCT(COUNTIF($E8:$AI8,'Cài đặt'!$B$16:$B$25)*'Cài đặt'!$G$16:$G$25))</f>
        <v>208</v>
      </c>
      <c r="AT8" s="39">
        <f>IF($C8="","",SUMPRODUCT(--($E$7:$AI$7="CN"),SUMIF('Cài đặt'!$B$16:$B$25,$E8:$AI8,'Cài đặt'!$G$16:$G$25)))</f>
        <v>40</v>
      </c>
      <c r="AU8" s="39">
        <f>IF($C8="","",SUMPRODUCT(--($E$5:$AI$5="Lễ"),SUMIF('Cài đặt'!$B$16:$B$25,$E8:$AI8,'Cài đặt'!$G$16:$G$25)))</f>
        <v>0</v>
      </c>
      <c r="AV8" s="50">
        <f t="array" ref="AV8">IF($C8="","",SUMPRODUCT(COUNTIF($E8:$AI8,'Cài đặt'!$B$16:$B$25)*'Cài đặt'!$H$16:$H$25)/'Cài đặt'!$D$12)</f>
        <v>26</v>
      </c>
      <c r="AW8" s="79">
        <f>IF($C8="","",MAX(0,AS8-'Cài đặt'!$D$11*'Cài đặt'!$D$12))</f>
        <v>8</v>
      </c>
      <c r="AX8" s="49"/>
    </row>
    <row r="9" ht="21.0" customHeight="1">
      <c r="A9" s="75">
        <v>2.0</v>
      </c>
      <c r="B9" s="68" t="s">
        <v>152</v>
      </c>
      <c r="C9" s="76" t="s">
        <v>132</v>
      </c>
      <c r="D9" s="49" t="s">
        <v>131</v>
      </c>
      <c r="E9" s="77" t="s">
        <v>90</v>
      </c>
      <c r="F9" s="77" t="s">
        <v>90</v>
      </c>
      <c r="G9" s="77" t="s">
        <v>90</v>
      </c>
      <c r="H9" s="77" t="s">
        <v>90</v>
      </c>
      <c r="I9" s="77" t="s">
        <v>90</v>
      </c>
      <c r="J9" s="77" t="s">
        <v>106</v>
      </c>
      <c r="K9" s="77" t="s">
        <v>90</v>
      </c>
      <c r="L9" s="77" t="s">
        <v>90</v>
      </c>
      <c r="M9" s="77" t="s">
        <v>90</v>
      </c>
      <c r="N9" s="77" t="s">
        <v>90</v>
      </c>
      <c r="O9" s="77" t="s">
        <v>90</v>
      </c>
      <c r="P9" s="77" t="s">
        <v>90</v>
      </c>
      <c r="Q9" s="77" t="s">
        <v>106</v>
      </c>
      <c r="R9" s="77" t="s">
        <v>90</v>
      </c>
      <c r="S9" s="77" t="s">
        <v>90</v>
      </c>
      <c r="T9" s="77" t="s">
        <v>90</v>
      </c>
      <c r="U9" s="77" t="s">
        <v>90</v>
      </c>
      <c r="V9" s="77" t="s">
        <v>90</v>
      </c>
      <c r="W9" s="77" t="s">
        <v>90</v>
      </c>
      <c r="X9" s="77" t="s">
        <v>106</v>
      </c>
      <c r="Y9" s="77" t="s">
        <v>90</v>
      </c>
      <c r="Z9" s="77" t="s">
        <v>90</v>
      </c>
      <c r="AA9" s="77" t="s">
        <v>90</v>
      </c>
      <c r="AB9" s="77" t="s">
        <v>90</v>
      </c>
      <c r="AC9" s="77" t="s">
        <v>104</v>
      </c>
      <c r="AD9" s="77" t="s">
        <v>90</v>
      </c>
      <c r="AE9" s="77" t="s">
        <v>106</v>
      </c>
      <c r="AF9" s="77" t="s">
        <v>90</v>
      </c>
      <c r="AG9" s="77" t="s">
        <v>90</v>
      </c>
      <c r="AH9" s="77" t="s">
        <v>90</v>
      </c>
      <c r="AI9" s="77"/>
      <c r="AJ9" s="78">
        <f>IF($C9="","",COUNTIF($E9:$AI9,'Cài đặt'!$B$16))</f>
        <v>0</v>
      </c>
      <c r="AK9" s="78">
        <f>IF($C9="","",COUNTIF($E9:$AI9,'Cài đặt'!$B$17))</f>
        <v>0</v>
      </c>
      <c r="AL9" s="78">
        <f>IF($C9="","",COUNTIF($E9:$AI9,'Cài đặt'!$B$18))</f>
        <v>25</v>
      </c>
      <c r="AM9" s="78">
        <f>IF($C9="","",COUNTIF($E9:$AI9,'Cài đặt'!$B$19))</f>
        <v>0</v>
      </c>
      <c r="AN9" s="78">
        <f>IF($C9="","",COUNTIF($E9:$AI9,'Cài đặt'!$B$20))</f>
        <v>0</v>
      </c>
      <c r="AO9" s="78">
        <f>IF($C9="","",COUNTIF($E9:$AI9,'Cài đặt'!$B$21))</f>
        <v>0</v>
      </c>
      <c r="AP9" s="78">
        <f>IF($C9="","",COUNTIF($E9:$AI9,'Cài đặt'!$B$22))</f>
        <v>0</v>
      </c>
      <c r="AQ9" s="78">
        <f>IF($C9="","",COUNTIF($E9:$AI9,'Cài đặt'!$B$23))</f>
        <v>0</v>
      </c>
      <c r="AR9" s="78">
        <f>IF($C9="","",COUNTIF($E9:$AI9,'Cài đặt'!$B$24))</f>
        <v>1</v>
      </c>
      <c r="AS9" s="79">
        <f t="array" ref="AS9">IF($C9="","",SUMPRODUCT(COUNTIF($E9:$AI9,'Cài đặt'!$B$16:$B$25)*'Cài đặt'!$G$16:$G$25))</f>
        <v>200</v>
      </c>
      <c r="AT9" s="39">
        <f>IF($C9="","",SUMPRODUCT(--($E$7:$AI$7="CN"),SUMIF('Cài đặt'!$B$16:$B$25,$E9:$AI9,'Cài đặt'!$G$16:$G$25)))</f>
        <v>40</v>
      </c>
      <c r="AU9" s="39">
        <f>IF($C9="","",SUMPRODUCT(--($E$5:$AI$5="Lễ"),SUMIF('Cài đặt'!$B$16:$B$25,$E9:$AI9,'Cài đặt'!$G$16:$G$25)))</f>
        <v>0</v>
      </c>
      <c r="AV9" s="50">
        <f t="array" ref="AV9">IF($C9="","",SUMPRODUCT(COUNTIF($E9:$AI9,'Cài đặt'!$B$16:$B$25)*'Cài đặt'!$H$16:$H$25)/'Cài đặt'!$D$12)</f>
        <v>25</v>
      </c>
      <c r="AW9" s="79">
        <f>IF($C9="","",MAX(0,AS9-'Cài đặt'!$D$11*'Cài đặt'!$D$12))</f>
        <v>0</v>
      </c>
      <c r="AX9" s="49"/>
    </row>
    <row r="10" ht="21.0" customHeight="1">
      <c r="A10" s="75">
        <v>3.0</v>
      </c>
      <c r="B10" s="68" t="s">
        <v>153</v>
      </c>
      <c r="C10" s="76" t="s">
        <v>139</v>
      </c>
      <c r="D10" s="49" t="s">
        <v>138</v>
      </c>
      <c r="E10" s="77" t="s">
        <v>90</v>
      </c>
      <c r="F10" s="77" t="s">
        <v>90</v>
      </c>
      <c r="G10" s="77" t="s">
        <v>90</v>
      </c>
      <c r="H10" s="77" t="s">
        <v>90</v>
      </c>
      <c r="I10" s="77" t="s">
        <v>106</v>
      </c>
      <c r="J10" s="77" t="s">
        <v>90</v>
      </c>
      <c r="K10" s="77" t="s">
        <v>90</v>
      </c>
      <c r="L10" s="77" t="s">
        <v>90</v>
      </c>
      <c r="M10" s="77" t="s">
        <v>90</v>
      </c>
      <c r="N10" s="77" t="s">
        <v>98</v>
      </c>
      <c r="O10" s="77" t="s">
        <v>98</v>
      </c>
      <c r="P10" s="77" t="s">
        <v>106</v>
      </c>
      <c r="Q10" s="77" t="s">
        <v>90</v>
      </c>
      <c r="R10" s="77" t="s">
        <v>90</v>
      </c>
      <c r="S10" s="77" t="s">
        <v>90</v>
      </c>
      <c r="T10" s="77" t="s">
        <v>90</v>
      </c>
      <c r="U10" s="77" t="s">
        <v>90</v>
      </c>
      <c r="V10" s="77" t="s">
        <v>90</v>
      </c>
      <c r="W10" s="77" t="s">
        <v>106</v>
      </c>
      <c r="X10" s="77" t="s">
        <v>90</v>
      </c>
      <c r="Y10" s="77" t="s">
        <v>90</v>
      </c>
      <c r="Z10" s="77" t="s">
        <v>90</v>
      </c>
      <c r="AA10" s="77" t="s">
        <v>90</v>
      </c>
      <c r="AB10" s="77" t="s">
        <v>90</v>
      </c>
      <c r="AC10" s="77" t="s">
        <v>90</v>
      </c>
      <c r="AD10" s="77" t="s">
        <v>106</v>
      </c>
      <c r="AE10" s="77" t="s">
        <v>90</v>
      </c>
      <c r="AF10" s="77" t="s">
        <v>90</v>
      </c>
      <c r="AG10" s="77" t="s">
        <v>90</v>
      </c>
      <c r="AH10" s="77" t="s">
        <v>90</v>
      </c>
      <c r="AI10" s="77"/>
      <c r="AJ10" s="78">
        <f>IF($C10="","",COUNTIF($E10:$AI10,'Cài đặt'!$B$16))</f>
        <v>0</v>
      </c>
      <c r="AK10" s="78">
        <f>IF($C10="","",COUNTIF($E10:$AI10,'Cài đặt'!$B$17))</f>
        <v>0</v>
      </c>
      <c r="AL10" s="78">
        <f>IF($C10="","",COUNTIF($E10:$AI10,'Cài đặt'!$B$18))</f>
        <v>24</v>
      </c>
      <c r="AM10" s="78">
        <f>IF($C10="","",COUNTIF($E10:$AI10,'Cài đặt'!$B$19))</f>
        <v>0</v>
      </c>
      <c r="AN10" s="78">
        <f>IF($C10="","",COUNTIF($E10:$AI10,'Cài đặt'!$B$20))</f>
        <v>0</v>
      </c>
      <c r="AO10" s="78">
        <f>IF($C10="","",COUNTIF($E10:$AI10,'Cài đặt'!$B$21))</f>
        <v>2</v>
      </c>
      <c r="AP10" s="78">
        <f>IF($C10="","",COUNTIF($E10:$AI10,'Cài đặt'!$B$22))</f>
        <v>0</v>
      </c>
      <c r="AQ10" s="78">
        <f>IF($C10="","",COUNTIF($E10:$AI10,'Cài đặt'!$B$23))</f>
        <v>0</v>
      </c>
      <c r="AR10" s="78">
        <f>IF($C10="","",COUNTIF($E10:$AI10,'Cài đặt'!$B$24))</f>
        <v>0</v>
      </c>
      <c r="AS10" s="79">
        <f t="array" ref="AS10">IF($C10="","",SUMPRODUCT(COUNTIF($E10:$AI10,'Cài đặt'!$B$16:$B$25)*'Cài đặt'!$G$16:$G$25))</f>
        <v>192</v>
      </c>
      <c r="AT10" s="39">
        <f>IF($C10="","",SUMPRODUCT(--($E$7:$AI$7="CN"),SUMIF('Cài đặt'!$B$16:$B$25,$E10:$AI10,'Cài đặt'!$G$16:$G$25)))</f>
        <v>40</v>
      </c>
      <c r="AU10" s="39">
        <f>IF($C10="","",SUMPRODUCT(--($E$5:$AI$5="Lễ"),SUMIF('Cài đặt'!$B$16:$B$25,$E10:$AI10,'Cài đặt'!$G$16:$G$25)))</f>
        <v>0</v>
      </c>
      <c r="AV10" s="50">
        <f t="array" ref="AV10">IF($C10="","",SUMPRODUCT(COUNTIF($E10:$AI10,'Cài đặt'!$B$16:$B$25)*'Cài đặt'!$H$16:$H$25)/'Cài đặt'!$D$12)</f>
        <v>26</v>
      </c>
      <c r="AW10" s="79">
        <f>IF($C10="","",MAX(0,AS10-'Cài đặt'!$D$11*'Cài đặt'!$D$12))</f>
        <v>0</v>
      </c>
      <c r="AX10" s="49"/>
    </row>
    <row r="11" ht="21.0" customHeight="1">
      <c r="A11" s="75">
        <v>4.0</v>
      </c>
      <c r="B11" s="68" t="s">
        <v>159</v>
      </c>
      <c r="C11" s="76" t="s">
        <v>117</v>
      </c>
      <c r="D11" s="49" t="s">
        <v>116</v>
      </c>
      <c r="E11" s="77" t="s">
        <v>74</v>
      </c>
      <c r="F11" s="77" t="s">
        <v>74</v>
      </c>
      <c r="G11" s="77" t="s">
        <v>74</v>
      </c>
      <c r="H11" s="77" t="s">
        <v>106</v>
      </c>
      <c r="I11" s="77" t="s">
        <v>74</v>
      </c>
      <c r="J11" s="77" t="s">
        <v>74</v>
      </c>
      <c r="K11" s="77" t="s">
        <v>74</v>
      </c>
      <c r="L11" s="77" t="s">
        <v>74</v>
      </c>
      <c r="M11" s="77" t="s">
        <v>74</v>
      </c>
      <c r="N11" s="77" t="s">
        <v>74</v>
      </c>
      <c r="O11" s="77" t="s">
        <v>106</v>
      </c>
      <c r="P11" s="77" t="s">
        <v>74</v>
      </c>
      <c r="Q11" s="77" t="s">
        <v>74</v>
      </c>
      <c r="R11" s="77" t="s">
        <v>74</v>
      </c>
      <c r="S11" s="77" t="s">
        <v>74</v>
      </c>
      <c r="T11" s="77" t="s">
        <v>74</v>
      </c>
      <c r="U11" s="77" t="s">
        <v>74</v>
      </c>
      <c r="V11" s="77" t="s">
        <v>106</v>
      </c>
      <c r="W11" s="77" t="s">
        <v>74</v>
      </c>
      <c r="X11" s="77" t="s">
        <v>74</v>
      </c>
      <c r="Y11" s="77" t="s">
        <v>74</v>
      </c>
      <c r="Z11" s="77" t="s">
        <v>74</v>
      </c>
      <c r="AA11" s="77" t="s">
        <v>74</v>
      </c>
      <c r="AB11" s="77" t="s">
        <v>74</v>
      </c>
      <c r="AC11" s="77" t="s">
        <v>106</v>
      </c>
      <c r="AD11" s="77" t="s">
        <v>74</v>
      </c>
      <c r="AE11" s="77" t="s">
        <v>74</v>
      </c>
      <c r="AF11" s="77" t="s">
        <v>74</v>
      </c>
      <c r="AG11" s="77" t="s">
        <v>74</v>
      </c>
      <c r="AH11" s="77" t="s">
        <v>74</v>
      </c>
      <c r="AI11" s="77"/>
      <c r="AJ11" s="78">
        <f>IF($C11="","",COUNTIF($E11:$AI11,'Cài đặt'!$B$16))</f>
        <v>26</v>
      </c>
      <c r="AK11" s="78">
        <f>IF($C11="","",COUNTIF($E11:$AI11,'Cài đặt'!$B$17))</f>
        <v>0</v>
      </c>
      <c r="AL11" s="78">
        <f>IF($C11="","",COUNTIF($E11:$AI11,'Cài đặt'!$B$18))</f>
        <v>0</v>
      </c>
      <c r="AM11" s="78">
        <f>IF($C11="","",COUNTIF($E11:$AI11,'Cài đặt'!$B$19))</f>
        <v>0</v>
      </c>
      <c r="AN11" s="78">
        <f>IF($C11="","",COUNTIF($E11:$AI11,'Cài đặt'!$B$20))</f>
        <v>0</v>
      </c>
      <c r="AO11" s="78">
        <f>IF($C11="","",COUNTIF($E11:$AI11,'Cài đặt'!$B$21))</f>
        <v>0</v>
      </c>
      <c r="AP11" s="78">
        <f>IF($C11="","",COUNTIF($E11:$AI11,'Cài đặt'!$B$22))</f>
        <v>0</v>
      </c>
      <c r="AQ11" s="78">
        <f>IF($C11="","",COUNTIF($E11:$AI11,'Cài đặt'!$B$23))</f>
        <v>0</v>
      </c>
      <c r="AR11" s="78">
        <f>IF($C11="","",COUNTIF($E11:$AI11,'Cài đặt'!$B$24))</f>
        <v>0</v>
      </c>
      <c r="AS11" s="79">
        <f t="array" ref="AS11">IF($C11="","",SUMPRODUCT(COUNTIF($E11:$AI11,'Cài đặt'!$B$16:$B$25)*'Cài đặt'!$G$16:$G$25))</f>
        <v>208</v>
      </c>
      <c r="AT11" s="39">
        <f>IF($C11="","",SUMPRODUCT(--($E$7:$AI$7="CN"),SUMIF('Cài đặt'!$B$16:$B$25,$E11:$AI11,'Cài đặt'!$G$16:$G$25)))</f>
        <v>40</v>
      </c>
      <c r="AU11" s="39">
        <f>IF($C11="","",SUMPRODUCT(--($E$5:$AI$5="Lễ"),SUMIF('Cài đặt'!$B$16:$B$25,$E11:$AI11,'Cài đặt'!$G$16:$G$25)))</f>
        <v>0</v>
      </c>
      <c r="AV11" s="50">
        <f t="array" ref="AV11">IF($C11="","",SUMPRODUCT(COUNTIF($E11:$AI11,'Cài đặt'!$B$16:$B$25)*'Cài đặt'!$H$16:$H$25)/'Cài đặt'!$D$12)</f>
        <v>26</v>
      </c>
      <c r="AW11" s="79">
        <f>IF($C11="","",MAX(0,AS11-'Cài đặt'!$D$11*'Cài đặt'!$D$12))</f>
        <v>8</v>
      </c>
      <c r="AX11" s="49"/>
    </row>
    <row r="12" ht="21.0" customHeight="1">
      <c r="A12" s="75">
        <v>5.0</v>
      </c>
      <c r="B12" s="68" t="s">
        <v>160</v>
      </c>
      <c r="C12" s="76" t="s">
        <v>143</v>
      </c>
      <c r="D12" s="49" t="s">
        <v>142</v>
      </c>
      <c r="E12" s="77" t="s">
        <v>87</v>
      </c>
      <c r="F12" s="77" t="s">
        <v>87</v>
      </c>
      <c r="G12" s="77" t="s">
        <v>106</v>
      </c>
      <c r="H12" s="77" t="s">
        <v>87</v>
      </c>
      <c r="I12" s="77" t="s">
        <v>87</v>
      </c>
      <c r="J12" s="77" t="s">
        <v>87</v>
      </c>
      <c r="K12" s="77" t="s">
        <v>87</v>
      </c>
      <c r="L12" s="77" t="s">
        <v>87</v>
      </c>
      <c r="M12" s="77" t="s">
        <v>87</v>
      </c>
      <c r="N12" s="77" t="s">
        <v>106</v>
      </c>
      <c r="O12" s="77" t="s">
        <v>87</v>
      </c>
      <c r="P12" s="77" t="s">
        <v>87</v>
      </c>
      <c r="Q12" s="77" t="s">
        <v>87</v>
      </c>
      <c r="R12" s="77" t="s">
        <v>87</v>
      </c>
      <c r="S12" s="77" t="s">
        <v>87</v>
      </c>
      <c r="T12" s="77" t="s">
        <v>87</v>
      </c>
      <c r="U12" s="77" t="s">
        <v>106</v>
      </c>
      <c r="V12" s="77" t="s">
        <v>102</v>
      </c>
      <c r="W12" s="77" t="s">
        <v>87</v>
      </c>
      <c r="X12" s="77" t="s">
        <v>87</v>
      </c>
      <c r="Y12" s="77" t="s">
        <v>87</v>
      </c>
      <c r="Z12" s="77" t="s">
        <v>87</v>
      </c>
      <c r="AA12" s="77" t="s">
        <v>87</v>
      </c>
      <c r="AB12" s="77" t="s">
        <v>106</v>
      </c>
      <c r="AC12" s="77" t="s">
        <v>87</v>
      </c>
      <c r="AD12" s="77" t="s">
        <v>87</v>
      </c>
      <c r="AE12" s="77" t="s">
        <v>87</v>
      </c>
      <c r="AF12" s="77" t="s">
        <v>87</v>
      </c>
      <c r="AG12" s="77" t="s">
        <v>87</v>
      </c>
      <c r="AH12" s="77" t="s">
        <v>87</v>
      </c>
      <c r="AI12" s="77"/>
      <c r="AJ12" s="78">
        <f>IF($C12="","",COUNTIF($E12:$AI12,'Cài đặt'!$B$16))</f>
        <v>0</v>
      </c>
      <c r="AK12" s="78">
        <f>IF($C12="","",COUNTIF($E12:$AI12,'Cài đặt'!$B$17))</f>
        <v>25</v>
      </c>
      <c r="AL12" s="78">
        <f>IF($C12="","",COUNTIF($E12:$AI12,'Cài đặt'!$B$18))</f>
        <v>0</v>
      </c>
      <c r="AM12" s="78">
        <f>IF($C12="","",COUNTIF($E12:$AI12,'Cài đặt'!$B$19))</f>
        <v>0</v>
      </c>
      <c r="AN12" s="78">
        <f>IF($C12="","",COUNTIF($E12:$AI12,'Cài đặt'!$B$20))</f>
        <v>0</v>
      </c>
      <c r="AO12" s="78">
        <f>IF($C12="","",COUNTIF($E12:$AI12,'Cài đặt'!$B$21))</f>
        <v>0</v>
      </c>
      <c r="AP12" s="78">
        <f>IF($C12="","",COUNTIF($E12:$AI12,'Cài đặt'!$B$22))</f>
        <v>0</v>
      </c>
      <c r="AQ12" s="78">
        <f>IF($C12="","",COUNTIF($E12:$AI12,'Cài đặt'!$B$23))</f>
        <v>1</v>
      </c>
      <c r="AR12" s="78">
        <f>IF($C12="","",COUNTIF($E12:$AI12,'Cài đặt'!$B$24))</f>
        <v>0</v>
      </c>
      <c r="AS12" s="79">
        <f t="array" ref="AS12">IF($C12="","",SUMPRODUCT(COUNTIF($E12:$AI12,'Cài đặt'!$B$16:$B$25)*'Cài đặt'!$G$16:$G$25))</f>
        <v>200</v>
      </c>
      <c r="AT12" s="39">
        <f>IF($C12="","",SUMPRODUCT(--($E$7:$AI$7="CN"),SUMIF('Cài đặt'!$B$16:$B$25,$E12:$AI12,'Cài đặt'!$G$16:$G$25)))</f>
        <v>40</v>
      </c>
      <c r="AU12" s="39">
        <f>IF($C12="","",SUMPRODUCT(--($E$5:$AI$5="Lễ"),SUMIF('Cài đặt'!$B$16:$B$25,$E12:$AI12,'Cài đặt'!$G$16:$G$25)))</f>
        <v>0</v>
      </c>
      <c r="AV12" s="50">
        <f t="array" ref="AV12">IF($C12="","",SUMPRODUCT(COUNTIF($E12:$AI12,'Cài đặt'!$B$16:$B$25)*'Cài đặt'!$H$16:$H$25)/'Cài đặt'!$D$12)</f>
        <v>25</v>
      </c>
      <c r="AW12" s="79">
        <f>IF($C12="","",MAX(0,AS12-'Cài đặt'!$D$11*'Cài đặt'!$D$12))</f>
        <v>0</v>
      </c>
      <c r="AX12" s="49"/>
    </row>
    <row r="13" ht="21.0" customHeight="1">
      <c r="A13" s="75">
        <v>6.0</v>
      </c>
      <c r="B13" s="68" t="s">
        <v>161</v>
      </c>
      <c r="C13" s="76" t="s">
        <v>148</v>
      </c>
      <c r="D13" s="49" t="s">
        <v>147</v>
      </c>
      <c r="E13" s="77" t="s">
        <v>93</v>
      </c>
      <c r="F13" s="77" t="s">
        <v>106</v>
      </c>
      <c r="G13" s="77" t="s">
        <v>93</v>
      </c>
      <c r="H13" s="77" t="s">
        <v>93</v>
      </c>
      <c r="I13" s="77" t="s">
        <v>93</v>
      </c>
      <c r="J13" s="77" t="s">
        <v>93</v>
      </c>
      <c r="K13" s="77" t="s">
        <v>93</v>
      </c>
      <c r="L13" s="77" t="s">
        <v>93</v>
      </c>
      <c r="M13" s="77" t="s">
        <v>106</v>
      </c>
      <c r="N13" s="77" t="s">
        <v>93</v>
      </c>
      <c r="O13" s="77" t="s">
        <v>93</v>
      </c>
      <c r="P13" s="77" t="s">
        <v>93</v>
      </c>
      <c r="Q13" s="77" t="s">
        <v>93</v>
      </c>
      <c r="R13" s="77" t="s">
        <v>93</v>
      </c>
      <c r="S13" s="77" t="s">
        <v>93</v>
      </c>
      <c r="T13" s="77" t="s">
        <v>106</v>
      </c>
      <c r="U13" s="77" t="s">
        <v>93</v>
      </c>
      <c r="V13" s="77" t="s">
        <v>93</v>
      </c>
      <c r="W13" s="77" t="s">
        <v>93</v>
      </c>
      <c r="X13" s="77" t="s">
        <v>93</v>
      </c>
      <c r="Y13" s="77" t="s">
        <v>93</v>
      </c>
      <c r="Z13" s="77" t="s">
        <v>93</v>
      </c>
      <c r="AA13" s="77" t="s">
        <v>106</v>
      </c>
      <c r="AB13" s="77" t="s">
        <v>93</v>
      </c>
      <c r="AC13" s="77" t="s">
        <v>93</v>
      </c>
      <c r="AD13" s="77" t="s">
        <v>93</v>
      </c>
      <c r="AE13" s="77" t="s">
        <v>93</v>
      </c>
      <c r="AF13" s="77" t="s">
        <v>93</v>
      </c>
      <c r="AG13" s="77" t="s">
        <v>93</v>
      </c>
      <c r="AH13" s="77" t="s">
        <v>106</v>
      </c>
      <c r="AI13" s="77"/>
      <c r="AJ13" s="78">
        <f>IF($C13="","",COUNTIF($E13:$AI13,'Cài đặt'!$B$16))</f>
        <v>0</v>
      </c>
      <c r="AK13" s="78">
        <f>IF($C13="","",COUNTIF($E13:$AI13,'Cài đặt'!$B$17))</f>
        <v>0</v>
      </c>
      <c r="AL13" s="78">
        <f>IF($C13="","",COUNTIF($E13:$AI13,'Cài đặt'!$B$18))</f>
        <v>0</v>
      </c>
      <c r="AM13" s="78">
        <f>IF($C13="","",COUNTIF($E13:$AI13,'Cài đặt'!$B$19))</f>
        <v>25</v>
      </c>
      <c r="AN13" s="78">
        <f>IF($C13="","",COUNTIF($E13:$AI13,'Cài đặt'!$B$20))</f>
        <v>0</v>
      </c>
      <c r="AO13" s="78">
        <f>IF($C13="","",COUNTIF($E13:$AI13,'Cài đặt'!$B$21))</f>
        <v>0</v>
      </c>
      <c r="AP13" s="78">
        <f>IF($C13="","",COUNTIF($E13:$AI13,'Cài đặt'!$B$22))</f>
        <v>0</v>
      </c>
      <c r="AQ13" s="78">
        <f>IF($C13="","",COUNTIF($E13:$AI13,'Cài đặt'!$B$23))</f>
        <v>0</v>
      </c>
      <c r="AR13" s="78">
        <f>IF($C13="","",COUNTIF($E13:$AI13,'Cài đặt'!$B$24))</f>
        <v>0</v>
      </c>
      <c r="AS13" s="79">
        <f t="array" ref="AS13">IF($C13="","",SUMPRODUCT(COUNTIF($E13:$AI13,'Cài đặt'!$B$16:$B$25)*'Cài đặt'!$G$16:$G$25))</f>
        <v>200</v>
      </c>
      <c r="AT13" s="39">
        <f>IF($C13="","",SUMPRODUCT(--($E$7:$AI$7="CN"),SUMIF('Cài đặt'!$B$16:$B$25,$E13:$AI13,'Cài đặt'!$G$16:$G$25)))</f>
        <v>40</v>
      </c>
      <c r="AU13" s="39">
        <f>IF($C13="","",SUMPRODUCT(--($E$5:$AI$5="Lễ"),SUMIF('Cài đặt'!$B$16:$B$25,$E13:$AI13,'Cài đặt'!$G$16:$G$25)))</f>
        <v>0</v>
      </c>
      <c r="AV13" s="50">
        <f t="array" ref="AV13">IF($C13="","",SUMPRODUCT(COUNTIF($E13:$AI13,'Cài đặt'!$B$16:$B$25)*'Cài đặt'!$H$16:$H$25)/'Cài đặt'!$D$12)</f>
        <v>25</v>
      </c>
      <c r="AW13" s="79">
        <f>IF($C13="","",MAX(0,AS13-'Cài đặt'!$D$11*'Cài đặt'!$D$12))</f>
        <v>0</v>
      </c>
      <c r="AX13" s="49"/>
    </row>
    <row r="14" ht="21.0" customHeight="1">
      <c r="A14" s="75">
        <v>7.0</v>
      </c>
      <c r="B14" s="68" t="s">
        <v>162</v>
      </c>
      <c r="C14" s="76" t="s">
        <v>163</v>
      </c>
      <c r="D14" s="49" t="s">
        <v>164</v>
      </c>
      <c r="E14" s="77" t="s">
        <v>106</v>
      </c>
      <c r="F14" s="77" t="s">
        <v>96</v>
      </c>
      <c r="G14" s="77" t="s">
        <v>96</v>
      </c>
      <c r="H14" s="77" t="s">
        <v>96</v>
      </c>
      <c r="I14" s="77" t="s">
        <v>96</v>
      </c>
      <c r="J14" s="77" t="s">
        <v>96</v>
      </c>
      <c r="K14" s="77" t="s">
        <v>96</v>
      </c>
      <c r="L14" s="77" t="s">
        <v>106</v>
      </c>
      <c r="M14" s="77" t="s">
        <v>96</v>
      </c>
      <c r="N14" s="77" t="s">
        <v>96</v>
      </c>
      <c r="O14" s="77" t="s">
        <v>96</v>
      </c>
      <c r="P14" s="77" t="s">
        <v>96</v>
      </c>
      <c r="Q14" s="77" t="s">
        <v>96</v>
      </c>
      <c r="R14" s="77" t="s">
        <v>96</v>
      </c>
      <c r="S14" s="77" t="s">
        <v>106</v>
      </c>
      <c r="T14" s="77" t="s">
        <v>96</v>
      </c>
      <c r="U14" s="77" t="s">
        <v>96</v>
      </c>
      <c r="V14" s="77" t="s">
        <v>96</v>
      </c>
      <c r="W14" s="77" t="s">
        <v>96</v>
      </c>
      <c r="X14" s="77" t="s">
        <v>96</v>
      </c>
      <c r="Y14" s="77" t="s">
        <v>96</v>
      </c>
      <c r="Z14" s="77" t="s">
        <v>106</v>
      </c>
      <c r="AA14" s="77" t="s">
        <v>96</v>
      </c>
      <c r="AB14" s="77" t="s">
        <v>96</v>
      </c>
      <c r="AC14" s="77" t="s">
        <v>96</v>
      </c>
      <c r="AD14" s="77" t="s">
        <v>96</v>
      </c>
      <c r="AE14" s="77" t="s">
        <v>96</v>
      </c>
      <c r="AF14" s="77" t="s">
        <v>96</v>
      </c>
      <c r="AG14" s="77" t="s">
        <v>106</v>
      </c>
      <c r="AH14" s="77" t="s">
        <v>96</v>
      </c>
      <c r="AI14" s="77"/>
      <c r="AJ14" s="78">
        <f>IF($C14="","",COUNTIF($E14:$AI14,'Cài đặt'!$B$16))</f>
        <v>0</v>
      </c>
      <c r="AK14" s="78">
        <f>IF($C14="","",COUNTIF($E14:$AI14,'Cài đặt'!$B$17))</f>
        <v>0</v>
      </c>
      <c r="AL14" s="78">
        <f>IF($C14="","",COUNTIF($E14:$AI14,'Cài đặt'!$B$18))</f>
        <v>0</v>
      </c>
      <c r="AM14" s="78">
        <f>IF($C14="","",COUNTIF($E14:$AI14,'Cài đặt'!$B$19))</f>
        <v>0</v>
      </c>
      <c r="AN14" s="78">
        <f>IF($C14="","",COUNTIF($E14:$AI14,'Cài đặt'!$B$20))</f>
        <v>25</v>
      </c>
      <c r="AO14" s="78">
        <f>IF($C14="","",COUNTIF($E14:$AI14,'Cài đặt'!$B$21))</f>
        <v>0</v>
      </c>
      <c r="AP14" s="78">
        <f>IF($C14="","",COUNTIF($E14:$AI14,'Cài đặt'!$B$22))</f>
        <v>0</v>
      </c>
      <c r="AQ14" s="78">
        <f>IF($C14="","",COUNTIF($E14:$AI14,'Cài đặt'!$B$23))</f>
        <v>0</v>
      </c>
      <c r="AR14" s="78">
        <f>IF($C14="","",COUNTIF($E14:$AI14,'Cài đặt'!$B$24))</f>
        <v>0</v>
      </c>
      <c r="AS14" s="79">
        <f t="array" ref="AS14">IF($C14="","",SUMPRODUCT(COUNTIF($E14:$AI14,'Cài đặt'!$B$16:$B$25)*'Cài đặt'!$G$16:$G$25))</f>
        <v>100</v>
      </c>
      <c r="AT14" s="39">
        <f>IF($C14="","",SUMPRODUCT(--($E$7:$AI$7="CN"),SUMIF('Cài đặt'!$B$16:$B$25,$E14:$AI14,'Cài đặt'!$G$16:$G$25)))</f>
        <v>0</v>
      </c>
      <c r="AU14" s="39">
        <f>IF($C14="","",SUMPRODUCT(--($E$5:$AI$5="Lễ"),SUMIF('Cài đặt'!$B$16:$B$25,$E14:$AI14,'Cài đặt'!$G$16:$G$25)))</f>
        <v>0</v>
      </c>
      <c r="AV14" s="50">
        <f t="array" ref="AV14">IF($C14="","",SUMPRODUCT(COUNTIF($E14:$AI14,'Cài đặt'!$B$16:$B$25)*'Cài đặt'!$H$16:$H$25)/'Cài đặt'!$D$12)</f>
        <v>12.5</v>
      </c>
      <c r="AW14" s="79">
        <f>IF($C14="","",MAX(0,AS14-'Cài đặt'!$D$11*'Cài đặt'!$D$12))</f>
        <v>0</v>
      </c>
      <c r="AX14" s="49"/>
    </row>
    <row r="15" ht="21.0" customHeight="1">
      <c r="A15" s="75">
        <v>8.0</v>
      </c>
      <c r="B15" s="68" t="s">
        <v>165</v>
      </c>
      <c r="C15" s="76" t="s">
        <v>166</v>
      </c>
      <c r="D15" s="49" t="s">
        <v>167</v>
      </c>
      <c r="E15" s="77" t="s">
        <v>74</v>
      </c>
      <c r="F15" s="77" t="s">
        <v>74</v>
      </c>
      <c r="G15" s="77" t="s">
        <v>74</v>
      </c>
      <c r="H15" s="77" t="s">
        <v>87</v>
      </c>
      <c r="I15" s="77" t="s">
        <v>87</v>
      </c>
      <c r="J15" s="77" t="s">
        <v>87</v>
      </c>
      <c r="K15" s="77" t="s">
        <v>106</v>
      </c>
      <c r="L15" s="77" t="s">
        <v>74</v>
      </c>
      <c r="M15" s="77" t="s">
        <v>74</v>
      </c>
      <c r="N15" s="77" t="s">
        <v>74</v>
      </c>
      <c r="O15" s="77" t="s">
        <v>87</v>
      </c>
      <c r="P15" s="77" t="s">
        <v>87</v>
      </c>
      <c r="Q15" s="77" t="s">
        <v>87</v>
      </c>
      <c r="R15" s="77" t="s">
        <v>106</v>
      </c>
      <c r="S15" s="77" t="s">
        <v>74</v>
      </c>
      <c r="T15" s="77" t="s">
        <v>74</v>
      </c>
      <c r="U15" s="77" t="s">
        <v>74</v>
      </c>
      <c r="V15" s="77" t="s">
        <v>87</v>
      </c>
      <c r="W15" s="77" t="s">
        <v>87</v>
      </c>
      <c r="X15" s="77" t="s">
        <v>87</v>
      </c>
      <c r="Y15" s="77" t="s">
        <v>106</v>
      </c>
      <c r="Z15" s="77" t="s">
        <v>74</v>
      </c>
      <c r="AA15" s="77" t="s">
        <v>74</v>
      </c>
      <c r="AB15" s="77" t="s">
        <v>74</v>
      </c>
      <c r="AC15" s="77" t="s">
        <v>87</v>
      </c>
      <c r="AD15" s="77" t="s">
        <v>87</v>
      </c>
      <c r="AE15" s="77" t="s">
        <v>87</v>
      </c>
      <c r="AF15" s="77" t="s">
        <v>106</v>
      </c>
      <c r="AG15" s="77" t="s">
        <v>74</v>
      </c>
      <c r="AH15" s="77" t="s">
        <v>74</v>
      </c>
      <c r="AI15" s="77"/>
      <c r="AJ15" s="78">
        <f>IF($C15="","",COUNTIF($E15:$AI15,'Cài đặt'!$B$16))</f>
        <v>14</v>
      </c>
      <c r="AK15" s="78">
        <f>IF($C15="","",COUNTIF($E15:$AI15,'Cài đặt'!$B$17))</f>
        <v>12</v>
      </c>
      <c r="AL15" s="78">
        <f>IF($C15="","",COUNTIF($E15:$AI15,'Cài đặt'!$B$18))</f>
        <v>0</v>
      </c>
      <c r="AM15" s="78">
        <f>IF($C15="","",COUNTIF($E15:$AI15,'Cài đặt'!$B$19))</f>
        <v>0</v>
      </c>
      <c r="AN15" s="78">
        <f>IF($C15="","",COUNTIF($E15:$AI15,'Cài đặt'!$B$20))</f>
        <v>0</v>
      </c>
      <c r="AO15" s="78">
        <f>IF($C15="","",COUNTIF($E15:$AI15,'Cài đặt'!$B$21))</f>
        <v>0</v>
      </c>
      <c r="AP15" s="78">
        <f>IF($C15="","",COUNTIF($E15:$AI15,'Cài đặt'!$B$22))</f>
        <v>0</v>
      </c>
      <c r="AQ15" s="78">
        <f>IF($C15="","",COUNTIF($E15:$AI15,'Cài đặt'!$B$23))</f>
        <v>0</v>
      </c>
      <c r="AR15" s="78">
        <f>IF($C15="","",COUNTIF($E15:$AI15,'Cài đặt'!$B$24))</f>
        <v>0</v>
      </c>
      <c r="AS15" s="79">
        <f t="array" ref="AS15">IF($C15="","",SUMPRODUCT(COUNTIF($E15:$AI15,'Cài đặt'!$B$16:$B$25)*'Cài đặt'!$G$16:$G$25))</f>
        <v>208</v>
      </c>
      <c r="AT15" s="39">
        <f>IF($C15="","",SUMPRODUCT(--($E$7:$AI$7="CN"),SUMIF('Cài đặt'!$B$16:$B$25,$E15:$AI15,'Cài đặt'!$G$16:$G$25)))</f>
        <v>40</v>
      </c>
      <c r="AU15" s="39">
        <f>IF($C15="","",SUMPRODUCT(--($E$5:$AI$5="Lễ"),SUMIF('Cài đặt'!$B$16:$B$25,$E15:$AI15,'Cài đặt'!$G$16:$G$25)))</f>
        <v>0</v>
      </c>
      <c r="AV15" s="50">
        <f t="array" ref="AV15">IF($C15="","",SUMPRODUCT(COUNTIF($E15:$AI15,'Cài đặt'!$B$16:$B$25)*'Cài đặt'!$H$16:$H$25)/'Cài đặt'!$D$12)</f>
        <v>26</v>
      </c>
      <c r="AW15" s="79">
        <f>IF($C15="","",MAX(0,AS15-'Cài đặt'!$D$11*'Cài đặt'!$D$12))</f>
        <v>8</v>
      </c>
      <c r="AX15" s="49"/>
    </row>
    <row r="16" ht="21.0" customHeight="1">
      <c r="A16" s="75">
        <v>9.0</v>
      </c>
      <c r="B16" s="68" t="s">
        <v>168</v>
      </c>
      <c r="C16" s="76" t="s">
        <v>169</v>
      </c>
      <c r="D16" s="49" t="s">
        <v>170</v>
      </c>
      <c r="E16" s="77" t="s">
        <v>87</v>
      </c>
      <c r="F16" s="77" t="s">
        <v>87</v>
      </c>
      <c r="G16" s="77" t="s">
        <v>74</v>
      </c>
      <c r="H16" s="77" t="s">
        <v>74</v>
      </c>
      <c r="I16" s="77" t="s">
        <v>74</v>
      </c>
      <c r="J16" s="77" t="s">
        <v>106</v>
      </c>
      <c r="K16" s="77" t="s">
        <v>87</v>
      </c>
      <c r="L16" s="77" t="s">
        <v>87</v>
      </c>
      <c r="M16" s="77" t="s">
        <v>87</v>
      </c>
      <c r="N16" s="77" t="s">
        <v>74</v>
      </c>
      <c r="O16" s="77" t="s">
        <v>74</v>
      </c>
      <c r="P16" s="77" t="s">
        <v>74</v>
      </c>
      <c r="Q16" s="77" t="s">
        <v>106</v>
      </c>
      <c r="R16" s="77" t="s">
        <v>87</v>
      </c>
      <c r="S16" s="77" t="s">
        <v>87</v>
      </c>
      <c r="T16" s="77" t="s">
        <v>87</v>
      </c>
      <c r="U16" s="77" t="s">
        <v>74</v>
      </c>
      <c r="V16" s="77" t="s">
        <v>74</v>
      </c>
      <c r="W16" s="77" t="s">
        <v>74</v>
      </c>
      <c r="X16" s="77" t="s">
        <v>106</v>
      </c>
      <c r="Y16" s="77" t="s">
        <v>87</v>
      </c>
      <c r="Z16" s="77" t="s">
        <v>87</v>
      </c>
      <c r="AA16" s="77" t="s">
        <v>87</v>
      </c>
      <c r="AB16" s="77" t="s">
        <v>74</v>
      </c>
      <c r="AC16" s="77" t="s">
        <v>74</v>
      </c>
      <c r="AD16" s="77" t="s">
        <v>74</v>
      </c>
      <c r="AE16" s="77" t="s">
        <v>106</v>
      </c>
      <c r="AF16" s="77" t="s">
        <v>87</v>
      </c>
      <c r="AG16" s="77" t="s">
        <v>87</v>
      </c>
      <c r="AH16" s="77" t="s">
        <v>87</v>
      </c>
      <c r="AI16" s="77"/>
      <c r="AJ16" s="78">
        <f>IF($C16="","",COUNTIF($E16:$AI16,'Cài đặt'!$B$16))</f>
        <v>12</v>
      </c>
      <c r="AK16" s="78">
        <f>IF($C16="","",COUNTIF($E16:$AI16,'Cài đặt'!$B$17))</f>
        <v>14</v>
      </c>
      <c r="AL16" s="78">
        <f>IF($C16="","",COUNTIF($E16:$AI16,'Cài đặt'!$B$18))</f>
        <v>0</v>
      </c>
      <c r="AM16" s="78">
        <f>IF($C16="","",COUNTIF($E16:$AI16,'Cài đặt'!$B$19))</f>
        <v>0</v>
      </c>
      <c r="AN16" s="78">
        <f>IF($C16="","",COUNTIF($E16:$AI16,'Cài đặt'!$B$20))</f>
        <v>0</v>
      </c>
      <c r="AO16" s="78">
        <f>IF($C16="","",COUNTIF($E16:$AI16,'Cài đặt'!$B$21))</f>
        <v>0</v>
      </c>
      <c r="AP16" s="78">
        <f>IF($C16="","",COUNTIF($E16:$AI16,'Cài đặt'!$B$22))</f>
        <v>0</v>
      </c>
      <c r="AQ16" s="78">
        <f>IF($C16="","",COUNTIF($E16:$AI16,'Cài đặt'!$B$23))</f>
        <v>0</v>
      </c>
      <c r="AR16" s="78">
        <f>IF($C16="","",COUNTIF($E16:$AI16,'Cài đặt'!$B$24))</f>
        <v>0</v>
      </c>
      <c r="AS16" s="79">
        <f t="array" ref="AS16">IF($C16="","",SUMPRODUCT(COUNTIF($E16:$AI16,'Cài đặt'!$B$16:$B$25)*'Cài đặt'!$G$16:$G$25))</f>
        <v>208</v>
      </c>
      <c r="AT16" s="39">
        <f>IF($C16="","",SUMPRODUCT(--($E$7:$AI$7="CN"),SUMIF('Cài đặt'!$B$16:$B$25,$E16:$AI16,'Cài đặt'!$G$16:$G$25)))</f>
        <v>40</v>
      </c>
      <c r="AU16" s="39">
        <f>IF($C16="","",SUMPRODUCT(--($E$5:$AI$5="Lễ"),SUMIF('Cài đặt'!$B$16:$B$25,$E16:$AI16,'Cài đặt'!$G$16:$G$25)))</f>
        <v>0</v>
      </c>
      <c r="AV16" s="50">
        <f t="array" ref="AV16">IF($C16="","",SUMPRODUCT(COUNTIF($E16:$AI16,'Cài đặt'!$B$16:$B$25)*'Cài đặt'!$H$16:$H$25)/'Cài đặt'!$D$12)</f>
        <v>26</v>
      </c>
      <c r="AW16" s="79">
        <f>IF($C16="","",MAX(0,AS16-'Cài đặt'!$D$11*'Cài đặt'!$D$12))</f>
        <v>8</v>
      </c>
      <c r="AX16" s="49"/>
    </row>
    <row r="17" ht="21.0" customHeight="1">
      <c r="A17" s="75">
        <v>10.0</v>
      </c>
      <c r="B17" s="68" t="s">
        <v>171</v>
      </c>
      <c r="C17" s="76" t="s">
        <v>85</v>
      </c>
      <c r="D17" s="49" t="s">
        <v>172</v>
      </c>
      <c r="E17" s="77" t="s">
        <v>90</v>
      </c>
      <c r="F17" s="77" t="s">
        <v>90</v>
      </c>
      <c r="G17" s="77" t="s">
        <v>90</v>
      </c>
      <c r="H17" s="77" t="s">
        <v>90</v>
      </c>
      <c r="I17" s="77" t="s">
        <v>106</v>
      </c>
      <c r="J17" s="77" t="s">
        <v>90</v>
      </c>
      <c r="K17" s="77" t="s">
        <v>90</v>
      </c>
      <c r="L17" s="77" t="s">
        <v>90</v>
      </c>
      <c r="M17" s="77" t="s">
        <v>90</v>
      </c>
      <c r="N17" s="77" t="s">
        <v>90</v>
      </c>
      <c r="O17" s="77" t="s">
        <v>90</v>
      </c>
      <c r="P17" s="77" t="s">
        <v>106</v>
      </c>
      <c r="Q17" s="77" t="s">
        <v>90</v>
      </c>
      <c r="R17" s="77" t="s">
        <v>90</v>
      </c>
      <c r="S17" s="77" t="s">
        <v>90</v>
      </c>
      <c r="T17" s="77" t="s">
        <v>90</v>
      </c>
      <c r="U17" s="77" t="s">
        <v>90</v>
      </c>
      <c r="V17" s="77" t="s">
        <v>90</v>
      </c>
      <c r="W17" s="77" t="s">
        <v>106</v>
      </c>
      <c r="X17" s="77" t="s">
        <v>90</v>
      </c>
      <c r="Y17" s="77" t="s">
        <v>90</v>
      </c>
      <c r="Z17" s="77" t="s">
        <v>90</v>
      </c>
      <c r="AA17" s="77" t="s">
        <v>90</v>
      </c>
      <c r="AB17" s="77" t="s">
        <v>90</v>
      </c>
      <c r="AC17" s="77" t="s">
        <v>90</v>
      </c>
      <c r="AD17" s="77" t="s">
        <v>106</v>
      </c>
      <c r="AE17" s="77" t="s">
        <v>90</v>
      </c>
      <c r="AF17" s="77" t="s">
        <v>90</v>
      </c>
      <c r="AG17" s="77" t="s">
        <v>90</v>
      </c>
      <c r="AH17" s="77" t="s">
        <v>90</v>
      </c>
      <c r="AI17" s="77"/>
      <c r="AJ17" s="78">
        <f>IF($C17="","",COUNTIF($E17:$AI17,'Cài đặt'!$B$16))</f>
        <v>0</v>
      </c>
      <c r="AK17" s="78">
        <f>IF($C17="","",COUNTIF($E17:$AI17,'Cài đặt'!$B$17))</f>
        <v>0</v>
      </c>
      <c r="AL17" s="78">
        <f>IF($C17="","",COUNTIF($E17:$AI17,'Cài đặt'!$B$18))</f>
        <v>26</v>
      </c>
      <c r="AM17" s="78">
        <f>IF($C17="","",COUNTIF($E17:$AI17,'Cài đặt'!$B$19))</f>
        <v>0</v>
      </c>
      <c r="AN17" s="78">
        <f>IF($C17="","",COUNTIF($E17:$AI17,'Cài đặt'!$B$20))</f>
        <v>0</v>
      </c>
      <c r="AO17" s="78">
        <f>IF($C17="","",COUNTIF($E17:$AI17,'Cài đặt'!$B$21))</f>
        <v>0</v>
      </c>
      <c r="AP17" s="78">
        <f>IF($C17="","",COUNTIF($E17:$AI17,'Cài đặt'!$B$22))</f>
        <v>0</v>
      </c>
      <c r="AQ17" s="78">
        <f>IF($C17="","",COUNTIF($E17:$AI17,'Cài đặt'!$B$23))</f>
        <v>0</v>
      </c>
      <c r="AR17" s="78">
        <f>IF($C17="","",COUNTIF($E17:$AI17,'Cài đặt'!$B$24))</f>
        <v>0</v>
      </c>
      <c r="AS17" s="79">
        <f t="array" ref="AS17">IF($C17="","",SUMPRODUCT(COUNTIF($E17:$AI17,'Cài đặt'!$B$16:$B$25)*'Cài đặt'!$G$16:$G$25))</f>
        <v>208</v>
      </c>
      <c r="AT17" s="39">
        <f>IF($C17="","",SUMPRODUCT(--($E$7:$AI$7="CN"),SUMIF('Cài đặt'!$B$16:$B$25,$E17:$AI17,'Cài đặt'!$G$16:$G$25)))</f>
        <v>40</v>
      </c>
      <c r="AU17" s="39">
        <f>IF($C17="","",SUMPRODUCT(--($E$5:$AI$5="Lễ"),SUMIF('Cài đặt'!$B$16:$B$25,$E17:$AI17,'Cài đặt'!$G$16:$G$25)))</f>
        <v>0</v>
      </c>
      <c r="AV17" s="50">
        <f t="array" ref="AV17">IF($C17="","",SUMPRODUCT(COUNTIF($E17:$AI17,'Cài đặt'!$B$16:$B$25)*'Cài đặt'!$H$16:$H$25)/'Cài đặt'!$D$12)</f>
        <v>26</v>
      </c>
      <c r="AW17" s="79">
        <f>IF($C17="","",MAX(0,AS17-'Cài đặt'!$D$11*'Cài đặt'!$D$12))</f>
        <v>8</v>
      </c>
      <c r="AX17" s="49"/>
    </row>
    <row r="18" ht="21.0" customHeight="1">
      <c r="A18" s="75">
        <v>11.0</v>
      </c>
      <c r="B18" s="68"/>
      <c r="C18" s="76"/>
      <c r="D18" s="49"/>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8" t="str">
        <f>IF($C18="","",COUNTIF($E18:$AI18,'Cài đặt'!$B$16))</f>
        <v/>
      </c>
      <c r="AK18" s="78" t="str">
        <f>IF($C18="","",COUNTIF($E18:$AI18,'Cài đặt'!$B$17))</f>
        <v/>
      </c>
      <c r="AL18" s="78" t="str">
        <f>IF($C18="","",COUNTIF($E18:$AI18,'Cài đặt'!$B$18))</f>
        <v/>
      </c>
      <c r="AM18" s="78" t="str">
        <f>IF($C18="","",COUNTIF($E18:$AI18,'Cài đặt'!$B$19))</f>
        <v/>
      </c>
      <c r="AN18" s="78" t="str">
        <f>IF($C18="","",COUNTIF($E18:$AI18,'Cài đặt'!$B$20))</f>
        <v/>
      </c>
      <c r="AO18" s="78" t="str">
        <f>IF($C18="","",COUNTIF($E18:$AI18,'Cài đặt'!$B$21))</f>
        <v/>
      </c>
      <c r="AP18" s="78" t="str">
        <f>IF($C18="","",COUNTIF($E18:$AI18,'Cài đặt'!$B$22))</f>
        <v/>
      </c>
      <c r="AQ18" s="78" t="str">
        <f>IF($C18="","",COUNTIF($E18:$AI18,'Cài đặt'!$B$23))</f>
        <v/>
      </c>
      <c r="AR18" s="78" t="str">
        <f>IF($C18="","",COUNTIF($E18:$AI18,'Cài đặt'!$B$24))</f>
        <v/>
      </c>
      <c r="AS18" s="79" t="str">
        <f t="array" ref="AS18">IF($C18="","",SUMPRODUCT(COUNTIF($E18:$AI18,'Cài đặt'!$B$16:$B$25)*'Cài đặt'!$G$16:$G$25))</f>
        <v/>
      </c>
      <c r="AT18" s="39" t="str">
        <f>IF($C18="","",SUMPRODUCT(--($E$7:$AI$7="CN"),SUMIF('Cài đặt'!$B$16:$B$25,$E18:$AI18,'Cài đặt'!$G$16:$G$25)))</f>
        <v/>
      </c>
      <c r="AU18" s="39" t="str">
        <f>IF($C18="","",SUMPRODUCT(--($E$5:$AI$5="Lễ"),SUMIF('Cài đặt'!$B$16:$B$25,$E18:$AI18,'Cài đặt'!$G$16:$G$25)))</f>
        <v/>
      </c>
      <c r="AV18" s="50" t="str">
        <f t="array" ref="AV18">IF($C18="","",SUMPRODUCT(COUNTIF($E18:$AI18,'Cài đặt'!$B$16:$B$25)*'Cài đặt'!$H$16:$H$25)/'Cài đặt'!$D$12)</f>
        <v/>
      </c>
      <c r="AW18" s="79" t="str">
        <f>IF($C18="","",MAX(0,AS18-'Cài đặt'!$D$11*'Cài đặt'!$D$12))</f>
        <v/>
      </c>
      <c r="AX18" s="49"/>
    </row>
    <row r="19" ht="21.0" customHeight="1">
      <c r="A19" s="75">
        <v>12.0</v>
      </c>
      <c r="B19" s="68"/>
      <c r="C19" s="76"/>
      <c r="D19" s="49"/>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8" t="str">
        <f>IF($C19="","",COUNTIF($E19:$AI19,'Cài đặt'!$B$16))</f>
        <v/>
      </c>
      <c r="AK19" s="78" t="str">
        <f>IF($C19="","",COUNTIF($E19:$AI19,'Cài đặt'!$B$17))</f>
        <v/>
      </c>
      <c r="AL19" s="78" t="str">
        <f>IF($C19="","",COUNTIF($E19:$AI19,'Cài đặt'!$B$18))</f>
        <v/>
      </c>
      <c r="AM19" s="78" t="str">
        <f>IF($C19="","",COUNTIF($E19:$AI19,'Cài đặt'!$B$19))</f>
        <v/>
      </c>
      <c r="AN19" s="78" t="str">
        <f>IF($C19="","",COUNTIF($E19:$AI19,'Cài đặt'!$B$20))</f>
        <v/>
      </c>
      <c r="AO19" s="78" t="str">
        <f>IF($C19="","",COUNTIF($E19:$AI19,'Cài đặt'!$B$21))</f>
        <v/>
      </c>
      <c r="AP19" s="78" t="str">
        <f>IF($C19="","",COUNTIF($E19:$AI19,'Cài đặt'!$B$22))</f>
        <v/>
      </c>
      <c r="AQ19" s="78" t="str">
        <f>IF($C19="","",COUNTIF($E19:$AI19,'Cài đặt'!$B$23))</f>
        <v/>
      </c>
      <c r="AR19" s="78" t="str">
        <f>IF($C19="","",COUNTIF($E19:$AI19,'Cài đặt'!$B$24))</f>
        <v/>
      </c>
      <c r="AS19" s="79" t="str">
        <f t="array" ref="AS19">IF($C19="","",SUMPRODUCT(COUNTIF($E19:$AI19,'Cài đặt'!$B$16:$B$25)*'Cài đặt'!$G$16:$G$25))</f>
        <v/>
      </c>
      <c r="AT19" s="39" t="str">
        <f>IF($C19="","",SUMPRODUCT(--($E$7:$AI$7="CN"),SUMIF('Cài đặt'!$B$16:$B$25,$E19:$AI19,'Cài đặt'!$G$16:$G$25)))</f>
        <v/>
      </c>
      <c r="AU19" s="39" t="str">
        <f>IF($C19="","",SUMPRODUCT(--($E$5:$AI$5="Lễ"),SUMIF('Cài đặt'!$B$16:$B$25,$E19:$AI19,'Cài đặt'!$G$16:$G$25)))</f>
        <v/>
      </c>
      <c r="AV19" s="50" t="str">
        <f t="array" ref="AV19">IF($C19="","",SUMPRODUCT(COUNTIF($E19:$AI19,'Cài đặt'!$B$16:$B$25)*'Cài đặt'!$H$16:$H$25)/'Cài đặt'!$D$12)</f>
        <v/>
      </c>
      <c r="AW19" s="79" t="str">
        <f>IF($C19="","",MAX(0,AS19-'Cài đặt'!$D$11*'Cài đặt'!$D$12))</f>
        <v/>
      </c>
      <c r="AX19" s="49"/>
    </row>
    <row r="20" ht="21.0" customHeight="1">
      <c r="A20" s="75">
        <v>13.0</v>
      </c>
      <c r="B20" s="68"/>
      <c r="C20" s="76"/>
      <c r="D20" s="49"/>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8" t="str">
        <f>IF($C20="","",COUNTIF($E20:$AI20,'Cài đặt'!$B$16))</f>
        <v/>
      </c>
      <c r="AK20" s="78" t="str">
        <f>IF($C20="","",COUNTIF($E20:$AI20,'Cài đặt'!$B$17))</f>
        <v/>
      </c>
      <c r="AL20" s="78" t="str">
        <f>IF($C20="","",COUNTIF($E20:$AI20,'Cài đặt'!$B$18))</f>
        <v/>
      </c>
      <c r="AM20" s="78" t="str">
        <f>IF($C20="","",COUNTIF($E20:$AI20,'Cài đặt'!$B$19))</f>
        <v/>
      </c>
      <c r="AN20" s="78" t="str">
        <f>IF($C20="","",COUNTIF($E20:$AI20,'Cài đặt'!$B$20))</f>
        <v/>
      </c>
      <c r="AO20" s="78" t="str">
        <f>IF($C20="","",COUNTIF($E20:$AI20,'Cài đặt'!$B$21))</f>
        <v/>
      </c>
      <c r="AP20" s="78" t="str">
        <f>IF($C20="","",COUNTIF($E20:$AI20,'Cài đặt'!$B$22))</f>
        <v/>
      </c>
      <c r="AQ20" s="78" t="str">
        <f>IF($C20="","",COUNTIF($E20:$AI20,'Cài đặt'!$B$23))</f>
        <v/>
      </c>
      <c r="AR20" s="78" t="str">
        <f>IF($C20="","",COUNTIF($E20:$AI20,'Cài đặt'!$B$24))</f>
        <v/>
      </c>
      <c r="AS20" s="79" t="str">
        <f t="array" ref="AS20">IF($C20="","",SUMPRODUCT(COUNTIF($E20:$AI20,'Cài đặt'!$B$16:$B$25)*'Cài đặt'!$G$16:$G$25))</f>
        <v/>
      </c>
      <c r="AT20" s="39" t="str">
        <f>IF($C20="","",SUMPRODUCT(--($E$7:$AI$7="CN"),SUMIF('Cài đặt'!$B$16:$B$25,$E20:$AI20,'Cài đặt'!$G$16:$G$25)))</f>
        <v/>
      </c>
      <c r="AU20" s="39" t="str">
        <f>IF($C20="","",SUMPRODUCT(--($E$5:$AI$5="Lễ"),SUMIF('Cài đặt'!$B$16:$B$25,$E20:$AI20,'Cài đặt'!$G$16:$G$25)))</f>
        <v/>
      </c>
      <c r="AV20" s="50" t="str">
        <f t="array" ref="AV20">IF($C20="","",SUMPRODUCT(COUNTIF($E20:$AI20,'Cài đặt'!$B$16:$B$25)*'Cài đặt'!$H$16:$H$25)/'Cài đặt'!$D$12)</f>
        <v/>
      </c>
      <c r="AW20" s="79" t="str">
        <f>IF($C20="","",MAX(0,AS20-'Cài đặt'!$D$11*'Cài đặt'!$D$12))</f>
        <v/>
      </c>
      <c r="AX20" s="49"/>
    </row>
    <row r="21" ht="21.0" customHeight="1">
      <c r="A21" s="75">
        <v>14.0</v>
      </c>
      <c r="B21" s="68"/>
      <c r="C21" s="76"/>
      <c r="D21" s="49"/>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8" t="str">
        <f>IF($C21="","",COUNTIF($E21:$AI21,'Cài đặt'!$B$16))</f>
        <v/>
      </c>
      <c r="AK21" s="78" t="str">
        <f>IF($C21="","",COUNTIF($E21:$AI21,'Cài đặt'!$B$17))</f>
        <v/>
      </c>
      <c r="AL21" s="78" t="str">
        <f>IF($C21="","",COUNTIF($E21:$AI21,'Cài đặt'!$B$18))</f>
        <v/>
      </c>
      <c r="AM21" s="78" t="str">
        <f>IF($C21="","",COUNTIF($E21:$AI21,'Cài đặt'!$B$19))</f>
        <v/>
      </c>
      <c r="AN21" s="78" t="str">
        <f>IF($C21="","",COUNTIF($E21:$AI21,'Cài đặt'!$B$20))</f>
        <v/>
      </c>
      <c r="AO21" s="78" t="str">
        <f>IF($C21="","",COUNTIF($E21:$AI21,'Cài đặt'!$B$21))</f>
        <v/>
      </c>
      <c r="AP21" s="78" t="str">
        <f>IF($C21="","",COUNTIF($E21:$AI21,'Cài đặt'!$B$22))</f>
        <v/>
      </c>
      <c r="AQ21" s="78" t="str">
        <f>IF($C21="","",COUNTIF($E21:$AI21,'Cài đặt'!$B$23))</f>
        <v/>
      </c>
      <c r="AR21" s="78" t="str">
        <f>IF($C21="","",COUNTIF($E21:$AI21,'Cài đặt'!$B$24))</f>
        <v/>
      </c>
      <c r="AS21" s="79" t="str">
        <f t="array" ref="AS21">IF($C21="","",SUMPRODUCT(COUNTIF($E21:$AI21,'Cài đặt'!$B$16:$B$25)*'Cài đặt'!$G$16:$G$25))</f>
        <v/>
      </c>
      <c r="AT21" s="39" t="str">
        <f>IF($C21="","",SUMPRODUCT(--($E$7:$AI$7="CN"),SUMIF('Cài đặt'!$B$16:$B$25,$E21:$AI21,'Cài đặt'!$G$16:$G$25)))</f>
        <v/>
      </c>
      <c r="AU21" s="39" t="str">
        <f>IF($C21="","",SUMPRODUCT(--($E$5:$AI$5="Lễ"),SUMIF('Cài đặt'!$B$16:$B$25,$E21:$AI21,'Cài đặt'!$G$16:$G$25)))</f>
        <v/>
      </c>
      <c r="AV21" s="50" t="str">
        <f t="array" ref="AV21">IF($C21="","",SUMPRODUCT(COUNTIF($E21:$AI21,'Cài đặt'!$B$16:$B$25)*'Cài đặt'!$H$16:$H$25)/'Cài đặt'!$D$12)</f>
        <v/>
      </c>
      <c r="AW21" s="79" t="str">
        <f>IF($C21="","",MAX(0,AS21-'Cài đặt'!$D$11*'Cài đặt'!$D$12))</f>
        <v/>
      </c>
      <c r="AX21" s="49"/>
    </row>
    <row r="22" ht="21.0" customHeight="1">
      <c r="A22" s="75">
        <v>15.0</v>
      </c>
      <c r="B22" s="68"/>
      <c r="C22" s="76"/>
      <c r="D22" s="49"/>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8" t="str">
        <f>IF($C22="","",COUNTIF($E22:$AI22,'Cài đặt'!$B$16))</f>
        <v/>
      </c>
      <c r="AK22" s="78" t="str">
        <f>IF($C22="","",COUNTIF($E22:$AI22,'Cài đặt'!$B$17))</f>
        <v/>
      </c>
      <c r="AL22" s="78" t="str">
        <f>IF($C22="","",COUNTIF($E22:$AI22,'Cài đặt'!$B$18))</f>
        <v/>
      </c>
      <c r="AM22" s="78" t="str">
        <f>IF($C22="","",COUNTIF($E22:$AI22,'Cài đặt'!$B$19))</f>
        <v/>
      </c>
      <c r="AN22" s="78" t="str">
        <f>IF($C22="","",COUNTIF($E22:$AI22,'Cài đặt'!$B$20))</f>
        <v/>
      </c>
      <c r="AO22" s="78" t="str">
        <f>IF($C22="","",COUNTIF($E22:$AI22,'Cài đặt'!$B$21))</f>
        <v/>
      </c>
      <c r="AP22" s="78" t="str">
        <f>IF($C22="","",COUNTIF($E22:$AI22,'Cài đặt'!$B$22))</f>
        <v/>
      </c>
      <c r="AQ22" s="78" t="str">
        <f>IF($C22="","",COUNTIF($E22:$AI22,'Cài đặt'!$B$23))</f>
        <v/>
      </c>
      <c r="AR22" s="78" t="str">
        <f>IF($C22="","",COUNTIF($E22:$AI22,'Cài đặt'!$B$24))</f>
        <v/>
      </c>
      <c r="AS22" s="79" t="str">
        <f t="array" ref="AS22">IF($C22="","",SUMPRODUCT(COUNTIF($E22:$AI22,'Cài đặt'!$B$16:$B$25)*'Cài đặt'!$G$16:$G$25))</f>
        <v/>
      </c>
      <c r="AT22" s="39" t="str">
        <f>IF($C22="","",SUMPRODUCT(--($E$7:$AI$7="CN"),SUMIF('Cài đặt'!$B$16:$B$25,$E22:$AI22,'Cài đặt'!$G$16:$G$25)))</f>
        <v/>
      </c>
      <c r="AU22" s="39" t="str">
        <f>IF($C22="","",SUMPRODUCT(--($E$5:$AI$5="Lễ"),SUMIF('Cài đặt'!$B$16:$B$25,$E22:$AI22,'Cài đặt'!$G$16:$G$25)))</f>
        <v/>
      </c>
      <c r="AV22" s="50" t="str">
        <f t="array" ref="AV22">IF($C22="","",SUMPRODUCT(COUNTIF($E22:$AI22,'Cài đặt'!$B$16:$B$25)*'Cài đặt'!$H$16:$H$25)/'Cài đặt'!$D$12)</f>
        <v/>
      </c>
      <c r="AW22" s="79" t="str">
        <f>IF($C22="","",MAX(0,AS22-'Cài đặt'!$D$11*'Cài đặt'!$D$12))</f>
        <v/>
      </c>
      <c r="AX22" s="49"/>
    </row>
    <row r="23" ht="21.0" customHeight="1">
      <c r="A23" s="75">
        <v>16.0</v>
      </c>
      <c r="B23" s="68"/>
      <c r="C23" s="76"/>
      <c r="D23" s="49"/>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8" t="str">
        <f>IF($C23="","",COUNTIF($E23:$AI23,'Cài đặt'!$B$16))</f>
        <v/>
      </c>
      <c r="AK23" s="78" t="str">
        <f>IF($C23="","",COUNTIF($E23:$AI23,'Cài đặt'!$B$17))</f>
        <v/>
      </c>
      <c r="AL23" s="78" t="str">
        <f>IF($C23="","",COUNTIF($E23:$AI23,'Cài đặt'!$B$18))</f>
        <v/>
      </c>
      <c r="AM23" s="78" t="str">
        <f>IF($C23="","",COUNTIF($E23:$AI23,'Cài đặt'!$B$19))</f>
        <v/>
      </c>
      <c r="AN23" s="78" t="str">
        <f>IF($C23="","",COUNTIF($E23:$AI23,'Cài đặt'!$B$20))</f>
        <v/>
      </c>
      <c r="AO23" s="78" t="str">
        <f>IF($C23="","",COUNTIF($E23:$AI23,'Cài đặt'!$B$21))</f>
        <v/>
      </c>
      <c r="AP23" s="78" t="str">
        <f>IF($C23="","",COUNTIF($E23:$AI23,'Cài đặt'!$B$22))</f>
        <v/>
      </c>
      <c r="AQ23" s="78" t="str">
        <f>IF($C23="","",COUNTIF($E23:$AI23,'Cài đặt'!$B$23))</f>
        <v/>
      </c>
      <c r="AR23" s="78" t="str">
        <f>IF($C23="","",COUNTIF($E23:$AI23,'Cài đặt'!$B$24))</f>
        <v/>
      </c>
      <c r="AS23" s="79" t="str">
        <f t="array" ref="AS23">IF($C23="","",SUMPRODUCT(COUNTIF($E23:$AI23,'Cài đặt'!$B$16:$B$25)*'Cài đặt'!$G$16:$G$25))</f>
        <v/>
      </c>
      <c r="AT23" s="39" t="str">
        <f>IF($C23="","",SUMPRODUCT(--($E$7:$AI$7="CN"),SUMIF('Cài đặt'!$B$16:$B$25,$E23:$AI23,'Cài đặt'!$G$16:$G$25)))</f>
        <v/>
      </c>
      <c r="AU23" s="39" t="str">
        <f>IF($C23="","",SUMPRODUCT(--($E$5:$AI$5="Lễ"),SUMIF('Cài đặt'!$B$16:$B$25,$E23:$AI23,'Cài đặt'!$G$16:$G$25)))</f>
        <v/>
      </c>
      <c r="AV23" s="50" t="str">
        <f t="array" ref="AV23">IF($C23="","",SUMPRODUCT(COUNTIF($E23:$AI23,'Cài đặt'!$B$16:$B$25)*'Cài đặt'!$H$16:$H$25)/'Cài đặt'!$D$12)</f>
        <v/>
      </c>
      <c r="AW23" s="79" t="str">
        <f>IF($C23="","",MAX(0,AS23-'Cài đặt'!$D$11*'Cài đặt'!$D$12))</f>
        <v/>
      </c>
      <c r="AX23" s="49"/>
    </row>
    <row r="24" ht="21.0" customHeight="1">
      <c r="A24" s="75">
        <v>17.0</v>
      </c>
      <c r="B24" s="68"/>
      <c r="C24" s="76"/>
      <c r="D24" s="49"/>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8" t="str">
        <f>IF($C24="","",COUNTIF($E24:$AI24,'Cài đặt'!$B$16))</f>
        <v/>
      </c>
      <c r="AK24" s="78" t="str">
        <f>IF($C24="","",COUNTIF($E24:$AI24,'Cài đặt'!$B$17))</f>
        <v/>
      </c>
      <c r="AL24" s="78" t="str">
        <f>IF($C24="","",COUNTIF($E24:$AI24,'Cài đặt'!$B$18))</f>
        <v/>
      </c>
      <c r="AM24" s="78" t="str">
        <f>IF($C24="","",COUNTIF($E24:$AI24,'Cài đặt'!$B$19))</f>
        <v/>
      </c>
      <c r="AN24" s="78" t="str">
        <f>IF($C24="","",COUNTIF($E24:$AI24,'Cài đặt'!$B$20))</f>
        <v/>
      </c>
      <c r="AO24" s="78" t="str">
        <f>IF($C24="","",COUNTIF($E24:$AI24,'Cài đặt'!$B$21))</f>
        <v/>
      </c>
      <c r="AP24" s="78" t="str">
        <f>IF($C24="","",COUNTIF($E24:$AI24,'Cài đặt'!$B$22))</f>
        <v/>
      </c>
      <c r="AQ24" s="78" t="str">
        <f>IF($C24="","",COUNTIF($E24:$AI24,'Cài đặt'!$B$23))</f>
        <v/>
      </c>
      <c r="AR24" s="78" t="str">
        <f>IF($C24="","",COUNTIF($E24:$AI24,'Cài đặt'!$B$24))</f>
        <v/>
      </c>
      <c r="AS24" s="79" t="str">
        <f t="array" ref="AS24">IF($C24="","",SUMPRODUCT(COUNTIF($E24:$AI24,'Cài đặt'!$B$16:$B$25)*'Cài đặt'!$G$16:$G$25))</f>
        <v/>
      </c>
      <c r="AT24" s="39" t="str">
        <f>IF($C24="","",SUMPRODUCT(--($E$7:$AI$7="CN"),SUMIF('Cài đặt'!$B$16:$B$25,$E24:$AI24,'Cài đặt'!$G$16:$G$25)))</f>
        <v/>
      </c>
      <c r="AU24" s="39" t="str">
        <f>IF($C24="","",SUMPRODUCT(--($E$5:$AI$5="Lễ"),SUMIF('Cài đặt'!$B$16:$B$25,$E24:$AI24,'Cài đặt'!$G$16:$G$25)))</f>
        <v/>
      </c>
      <c r="AV24" s="50" t="str">
        <f t="array" ref="AV24">IF($C24="","",SUMPRODUCT(COUNTIF($E24:$AI24,'Cài đặt'!$B$16:$B$25)*'Cài đặt'!$H$16:$H$25)/'Cài đặt'!$D$12)</f>
        <v/>
      </c>
      <c r="AW24" s="79" t="str">
        <f>IF($C24="","",MAX(0,AS24-'Cài đặt'!$D$11*'Cài đặt'!$D$12))</f>
        <v/>
      </c>
      <c r="AX24" s="49"/>
    </row>
    <row r="25" ht="21.0" customHeight="1">
      <c r="A25" s="75">
        <v>18.0</v>
      </c>
      <c r="B25" s="68"/>
      <c r="C25" s="76"/>
      <c r="D25" s="49"/>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8" t="str">
        <f>IF($C25="","",COUNTIF($E25:$AI25,'Cài đặt'!$B$16))</f>
        <v/>
      </c>
      <c r="AK25" s="78" t="str">
        <f>IF($C25="","",COUNTIF($E25:$AI25,'Cài đặt'!$B$17))</f>
        <v/>
      </c>
      <c r="AL25" s="78" t="str">
        <f>IF($C25="","",COUNTIF($E25:$AI25,'Cài đặt'!$B$18))</f>
        <v/>
      </c>
      <c r="AM25" s="78" t="str">
        <f>IF($C25="","",COUNTIF($E25:$AI25,'Cài đặt'!$B$19))</f>
        <v/>
      </c>
      <c r="AN25" s="78" t="str">
        <f>IF($C25="","",COUNTIF($E25:$AI25,'Cài đặt'!$B$20))</f>
        <v/>
      </c>
      <c r="AO25" s="78" t="str">
        <f>IF($C25="","",COUNTIF($E25:$AI25,'Cài đặt'!$B$21))</f>
        <v/>
      </c>
      <c r="AP25" s="78" t="str">
        <f>IF($C25="","",COUNTIF($E25:$AI25,'Cài đặt'!$B$22))</f>
        <v/>
      </c>
      <c r="AQ25" s="78" t="str">
        <f>IF($C25="","",COUNTIF($E25:$AI25,'Cài đặt'!$B$23))</f>
        <v/>
      </c>
      <c r="AR25" s="78" t="str">
        <f>IF($C25="","",COUNTIF($E25:$AI25,'Cài đặt'!$B$24))</f>
        <v/>
      </c>
      <c r="AS25" s="79" t="str">
        <f t="array" ref="AS25">IF($C25="","",SUMPRODUCT(COUNTIF($E25:$AI25,'Cài đặt'!$B$16:$B$25)*'Cài đặt'!$G$16:$G$25))</f>
        <v/>
      </c>
      <c r="AT25" s="39" t="str">
        <f>IF($C25="","",SUMPRODUCT(--($E$7:$AI$7="CN"),SUMIF('Cài đặt'!$B$16:$B$25,$E25:$AI25,'Cài đặt'!$G$16:$G$25)))</f>
        <v/>
      </c>
      <c r="AU25" s="39" t="str">
        <f>IF($C25="","",SUMPRODUCT(--($E$5:$AI$5="Lễ"),SUMIF('Cài đặt'!$B$16:$B$25,$E25:$AI25,'Cài đặt'!$G$16:$G$25)))</f>
        <v/>
      </c>
      <c r="AV25" s="50" t="str">
        <f t="array" ref="AV25">IF($C25="","",SUMPRODUCT(COUNTIF($E25:$AI25,'Cài đặt'!$B$16:$B$25)*'Cài đặt'!$H$16:$H$25)/'Cài đặt'!$D$12)</f>
        <v/>
      </c>
      <c r="AW25" s="79" t="str">
        <f>IF($C25="","",MAX(0,AS25-'Cài đặt'!$D$11*'Cài đặt'!$D$12))</f>
        <v/>
      </c>
      <c r="AX25" s="49"/>
    </row>
    <row r="26" ht="21.0" customHeight="1">
      <c r="A26" s="75">
        <v>19.0</v>
      </c>
      <c r="B26" s="68"/>
      <c r="C26" s="76"/>
      <c r="D26" s="49"/>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8" t="str">
        <f>IF($C26="","",COUNTIF($E26:$AI26,'Cài đặt'!$B$16))</f>
        <v/>
      </c>
      <c r="AK26" s="78" t="str">
        <f>IF($C26="","",COUNTIF($E26:$AI26,'Cài đặt'!$B$17))</f>
        <v/>
      </c>
      <c r="AL26" s="78" t="str">
        <f>IF($C26="","",COUNTIF($E26:$AI26,'Cài đặt'!$B$18))</f>
        <v/>
      </c>
      <c r="AM26" s="78" t="str">
        <f>IF($C26="","",COUNTIF($E26:$AI26,'Cài đặt'!$B$19))</f>
        <v/>
      </c>
      <c r="AN26" s="78" t="str">
        <f>IF($C26="","",COUNTIF($E26:$AI26,'Cài đặt'!$B$20))</f>
        <v/>
      </c>
      <c r="AO26" s="78" t="str">
        <f>IF($C26="","",COUNTIF($E26:$AI26,'Cài đặt'!$B$21))</f>
        <v/>
      </c>
      <c r="AP26" s="78" t="str">
        <f>IF($C26="","",COUNTIF($E26:$AI26,'Cài đặt'!$B$22))</f>
        <v/>
      </c>
      <c r="AQ26" s="78" t="str">
        <f>IF($C26="","",COUNTIF($E26:$AI26,'Cài đặt'!$B$23))</f>
        <v/>
      </c>
      <c r="AR26" s="78" t="str">
        <f>IF($C26="","",COUNTIF($E26:$AI26,'Cài đặt'!$B$24))</f>
        <v/>
      </c>
      <c r="AS26" s="79" t="str">
        <f t="array" ref="AS26">IF($C26="","",SUMPRODUCT(COUNTIF($E26:$AI26,'Cài đặt'!$B$16:$B$25)*'Cài đặt'!$G$16:$G$25))</f>
        <v/>
      </c>
      <c r="AT26" s="39" t="str">
        <f>IF($C26="","",SUMPRODUCT(--($E$7:$AI$7="CN"),SUMIF('Cài đặt'!$B$16:$B$25,$E26:$AI26,'Cài đặt'!$G$16:$G$25)))</f>
        <v/>
      </c>
      <c r="AU26" s="39" t="str">
        <f>IF($C26="","",SUMPRODUCT(--($E$5:$AI$5="Lễ"),SUMIF('Cài đặt'!$B$16:$B$25,$E26:$AI26,'Cài đặt'!$G$16:$G$25)))</f>
        <v/>
      </c>
      <c r="AV26" s="50" t="str">
        <f t="array" ref="AV26">IF($C26="","",SUMPRODUCT(COUNTIF($E26:$AI26,'Cài đặt'!$B$16:$B$25)*'Cài đặt'!$H$16:$H$25)/'Cài đặt'!$D$12)</f>
        <v/>
      </c>
      <c r="AW26" s="79" t="str">
        <f>IF($C26="","",MAX(0,AS26-'Cài đặt'!$D$11*'Cài đặt'!$D$12))</f>
        <v/>
      </c>
      <c r="AX26" s="49"/>
    </row>
    <row r="27" ht="21.0" customHeight="1">
      <c r="A27" s="75">
        <v>20.0</v>
      </c>
      <c r="B27" s="68"/>
      <c r="C27" s="76"/>
      <c r="D27" s="49"/>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8" t="str">
        <f>IF($C27="","",COUNTIF($E27:$AI27,'Cài đặt'!$B$16))</f>
        <v/>
      </c>
      <c r="AK27" s="78" t="str">
        <f>IF($C27="","",COUNTIF($E27:$AI27,'Cài đặt'!$B$17))</f>
        <v/>
      </c>
      <c r="AL27" s="78" t="str">
        <f>IF($C27="","",COUNTIF($E27:$AI27,'Cài đặt'!$B$18))</f>
        <v/>
      </c>
      <c r="AM27" s="78" t="str">
        <f>IF($C27="","",COUNTIF($E27:$AI27,'Cài đặt'!$B$19))</f>
        <v/>
      </c>
      <c r="AN27" s="78" t="str">
        <f>IF($C27="","",COUNTIF($E27:$AI27,'Cài đặt'!$B$20))</f>
        <v/>
      </c>
      <c r="AO27" s="78" t="str">
        <f>IF($C27="","",COUNTIF($E27:$AI27,'Cài đặt'!$B$21))</f>
        <v/>
      </c>
      <c r="AP27" s="78" t="str">
        <f>IF($C27="","",COUNTIF($E27:$AI27,'Cài đặt'!$B$22))</f>
        <v/>
      </c>
      <c r="AQ27" s="78" t="str">
        <f>IF($C27="","",COUNTIF($E27:$AI27,'Cài đặt'!$B$23))</f>
        <v/>
      </c>
      <c r="AR27" s="78" t="str">
        <f>IF($C27="","",COUNTIF($E27:$AI27,'Cài đặt'!$B$24))</f>
        <v/>
      </c>
      <c r="AS27" s="79" t="str">
        <f t="array" ref="AS27">IF($C27="","",SUMPRODUCT(COUNTIF($E27:$AI27,'Cài đặt'!$B$16:$B$25)*'Cài đặt'!$G$16:$G$25))</f>
        <v/>
      </c>
      <c r="AT27" s="39" t="str">
        <f>IF($C27="","",SUMPRODUCT(--($E$7:$AI$7="CN"),SUMIF('Cài đặt'!$B$16:$B$25,$E27:$AI27,'Cài đặt'!$G$16:$G$25)))</f>
        <v/>
      </c>
      <c r="AU27" s="39" t="str">
        <f>IF($C27="","",SUMPRODUCT(--($E$5:$AI$5="Lễ"),SUMIF('Cài đặt'!$B$16:$B$25,$E27:$AI27,'Cài đặt'!$G$16:$G$25)))</f>
        <v/>
      </c>
      <c r="AV27" s="50" t="str">
        <f t="array" ref="AV27">IF($C27="","",SUMPRODUCT(COUNTIF($E27:$AI27,'Cài đặt'!$B$16:$B$25)*'Cài đặt'!$H$16:$H$25)/'Cài đặt'!$D$12)</f>
        <v/>
      </c>
      <c r="AW27" s="79" t="str">
        <f>IF($C27="","",MAX(0,AS27-'Cài đặt'!$D$11*'Cài đặt'!$D$12))</f>
        <v/>
      </c>
      <c r="AX27" s="49"/>
    </row>
    <row r="28" ht="21.0" customHeight="1">
      <c r="A28" s="75">
        <v>21.0</v>
      </c>
      <c r="B28" s="68"/>
      <c r="C28" s="76"/>
      <c r="D28" s="49"/>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8" t="str">
        <f>IF($C28="","",COUNTIF($E28:$AI28,'Cài đặt'!$B$16))</f>
        <v/>
      </c>
      <c r="AK28" s="78" t="str">
        <f>IF($C28="","",COUNTIF($E28:$AI28,'Cài đặt'!$B$17))</f>
        <v/>
      </c>
      <c r="AL28" s="78" t="str">
        <f>IF($C28="","",COUNTIF($E28:$AI28,'Cài đặt'!$B$18))</f>
        <v/>
      </c>
      <c r="AM28" s="78" t="str">
        <f>IF($C28="","",COUNTIF($E28:$AI28,'Cài đặt'!$B$19))</f>
        <v/>
      </c>
      <c r="AN28" s="78" t="str">
        <f>IF($C28="","",COUNTIF($E28:$AI28,'Cài đặt'!$B$20))</f>
        <v/>
      </c>
      <c r="AO28" s="78" t="str">
        <f>IF($C28="","",COUNTIF($E28:$AI28,'Cài đặt'!$B$21))</f>
        <v/>
      </c>
      <c r="AP28" s="78" t="str">
        <f>IF($C28="","",COUNTIF($E28:$AI28,'Cài đặt'!$B$22))</f>
        <v/>
      </c>
      <c r="AQ28" s="78" t="str">
        <f>IF($C28="","",COUNTIF($E28:$AI28,'Cài đặt'!$B$23))</f>
        <v/>
      </c>
      <c r="AR28" s="78" t="str">
        <f>IF($C28="","",COUNTIF($E28:$AI28,'Cài đặt'!$B$24))</f>
        <v/>
      </c>
      <c r="AS28" s="79" t="str">
        <f t="array" ref="AS28">IF($C28="","",SUMPRODUCT(COUNTIF($E28:$AI28,'Cài đặt'!$B$16:$B$25)*'Cài đặt'!$G$16:$G$25))</f>
        <v/>
      </c>
      <c r="AT28" s="39" t="str">
        <f>IF($C28="","",SUMPRODUCT(--($E$7:$AI$7="CN"),SUMIF('Cài đặt'!$B$16:$B$25,$E28:$AI28,'Cài đặt'!$G$16:$G$25)))</f>
        <v/>
      </c>
      <c r="AU28" s="39" t="str">
        <f>IF($C28="","",SUMPRODUCT(--($E$5:$AI$5="Lễ"),SUMIF('Cài đặt'!$B$16:$B$25,$E28:$AI28,'Cài đặt'!$G$16:$G$25)))</f>
        <v/>
      </c>
      <c r="AV28" s="50" t="str">
        <f t="array" ref="AV28">IF($C28="","",SUMPRODUCT(COUNTIF($E28:$AI28,'Cài đặt'!$B$16:$B$25)*'Cài đặt'!$H$16:$H$25)/'Cài đặt'!$D$12)</f>
        <v/>
      </c>
      <c r="AW28" s="79" t="str">
        <f>IF($C28="","",MAX(0,AS28-'Cài đặt'!$D$11*'Cài đặt'!$D$12))</f>
        <v/>
      </c>
      <c r="AX28" s="49"/>
    </row>
    <row r="29" ht="21.0" customHeight="1">
      <c r="A29" s="75">
        <v>22.0</v>
      </c>
      <c r="B29" s="68"/>
      <c r="C29" s="76"/>
      <c r="D29" s="49"/>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8" t="str">
        <f>IF($C29="","",COUNTIF($E29:$AI29,'Cài đặt'!$B$16))</f>
        <v/>
      </c>
      <c r="AK29" s="78" t="str">
        <f>IF($C29="","",COUNTIF($E29:$AI29,'Cài đặt'!$B$17))</f>
        <v/>
      </c>
      <c r="AL29" s="78" t="str">
        <f>IF($C29="","",COUNTIF($E29:$AI29,'Cài đặt'!$B$18))</f>
        <v/>
      </c>
      <c r="AM29" s="78" t="str">
        <f>IF($C29="","",COUNTIF($E29:$AI29,'Cài đặt'!$B$19))</f>
        <v/>
      </c>
      <c r="AN29" s="78" t="str">
        <f>IF($C29="","",COUNTIF($E29:$AI29,'Cài đặt'!$B$20))</f>
        <v/>
      </c>
      <c r="AO29" s="78" t="str">
        <f>IF($C29="","",COUNTIF($E29:$AI29,'Cài đặt'!$B$21))</f>
        <v/>
      </c>
      <c r="AP29" s="78" t="str">
        <f>IF($C29="","",COUNTIF($E29:$AI29,'Cài đặt'!$B$22))</f>
        <v/>
      </c>
      <c r="AQ29" s="78" t="str">
        <f>IF($C29="","",COUNTIF($E29:$AI29,'Cài đặt'!$B$23))</f>
        <v/>
      </c>
      <c r="AR29" s="78" t="str">
        <f>IF($C29="","",COUNTIF($E29:$AI29,'Cài đặt'!$B$24))</f>
        <v/>
      </c>
      <c r="AS29" s="79" t="str">
        <f t="array" ref="AS29">IF($C29="","",SUMPRODUCT(COUNTIF($E29:$AI29,'Cài đặt'!$B$16:$B$25)*'Cài đặt'!$G$16:$G$25))</f>
        <v/>
      </c>
      <c r="AT29" s="39" t="str">
        <f>IF($C29="","",SUMPRODUCT(--($E$7:$AI$7="CN"),SUMIF('Cài đặt'!$B$16:$B$25,$E29:$AI29,'Cài đặt'!$G$16:$G$25)))</f>
        <v/>
      </c>
      <c r="AU29" s="39" t="str">
        <f>IF($C29="","",SUMPRODUCT(--($E$5:$AI$5="Lễ"),SUMIF('Cài đặt'!$B$16:$B$25,$E29:$AI29,'Cài đặt'!$G$16:$G$25)))</f>
        <v/>
      </c>
      <c r="AV29" s="50" t="str">
        <f t="array" ref="AV29">IF($C29="","",SUMPRODUCT(COUNTIF($E29:$AI29,'Cài đặt'!$B$16:$B$25)*'Cài đặt'!$H$16:$H$25)/'Cài đặt'!$D$12)</f>
        <v/>
      </c>
      <c r="AW29" s="79" t="str">
        <f>IF($C29="","",MAX(0,AS29-'Cài đặt'!$D$11*'Cài đặt'!$D$12))</f>
        <v/>
      </c>
      <c r="AX29" s="49"/>
    </row>
    <row r="30" ht="21.0" customHeight="1">
      <c r="A30" s="75">
        <v>23.0</v>
      </c>
      <c r="B30" s="68"/>
      <c r="C30" s="76"/>
      <c r="D30" s="49"/>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8" t="str">
        <f>IF($C30="","",COUNTIF($E30:$AI30,'Cài đặt'!$B$16))</f>
        <v/>
      </c>
      <c r="AK30" s="78" t="str">
        <f>IF($C30="","",COUNTIF($E30:$AI30,'Cài đặt'!$B$17))</f>
        <v/>
      </c>
      <c r="AL30" s="78" t="str">
        <f>IF($C30="","",COUNTIF($E30:$AI30,'Cài đặt'!$B$18))</f>
        <v/>
      </c>
      <c r="AM30" s="78" t="str">
        <f>IF($C30="","",COUNTIF($E30:$AI30,'Cài đặt'!$B$19))</f>
        <v/>
      </c>
      <c r="AN30" s="78" t="str">
        <f>IF($C30="","",COUNTIF($E30:$AI30,'Cài đặt'!$B$20))</f>
        <v/>
      </c>
      <c r="AO30" s="78" t="str">
        <f>IF($C30="","",COUNTIF($E30:$AI30,'Cài đặt'!$B$21))</f>
        <v/>
      </c>
      <c r="AP30" s="78" t="str">
        <f>IF($C30="","",COUNTIF($E30:$AI30,'Cài đặt'!$B$22))</f>
        <v/>
      </c>
      <c r="AQ30" s="78" t="str">
        <f>IF($C30="","",COUNTIF($E30:$AI30,'Cài đặt'!$B$23))</f>
        <v/>
      </c>
      <c r="AR30" s="78" t="str">
        <f>IF($C30="","",COUNTIF($E30:$AI30,'Cài đặt'!$B$24))</f>
        <v/>
      </c>
      <c r="AS30" s="79" t="str">
        <f t="array" ref="AS30">IF($C30="","",SUMPRODUCT(COUNTIF($E30:$AI30,'Cài đặt'!$B$16:$B$25)*'Cài đặt'!$G$16:$G$25))</f>
        <v/>
      </c>
      <c r="AT30" s="39" t="str">
        <f>IF($C30="","",SUMPRODUCT(--($E$7:$AI$7="CN"),SUMIF('Cài đặt'!$B$16:$B$25,$E30:$AI30,'Cài đặt'!$G$16:$G$25)))</f>
        <v/>
      </c>
      <c r="AU30" s="39" t="str">
        <f>IF($C30="","",SUMPRODUCT(--($E$5:$AI$5="Lễ"),SUMIF('Cài đặt'!$B$16:$B$25,$E30:$AI30,'Cài đặt'!$G$16:$G$25)))</f>
        <v/>
      </c>
      <c r="AV30" s="50" t="str">
        <f t="array" ref="AV30">IF($C30="","",SUMPRODUCT(COUNTIF($E30:$AI30,'Cài đặt'!$B$16:$B$25)*'Cài đặt'!$H$16:$H$25)/'Cài đặt'!$D$12)</f>
        <v/>
      </c>
      <c r="AW30" s="79" t="str">
        <f>IF($C30="","",MAX(0,AS30-'Cài đặt'!$D$11*'Cài đặt'!$D$12))</f>
        <v/>
      </c>
      <c r="AX30" s="49"/>
    </row>
    <row r="31" ht="21.0" customHeight="1">
      <c r="A31" s="75">
        <v>24.0</v>
      </c>
      <c r="B31" s="68"/>
      <c r="C31" s="76"/>
      <c r="D31" s="49"/>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8" t="str">
        <f>IF($C31="","",COUNTIF($E31:$AI31,'Cài đặt'!$B$16))</f>
        <v/>
      </c>
      <c r="AK31" s="78" t="str">
        <f>IF($C31="","",COUNTIF($E31:$AI31,'Cài đặt'!$B$17))</f>
        <v/>
      </c>
      <c r="AL31" s="78" t="str">
        <f>IF($C31="","",COUNTIF($E31:$AI31,'Cài đặt'!$B$18))</f>
        <v/>
      </c>
      <c r="AM31" s="78" t="str">
        <f>IF($C31="","",COUNTIF($E31:$AI31,'Cài đặt'!$B$19))</f>
        <v/>
      </c>
      <c r="AN31" s="78" t="str">
        <f>IF($C31="","",COUNTIF($E31:$AI31,'Cài đặt'!$B$20))</f>
        <v/>
      </c>
      <c r="AO31" s="78" t="str">
        <f>IF($C31="","",COUNTIF($E31:$AI31,'Cài đặt'!$B$21))</f>
        <v/>
      </c>
      <c r="AP31" s="78" t="str">
        <f>IF($C31="","",COUNTIF($E31:$AI31,'Cài đặt'!$B$22))</f>
        <v/>
      </c>
      <c r="AQ31" s="78" t="str">
        <f>IF($C31="","",COUNTIF($E31:$AI31,'Cài đặt'!$B$23))</f>
        <v/>
      </c>
      <c r="AR31" s="78" t="str">
        <f>IF($C31="","",COUNTIF($E31:$AI31,'Cài đặt'!$B$24))</f>
        <v/>
      </c>
      <c r="AS31" s="79" t="str">
        <f t="array" ref="AS31">IF($C31="","",SUMPRODUCT(COUNTIF($E31:$AI31,'Cài đặt'!$B$16:$B$25)*'Cài đặt'!$G$16:$G$25))</f>
        <v/>
      </c>
      <c r="AT31" s="39" t="str">
        <f>IF($C31="","",SUMPRODUCT(--($E$7:$AI$7="CN"),SUMIF('Cài đặt'!$B$16:$B$25,$E31:$AI31,'Cài đặt'!$G$16:$G$25)))</f>
        <v/>
      </c>
      <c r="AU31" s="39" t="str">
        <f>IF($C31="","",SUMPRODUCT(--($E$5:$AI$5="Lễ"),SUMIF('Cài đặt'!$B$16:$B$25,$E31:$AI31,'Cài đặt'!$G$16:$G$25)))</f>
        <v/>
      </c>
      <c r="AV31" s="50" t="str">
        <f t="array" ref="AV31">IF($C31="","",SUMPRODUCT(COUNTIF($E31:$AI31,'Cài đặt'!$B$16:$B$25)*'Cài đặt'!$H$16:$H$25)/'Cài đặt'!$D$12)</f>
        <v/>
      </c>
      <c r="AW31" s="79" t="str">
        <f>IF($C31="","",MAX(0,AS31-'Cài đặt'!$D$11*'Cài đặt'!$D$12))</f>
        <v/>
      </c>
      <c r="AX31" s="49"/>
    </row>
    <row r="32" ht="21.0" customHeight="1">
      <c r="A32" s="75">
        <v>25.0</v>
      </c>
      <c r="B32" s="68"/>
      <c r="C32" s="76"/>
      <c r="D32" s="49"/>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8" t="str">
        <f>IF($C32="","",COUNTIF($E32:$AI32,'Cài đặt'!$B$16))</f>
        <v/>
      </c>
      <c r="AK32" s="78" t="str">
        <f>IF($C32="","",COUNTIF($E32:$AI32,'Cài đặt'!$B$17))</f>
        <v/>
      </c>
      <c r="AL32" s="78" t="str">
        <f>IF($C32="","",COUNTIF($E32:$AI32,'Cài đặt'!$B$18))</f>
        <v/>
      </c>
      <c r="AM32" s="78" t="str">
        <f>IF($C32="","",COUNTIF($E32:$AI32,'Cài đặt'!$B$19))</f>
        <v/>
      </c>
      <c r="AN32" s="78" t="str">
        <f>IF($C32="","",COUNTIF($E32:$AI32,'Cài đặt'!$B$20))</f>
        <v/>
      </c>
      <c r="AO32" s="78" t="str">
        <f>IF($C32="","",COUNTIF($E32:$AI32,'Cài đặt'!$B$21))</f>
        <v/>
      </c>
      <c r="AP32" s="78" t="str">
        <f>IF($C32="","",COUNTIF($E32:$AI32,'Cài đặt'!$B$22))</f>
        <v/>
      </c>
      <c r="AQ32" s="78" t="str">
        <f>IF($C32="","",COUNTIF($E32:$AI32,'Cài đặt'!$B$23))</f>
        <v/>
      </c>
      <c r="AR32" s="78" t="str">
        <f>IF($C32="","",COUNTIF($E32:$AI32,'Cài đặt'!$B$24))</f>
        <v/>
      </c>
      <c r="AS32" s="79" t="str">
        <f t="array" ref="AS32">IF($C32="","",SUMPRODUCT(COUNTIF($E32:$AI32,'Cài đặt'!$B$16:$B$25)*'Cài đặt'!$G$16:$G$25))</f>
        <v/>
      </c>
      <c r="AT32" s="39" t="str">
        <f>IF($C32="","",SUMPRODUCT(--($E$7:$AI$7="CN"),SUMIF('Cài đặt'!$B$16:$B$25,$E32:$AI32,'Cài đặt'!$G$16:$G$25)))</f>
        <v/>
      </c>
      <c r="AU32" s="39" t="str">
        <f>IF($C32="","",SUMPRODUCT(--($E$5:$AI$5="Lễ"),SUMIF('Cài đặt'!$B$16:$B$25,$E32:$AI32,'Cài đặt'!$G$16:$G$25)))</f>
        <v/>
      </c>
      <c r="AV32" s="50" t="str">
        <f t="array" ref="AV32">IF($C32="","",SUMPRODUCT(COUNTIF($E32:$AI32,'Cài đặt'!$B$16:$B$25)*'Cài đặt'!$H$16:$H$25)/'Cài đặt'!$D$12)</f>
        <v/>
      </c>
      <c r="AW32" s="79" t="str">
        <f>IF($C32="","",MAX(0,AS32-'Cài đặt'!$D$11*'Cài đặt'!$D$12))</f>
        <v/>
      </c>
      <c r="AX32" s="49"/>
    </row>
    <row r="33" ht="21.0" customHeight="1">
      <c r="A33" s="75">
        <v>26.0</v>
      </c>
      <c r="B33" s="68"/>
      <c r="C33" s="76"/>
      <c r="D33" s="49"/>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8" t="str">
        <f>IF($C33="","",COUNTIF($E33:$AI33,'Cài đặt'!$B$16))</f>
        <v/>
      </c>
      <c r="AK33" s="78" t="str">
        <f>IF($C33="","",COUNTIF($E33:$AI33,'Cài đặt'!$B$17))</f>
        <v/>
      </c>
      <c r="AL33" s="78" t="str">
        <f>IF($C33="","",COUNTIF($E33:$AI33,'Cài đặt'!$B$18))</f>
        <v/>
      </c>
      <c r="AM33" s="78" t="str">
        <f>IF($C33="","",COUNTIF($E33:$AI33,'Cài đặt'!$B$19))</f>
        <v/>
      </c>
      <c r="AN33" s="78" t="str">
        <f>IF($C33="","",COUNTIF($E33:$AI33,'Cài đặt'!$B$20))</f>
        <v/>
      </c>
      <c r="AO33" s="78" t="str">
        <f>IF($C33="","",COUNTIF($E33:$AI33,'Cài đặt'!$B$21))</f>
        <v/>
      </c>
      <c r="AP33" s="78" t="str">
        <f>IF($C33="","",COUNTIF($E33:$AI33,'Cài đặt'!$B$22))</f>
        <v/>
      </c>
      <c r="AQ33" s="78" t="str">
        <f>IF($C33="","",COUNTIF($E33:$AI33,'Cài đặt'!$B$23))</f>
        <v/>
      </c>
      <c r="AR33" s="78" t="str">
        <f>IF($C33="","",COUNTIF($E33:$AI33,'Cài đặt'!$B$24))</f>
        <v/>
      </c>
      <c r="AS33" s="79" t="str">
        <f t="array" ref="AS33">IF($C33="","",SUMPRODUCT(COUNTIF($E33:$AI33,'Cài đặt'!$B$16:$B$25)*'Cài đặt'!$G$16:$G$25))</f>
        <v/>
      </c>
      <c r="AT33" s="39" t="str">
        <f>IF($C33="","",SUMPRODUCT(--($E$7:$AI$7="CN"),SUMIF('Cài đặt'!$B$16:$B$25,$E33:$AI33,'Cài đặt'!$G$16:$G$25)))</f>
        <v/>
      </c>
      <c r="AU33" s="39" t="str">
        <f>IF($C33="","",SUMPRODUCT(--($E$5:$AI$5="Lễ"),SUMIF('Cài đặt'!$B$16:$B$25,$E33:$AI33,'Cài đặt'!$G$16:$G$25)))</f>
        <v/>
      </c>
      <c r="AV33" s="50" t="str">
        <f t="array" ref="AV33">IF($C33="","",SUMPRODUCT(COUNTIF($E33:$AI33,'Cài đặt'!$B$16:$B$25)*'Cài đặt'!$H$16:$H$25)/'Cài đặt'!$D$12)</f>
        <v/>
      </c>
      <c r="AW33" s="79" t="str">
        <f>IF($C33="","",MAX(0,AS33-'Cài đặt'!$D$11*'Cài đặt'!$D$12))</f>
        <v/>
      </c>
      <c r="AX33" s="49"/>
    </row>
    <row r="34" ht="21.0" customHeight="1">
      <c r="A34" s="75">
        <v>27.0</v>
      </c>
      <c r="B34" s="68"/>
      <c r="C34" s="76"/>
      <c r="D34" s="49"/>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8" t="str">
        <f>IF($C34="","",COUNTIF($E34:$AI34,'Cài đặt'!$B$16))</f>
        <v/>
      </c>
      <c r="AK34" s="78" t="str">
        <f>IF($C34="","",COUNTIF($E34:$AI34,'Cài đặt'!$B$17))</f>
        <v/>
      </c>
      <c r="AL34" s="78" t="str">
        <f>IF($C34="","",COUNTIF($E34:$AI34,'Cài đặt'!$B$18))</f>
        <v/>
      </c>
      <c r="AM34" s="78" t="str">
        <f>IF($C34="","",COUNTIF($E34:$AI34,'Cài đặt'!$B$19))</f>
        <v/>
      </c>
      <c r="AN34" s="78" t="str">
        <f>IF($C34="","",COUNTIF($E34:$AI34,'Cài đặt'!$B$20))</f>
        <v/>
      </c>
      <c r="AO34" s="78" t="str">
        <f>IF($C34="","",COUNTIF($E34:$AI34,'Cài đặt'!$B$21))</f>
        <v/>
      </c>
      <c r="AP34" s="78" t="str">
        <f>IF($C34="","",COUNTIF($E34:$AI34,'Cài đặt'!$B$22))</f>
        <v/>
      </c>
      <c r="AQ34" s="78" t="str">
        <f>IF($C34="","",COUNTIF($E34:$AI34,'Cài đặt'!$B$23))</f>
        <v/>
      </c>
      <c r="AR34" s="78" t="str">
        <f>IF($C34="","",COUNTIF($E34:$AI34,'Cài đặt'!$B$24))</f>
        <v/>
      </c>
      <c r="AS34" s="79" t="str">
        <f t="array" ref="AS34">IF($C34="","",SUMPRODUCT(COUNTIF($E34:$AI34,'Cài đặt'!$B$16:$B$25)*'Cài đặt'!$G$16:$G$25))</f>
        <v/>
      </c>
      <c r="AT34" s="39" t="str">
        <f>IF($C34="","",SUMPRODUCT(--($E$7:$AI$7="CN"),SUMIF('Cài đặt'!$B$16:$B$25,$E34:$AI34,'Cài đặt'!$G$16:$G$25)))</f>
        <v/>
      </c>
      <c r="AU34" s="39" t="str">
        <f>IF($C34="","",SUMPRODUCT(--($E$5:$AI$5="Lễ"),SUMIF('Cài đặt'!$B$16:$B$25,$E34:$AI34,'Cài đặt'!$G$16:$G$25)))</f>
        <v/>
      </c>
      <c r="AV34" s="50" t="str">
        <f t="array" ref="AV34">IF($C34="","",SUMPRODUCT(COUNTIF($E34:$AI34,'Cài đặt'!$B$16:$B$25)*'Cài đặt'!$H$16:$H$25)/'Cài đặt'!$D$12)</f>
        <v/>
      </c>
      <c r="AW34" s="79" t="str">
        <f>IF($C34="","",MAX(0,AS34-'Cài đặt'!$D$11*'Cài đặt'!$D$12))</f>
        <v/>
      </c>
      <c r="AX34" s="49"/>
    </row>
    <row r="35" ht="21.0" customHeight="1">
      <c r="A35" s="75">
        <v>28.0</v>
      </c>
      <c r="B35" s="68"/>
      <c r="C35" s="76"/>
      <c r="D35" s="49"/>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8" t="str">
        <f>IF($C35="","",COUNTIF($E35:$AI35,'Cài đặt'!$B$16))</f>
        <v/>
      </c>
      <c r="AK35" s="78" t="str">
        <f>IF($C35="","",COUNTIF($E35:$AI35,'Cài đặt'!$B$17))</f>
        <v/>
      </c>
      <c r="AL35" s="78" t="str">
        <f>IF($C35="","",COUNTIF($E35:$AI35,'Cài đặt'!$B$18))</f>
        <v/>
      </c>
      <c r="AM35" s="78" t="str">
        <f>IF($C35="","",COUNTIF($E35:$AI35,'Cài đặt'!$B$19))</f>
        <v/>
      </c>
      <c r="AN35" s="78" t="str">
        <f>IF($C35="","",COUNTIF($E35:$AI35,'Cài đặt'!$B$20))</f>
        <v/>
      </c>
      <c r="AO35" s="78" t="str">
        <f>IF($C35="","",COUNTIF($E35:$AI35,'Cài đặt'!$B$21))</f>
        <v/>
      </c>
      <c r="AP35" s="78" t="str">
        <f>IF($C35="","",COUNTIF($E35:$AI35,'Cài đặt'!$B$22))</f>
        <v/>
      </c>
      <c r="AQ35" s="78" t="str">
        <f>IF($C35="","",COUNTIF($E35:$AI35,'Cài đặt'!$B$23))</f>
        <v/>
      </c>
      <c r="AR35" s="78" t="str">
        <f>IF($C35="","",COUNTIF($E35:$AI35,'Cài đặt'!$B$24))</f>
        <v/>
      </c>
      <c r="AS35" s="79" t="str">
        <f t="array" ref="AS35">IF($C35="","",SUMPRODUCT(COUNTIF($E35:$AI35,'Cài đặt'!$B$16:$B$25)*'Cài đặt'!$G$16:$G$25))</f>
        <v/>
      </c>
      <c r="AT35" s="39" t="str">
        <f>IF($C35="","",SUMPRODUCT(--($E$7:$AI$7="CN"),SUMIF('Cài đặt'!$B$16:$B$25,$E35:$AI35,'Cài đặt'!$G$16:$G$25)))</f>
        <v/>
      </c>
      <c r="AU35" s="39" t="str">
        <f>IF($C35="","",SUMPRODUCT(--($E$5:$AI$5="Lễ"),SUMIF('Cài đặt'!$B$16:$B$25,$E35:$AI35,'Cài đặt'!$G$16:$G$25)))</f>
        <v/>
      </c>
      <c r="AV35" s="50" t="str">
        <f t="array" ref="AV35">IF($C35="","",SUMPRODUCT(COUNTIF($E35:$AI35,'Cài đặt'!$B$16:$B$25)*'Cài đặt'!$H$16:$H$25)/'Cài đặt'!$D$12)</f>
        <v/>
      </c>
      <c r="AW35" s="79" t="str">
        <f>IF($C35="","",MAX(0,AS35-'Cài đặt'!$D$11*'Cài đặt'!$D$12))</f>
        <v/>
      </c>
      <c r="AX35" s="49"/>
    </row>
    <row r="36" ht="21.0" customHeight="1">
      <c r="A36" s="75">
        <v>29.0</v>
      </c>
      <c r="B36" s="68"/>
      <c r="C36" s="76"/>
      <c r="D36" s="49"/>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8" t="str">
        <f>IF($C36="","",COUNTIF($E36:$AI36,'Cài đặt'!$B$16))</f>
        <v/>
      </c>
      <c r="AK36" s="78" t="str">
        <f>IF($C36="","",COUNTIF($E36:$AI36,'Cài đặt'!$B$17))</f>
        <v/>
      </c>
      <c r="AL36" s="78" t="str">
        <f>IF($C36="","",COUNTIF($E36:$AI36,'Cài đặt'!$B$18))</f>
        <v/>
      </c>
      <c r="AM36" s="78" t="str">
        <f>IF($C36="","",COUNTIF($E36:$AI36,'Cài đặt'!$B$19))</f>
        <v/>
      </c>
      <c r="AN36" s="78" t="str">
        <f>IF($C36="","",COUNTIF($E36:$AI36,'Cài đặt'!$B$20))</f>
        <v/>
      </c>
      <c r="AO36" s="78" t="str">
        <f>IF($C36="","",COUNTIF($E36:$AI36,'Cài đặt'!$B$21))</f>
        <v/>
      </c>
      <c r="AP36" s="78" t="str">
        <f>IF($C36="","",COUNTIF($E36:$AI36,'Cài đặt'!$B$22))</f>
        <v/>
      </c>
      <c r="AQ36" s="78" t="str">
        <f>IF($C36="","",COUNTIF($E36:$AI36,'Cài đặt'!$B$23))</f>
        <v/>
      </c>
      <c r="AR36" s="78" t="str">
        <f>IF($C36="","",COUNTIF($E36:$AI36,'Cài đặt'!$B$24))</f>
        <v/>
      </c>
      <c r="AS36" s="79" t="str">
        <f t="array" ref="AS36">IF($C36="","",SUMPRODUCT(COUNTIF($E36:$AI36,'Cài đặt'!$B$16:$B$25)*'Cài đặt'!$G$16:$G$25))</f>
        <v/>
      </c>
      <c r="AT36" s="39" t="str">
        <f>IF($C36="","",SUMPRODUCT(--($E$7:$AI$7="CN"),SUMIF('Cài đặt'!$B$16:$B$25,$E36:$AI36,'Cài đặt'!$G$16:$G$25)))</f>
        <v/>
      </c>
      <c r="AU36" s="39" t="str">
        <f>IF($C36="","",SUMPRODUCT(--($E$5:$AI$5="Lễ"),SUMIF('Cài đặt'!$B$16:$B$25,$E36:$AI36,'Cài đặt'!$G$16:$G$25)))</f>
        <v/>
      </c>
      <c r="AV36" s="50" t="str">
        <f t="array" ref="AV36">IF($C36="","",SUMPRODUCT(COUNTIF($E36:$AI36,'Cài đặt'!$B$16:$B$25)*'Cài đặt'!$H$16:$H$25)/'Cài đặt'!$D$12)</f>
        <v/>
      </c>
      <c r="AW36" s="79" t="str">
        <f>IF($C36="","",MAX(0,AS36-'Cài đặt'!$D$11*'Cài đặt'!$D$12))</f>
        <v/>
      </c>
      <c r="AX36" s="49"/>
    </row>
    <row r="37" ht="21.0" customHeight="1">
      <c r="A37" s="75">
        <v>30.0</v>
      </c>
      <c r="B37" s="68"/>
      <c r="C37" s="76"/>
      <c r="D37" s="49"/>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8" t="str">
        <f>IF($C37="","",COUNTIF($E37:$AI37,'Cài đặt'!$B$16))</f>
        <v/>
      </c>
      <c r="AK37" s="78" t="str">
        <f>IF($C37="","",COUNTIF($E37:$AI37,'Cài đặt'!$B$17))</f>
        <v/>
      </c>
      <c r="AL37" s="78" t="str">
        <f>IF($C37="","",COUNTIF($E37:$AI37,'Cài đặt'!$B$18))</f>
        <v/>
      </c>
      <c r="AM37" s="78" t="str">
        <f>IF($C37="","",COUNTIF($E37:$AI37,'Cài đặt'!$B$19))</f>
        <v/>
      </c>
      <c r="AN37" s="78" t="str">
        <f>IF($C37="","",COUNTIF($E37:$AI37,'Cài đặt'!$B$20))</f>
        <v/>
      </c>
      <c r="AO37" s="78" t="str">
        <f>IF($C37="","",COUNTIF($E37:$AI37,'Cài đặt'!$B$21))</f>
        <v/>
      </c>
      <c r="AP37" s="78" t="str">
        <f>IF($C37="","",COUNTIF($E37:$AI37,'Cài đặt'!$B$22))</f>
        <v/>
      </c>
      <c r="AQ37" s="78" t="str">
        <f>IF($C37="","",COUNTIF($E37:$AI37,'Cài đặt'!$B$23))</f>
        <v/>
      </c>
      <c r="AR37" s="78" t="str">
        <f>IF($C37="","",COUNTIF($E37:$AI37,'Cài đặt'!$B$24))</f>
        <v/>
      </c>
      <c r="AS37" s="79" t="str">
        <f t="array" ref="AS37">IF($C37="","",SUMPRODUCT(COUNTIF($E37:$AI37,'Cài đặt'!$B$16:$B$25)*'Cài đặt'!$G$16:$G$25))</f>
        <v/>
      </c>
      <c r="AT37" s="39" t="str">
        <f>IF($C37="","",SUMPRODUCT(--($E$7:$AI$7="CN"),SUMIF('Cài đặt'!$B$16:$B$25,$E37:$AI37,'Cài đặt'!$G$16:$G$25)))</f>
        <v/>
      </c>
      <c r="AU37" s="39" t="str">
        <f>IF($C37="","",SUMPRODUCT(--($E$5:$AI$5="Lễ"),SUMIF('Cài đặt'!$B$16:$B$25,$E37:$AI37,'Cài đặt'!$G$16:$G$25)))</f>
        <v/>
      </c>
      <c r="AV37" s="50" t="str">
        <f t="array" ref="AV37">IF($C37="","",SUMPRODUCT(COUNTIF($E37:$AI37,'Cài đặt'!$B$16:$B$25)*'Cài đặt'!$H$16:$H$25)/'Cài đặt'!$D$12)</f>
        <v/>
      </c>
      <c r="AW37" s="79" t="str">
        <f>IF($C37="","",MAX(0,AS37-'Cài đặt'!$D$11*'Cài đặt'!$D$12))</f>
        <v/>
      </c>
      <c r="AX37" s="49"/>
    </row>
    <row r="38" ht="21.75" customHeight="1">
      <c r="A38" s="83" t="s">
        <v>173</v>
      </c>
      <c r="B38" s="21"/>
      <c r="C38" s="21"/>
      <c r="D38" s="12"/>
      <c r="E38" s="85"/>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12"/>
      <c r="AJ38" s="86">
        <f t="shared" ref="AJ38:AW38" si="1">SUM(AJ8:AJ37)</f>
        <v>52</v>
      </c>
      <c r="AK38" s="86">
        <f t="shared" si="1"/>
        <v>51</v>
      </c>
      <c r="AL38" s="86">
        <f t="shared" si="1"/>
        <v>101</v>
      </c>
      <c r="AM38" s="86">
        <f t="shared" si="1"/>
        <v>25</v>
      </c>
      <c r="AN38" s="86">
        <f t="shared" si="1"/>
        <v>25</v>
      </c>
      <c r="AO38" s="86">
        <f t="shared" si="1"/>
        <v>2</v>
      </c>
      <c r="AP38" s="86">
        <f t="shared" si="1"/>
        <v>0</v>
      </c>
      <c r="AQ38" s="86">
        <f t="shared" si="1"/>
        <v>1</v>
      </c>
      <c r="AR38" s="86">
        <f t="shared" si="1"/>
        <v>1</v>
      </c>
      <c r="AS38" s="84">
        <f t="shared" si="1"/>
        <v>1932</v>
      </c>
      <c r="AT38" s="84">
        <f t="shared" si="1"/>
        <v>360</v>
      </c>
      <c r="AU38" s="84">
        <f t="shared" si="1"/>
        <v>0</v>
      </c>
      <c r="AV38" s="84">
        <f t="shared" si="1"/>
        <v>243.5</v>
      </c>
      <c r="AW38" s="84">
        <f t="shared" si="1"/>
        <v>40</v>
      </c>
      <c r="AX38" s="34"/>
    </row>
    <row r="39" ht="18.0" customHeight="1">
      <c r="A39" s="11" t="s">
        <v>178</v>
      </c>
      <c r="B39" s="21"/>
      <c r="C39" s="21"/>
      <c r="D39" s="12"/>
      <c r="E39" s="87">
        <f>IF(E$6="","",SUMPRODUCT(--(SUMIF('Cài đặt'!$B$16:$B$25,E$8:E$37,'Cài đặt'!$G$16:$G$25)&gt;0)))</f>
        <v>9</v>
      </c>
      <c r="F39" s="87">
        <f>IF(F$6="","",SUMPRODUCT(--(SUMIF('Cài đặt'!$B$16:$B$25,F$8:F$37,'Cài đặt'!$G$16:$G$25)&gt;0)))</f>
        <v>9</v>
      </c>
      <c r="G39" s="87">
        <f>IF(G$6="","",SUMPRODUCT(--(SUMIF('Cài đặt'!$B$16:$B$25,G$8:G$37,'Cài đặt'!$G$16:$G$25)&gt;0)))</f>
        <v>9</v>
      </c>
      <c r="H39" s="87">
        <f>IF(H$6="","",SUMPRODUCT(--(SUMIF('Cài đặt'!$B$16:$B$25,H$8:H$37,'Cài đặt'!$G$16:$G$25)&gt;0)))</f>
        <v>9</v>
      </c>
      <c r="I39" s="87">
        <f>IF(I$6="","",SUMPRODUCT(--(SUMIF('Cài đặt'!$B$16:$B$25,I$8:I$37,'Cài đặt'!$G$16:$G$25)&gt;0)))</f>
        <v>8</v>
      </c>
      <c r="J39" s="87">
        <f>IF(J$6="","",SUMPRODUCT(--(SUMIF('Cài đặt'!$B$16:$B$25,J$8:J$37,'Cài đặt'!$G$16:$G$25)&gt;0)))</f>
        <v>8</v>
      </c>
      <c r="K39" s="87">
        <f>IF(K$6="","",SUMPRODUCT(--(SUMIF('Cài đặt'!$B$16:$B$25,K$8:K$37,'Cài đặt'!$G$16:$G$25)&gt;0)))</f>
        <v>8</v>
      </c>
      <c r="L39" s="87">
        <f>IF(L$6="","",SUMPRODUCT(--(SUMIF('Cài đặt'!$B$16:$B$25,L$8:L$37,'Cài đặt'!$G$16:$G$25)&gt;0)))</f>
        <v>9</v>
      </c>
      <c r="M39" s="87">
        <f>IF(M$6="","",SUMPRODUCT(--(SUMIF('Cài đặt'!$B$16:$B$25,M$8:M$37,'Cài đặt'!$G$16:$G$25)&gt;0)))</f>
        <v>9</v>
      </c>
      <c r="N39" s="87">
        <f>IF(N$6="","",SUMPRODUCT(--(SUMIF('Cài đặt'!$B$16:$B$25,N$8:N$37,'Cài đặt'!$G$16:$G$25)&gt;0)))</f>
        <v>8</v>
      </c>
      <c r="O39" s="87">
        <f>IF(O$6="","",SUMPRODUCT(--(SUMIF('Cài đặt'!$B$16:$B$25,O$8:O$37,'Cài đặt'!$G$16:$G$25)&gt;0)))</f>
        <v>8</v>
      </c>
      <c r="P39" s="87">
        <f>IF(P$6="","",SUMPRODUCT(--(SUMIF('Cài đặt'!$B$16:$B$25,P$8:P$37,'Cài đặt'!$G$16:$G$25)&gt;0)))</f>
        <v>8</v>
      </c>
      <c r="Q39" s="87">
        <f>IF(Q$6="","",SUMPRODUCT(--(SUMIF('Cài đặt'!$B$16:$B$25,Q$8:Q$37,'Cài đặt'!$G$16:$G$25)&gt;0)))</f>
        <v>8</v>
      </c>
      <c r="R39" s="87">
        <f>IF(R$6="","",SUMPRODUCT(--(SUMIF('Cài đặt'!$B$16:$B$25,R$8:R$37,'Cài đặt'!$G$16:$G$25)&gt;0)))</f>
        <v>8</v>
      </c>
      <c r="S39" s="87">
        <f>IF(S$6="","",SUMPRODUCT(--(SUMIF('Cài đặt'!$B$16:$B$25,S$8:S$37,'Cài đặt'!$G$16:$G$25)&gt;0)))</f>
        <v>9</v>
      </c>
      <c r="T39" s="87">
        <f>IF(T$6="","",SUMPRODUCT(--(SUMIF('Cài đặt'!$B$16:$B$25,T$8:T$37,'Cài đặt'!$G$16:$G$25)&gt;0)))</f>
        <v>9</v>
      </c>
      <c r="U39" s="87">
        <f>IF(U$6="","",SUMPRODUCT(--(SUMIF('Cài đặt'!$B$16:$B$25,U$8:U$37,'Cài đặt'!$G$16:$G$25)&gt;0)))</f>
        <v>9</v>
      </c>
      <c r="V39" s="87">
        <f>IF(V$6="","",SUMPRODUCT(--(SUMIF('Cài đặt'!$B$16:$B$25,V$8:V$37,'Cài đặt'!$G$16:$G$25)&gt;0)))</f>
        <v>8</v>
      </c>
      <c r="W39" s="87">
        <f>IF(W$6="","",SUMPRODUCT(--(SUMIF('Cài đặt'!$B$16:$B$25,W$8:W$37,'Cài đặt'!$G$16:$G$25)&gt;0)))</f>
        <v>8</v>
      </c>
      <c r="X39" s="87">
        <f>IF(X$6="","",SUMPRODUCT(--(SUMIF('Cài đặt'!$B$16:$B$25,X$8:X$37,'Cài đặt'!$G$16:$G$25)&gt;0)))</f>
        <v>8</v>
      </c>
      <c r="Y39" s="87">
        <f>IF(Y$6="","",SUMPRODUCT(--(SUMIF('Cài đặt'!$B$16:$B$25,Y$8:Y$37,'Cài đặt'!$G$16:$G$25)&gt;0)))</f>
        <v>8</v>
      </c>
      <c r="Z39" s="87">
        <f>IF(Z$6="","",SUMPRODUCT(--(SUMIF('Cài đặt'!$B$16:$B$25,Z$8:Z$37,'Cài đặt'!$G$16:$G$25)&gt;0)))</f>
        <v>9</v>
      </c>
      <c r="AA39" s="87">
        <f>IF(AA$6="","",SUMPRODUCT(--(SUMIF('Cài đặt'!$B$16:$B$25,AA$8:AA$37,'Cài đặt'!$G$16:$G$25)&gt;0)))</f>
        <v>9</v>
      </c>
      <c r="AB39" s="87">
        <f>IF(AB$6="","",SUMPRODUCT(--(SUMIF('Cài đặt'!$B$16:$B$25,AB$8:AB$37,'Cài đặt'!$G$16:$G$25)&gt;0)))</f>
        <v>9</v>
      </c>
      <c r="AC39" s="87">
        <f>IF(AC$6="","",SUMPRODUCT(--(SUMIF('Cài đặt'!$B$16:$B$25,AC$8:AC$37,'Cài đặt'!$G$16:$G$25)&gt;0)))</f>
        <v>8</v>
      </c>
      <c r="AD39" s="87">
        <f>IF(AD$6="","",SUMPRODUCT(--(SUMIF('Cài đặt'!$B$16:$B$25,AD$8:AD$37,'Cài đặt'!$G$16:$G$25)&gt;0)))</f>
        <v>8</v>
      </c>
      <c r="AE39" s="87">
        <f>IF(AE$6="","",SUMPRODUCT(--(SUMIF('Cài đặt'!$B$16:$B$25,AE$8:AE$37,'Cài đặt'!$G$16:$G$25)&gt;0)))</f>
        <v>8</v>
      </c>
      <c r="AF39" s="87">
        <f>IF(AF$6="","",SUMPRODUCT(--(SUMIF('Cài đặt'!$B$16:$B$25,AF$8:AF$37,'Cài đặt'!$G$16:$G$25)&gt;0)))</f>
        <v>8</v>
      </c>
      <c r="AG39" s="87">
        <f>IF(AG$6="","",SUMPRODUCT(--(SUMIF('Cài đặt'!$B$16:$B$25,AG$8:AG$37,'Cài đặt'!$G$16:$G$25)&gt;0)))</f>
        <v>9</v>
      </c>
      <c r="AH39" s="87">
        <f>IF(AH$6="","",SUMPRODUCT(--(SUMIF('Cài đặt'!$B$16:$B$25,AH$8:AH$37,'Cài đặt'!$G$16:$G$25)&gt;0)))</f>
        <v>9</v>
      </c>
      <c r="AI39" s="87" t="str">
        <f>IF(AI$6="","",SUMPRODUCT(--(SUMIF('Cài đặt'!$B$16:$B$25,AI$8:AI$37,'Cài đặt'!$G$16:$G$25)&gt;0)))</f>
        <v/>
      </c>
    </row>
    <row r="40" ht="18.0" customHeight="1">
      <c r="A40" s="88" t="str">
        <f>"     • "&amp;'Cài đặt'!C16</f>
        <v>     • Ca sáng</v>
      </c>
      <c r="B40" s="21"/>
      <c r="C40" s="21"/>
      <c r="D40" s="12"/>
      <c r="E40" s="89">
        <f>IF(E$6="","",COUNTIF(E$8:E$37,'Cài đặt'!$B$16))</f>
        <v>2</v>
      </c>
      <c r="F40" s="89">
        <f>IF(F$6="","",COUNTIF(F$8:F$37,'Cài đặt'!$B$16))</f>
        <v>2</v>
      </c>
      <c r="G40" s="89">
        <f>IF(G$6="","",COUNTIF(G$8:G$37,'Cài đặt'!$B$16))</f>
        <v>3</v>
      </c>
      <c r="H40" s="89">
        <f>IF(H$6="","",COUNTIF(H$8:H$37,'Cài đặt'!$B$16))</f>
        <v>1</v>
      </c>
      <c r="I40" s="89">
        <f>IF(I$6="","",COUNTIF(I$8:I$37,'Cài đặt'!$B$16))</f>
        <v>2</v>
      </c>
      <c r="J40" s="89">
        <f>IF(J$6="","",COUNTIF(J$8:J$37,'Cài đặt'!$B$16))</f>
        <v>1</v>
      </c>
      <c r="K40" s="89">
        <f>IF(K$6="","",COUNTIF(K$8:K$37,'Cài đặt'!$B$16))</f>
        <v>1</v>
      </c>
      <c r="L40" s="89">
        <f>IF(L$6="","",COUNTIF(L$8:L$37,'Cài đặt'!$B$16))</f>
        <v>2</v>
      </c>
      <c r="M40" s="89">
        <f>IF(M$6="","",COUNTIF(M$8:M$37,'Cài đặt'!$B$16))</f>
        <v>2</v>
      </c>
      <c r="N40" s="89">
        <f>IF(N$6="","",COUNTIF(N$8:N$37,'Cài đặt'!$B$16))</f>
        <v>3</v>
      </c>
      <c r="O40" s="89">
        <f>IF(O$6="","",COUNTIF(O$8:O$37,'Cài đặt'!$B$16))</f>
        <v>1</v>
      </c>
      <c r="P40" s="89">
        <f>IF(P$6="","",COUNTIF(P$8:P$37,'Cài đặt'!$B$16))</f>
        <v>2</v>
      </c>
      <c r="Q40" s="89">
        <f>IF(Q$6="","",COUNTIF(Q$8:Q$37,'Cài đặt'!$B$16))</f>
        <v>1</v>
      </c>
      <c r="R40" s="89">
        <f>IF(R$6="","",COUNTIF(R$8:R$37,'Cài đặt'!$B$16))</f>
        <v>1</v>
      </c>
      <c r="S40" s="89">
        <f>IF(S$6="","",COUNTIF(S$8:S$37,'Cài đặt'!$B$16))</f>
        <v>2</v>
      </c>
      <c r="T40" s="89">
        <f>IF(T$6="","",COUNTIF(T$8:T$37,'Cài đặt'!$B$16))</f>
        <v>2</v>
      </c>
      <c r="U40" s="89">
        <f>IF(U$6="","",COUNTIF(U$8:U$37,'Cài đặt'!$B$16))</f>
        <v>3</v>
      </c>
      <c r="V40" s="89">
        <f>IF(V$6="","",COUNTIF(V$8:V$37,'Cài đặt'!$B$16))</f>
        <v>1</v>
      </c>
      <c r="W40" s="89">
        <f>IF(W$6="","",COUNTIF(W$8:W$37,'Cài đặt'!$B$16))</f>
        <v>2</v>
      </c>
      <c r="X40" s="89">
        <f>IF(X$6="","",COUNTIF(X$8:X$37,'Cài đặt'!$B$16))</f>
        <v>1</v>
      </c>
      <c r="Y40" s="89">
        <f>IF(Y$6="","",COUNTIF(Y$8:Y$37,'Cài đặt'!$B$16))</f>
        <v>1</v>
      </c>
      <c r="Z40" s="89">
        <f>IF(Z$6="","",COUNTIF(Z$8:Z$37,'Cài đặt'!$B$16))</f>
        <v>2</v>
      </c>
      <c r="AA40" s="89">
        <f>IF(AA$6="","",COUNTIF(AA$8:AA$37,'Cài đặt'!$B$16))</f>
        <v>2</v>
      </c>
      <c r="AB40" s="89">
        <f>IF(AB$6="","",COUNTIF(AB$8:AB$37,'Cài đặt'!$B$16))</f>
        <v>3</v>
      </c>
      <c r="AC40" s="89">
        <f>IF(AC$6="","",COUNTIF(AC$8:AC$37,'Cài đặt'!$B$16))</f>
        <v>1</v>
      </c>
      <c r="AD40" s="89">
        <f>IF(AD$6="","",COUNTIF(AD$8:AD$37,'Cài đặt'!$B$16))</f>
        <v>2</v>
      </c>
      <c r="AE40" s="89">
        <f>IF(AE$6="","",COUNTIF(AE$8:AE$37,'Cài đặt'!$B$16))</f>
        <v>1</v>
      </c>
      <c r="AF40" s="89">
        <f>IF(AF$6="","",COUNTIF(AF$8:AF$37,'Cài đặt'!$B$16))</f>
        <v>1</v>
      </c>
      <c r="AG40" s="89">
        <f>IF(AG$6="","",COUNTIF(AG$8:AG$37,'Cài đặt'!$B$16))</f>
        <v>2</v>
      </c>
      <c r="AH40" s="89">
        <f>IF(AH$6="","",COUNTIF(AH$8:AH$37,'Cài đặt'!$B$16))</f>
        <v>2</v>
      </c>
      <c r="AI40" s="89" t="str">
        <f>IF(AI$6="","",COUNTIF(AI$8:AI$37,'Cài đặt'!$B$16))</f>
        <v/>
      </c>
    </row>
    <row r="41" ht="18.0" customHeight="1">
      <c r="A41" s="88" t="str">
        <f>"     • "&amp;'Cài đặt'!C17</f>
        <v>     • Ca chiều</v>
      </c>
      <c r="B41" s="21"/>
      <c r="C41" s="21"/>
      <c r="D41" s="12"/>
      <c r="E41" s="89">
        <f>IF(E$6="","",COUNTIF(E$8:E$37,'Cài đặt'!$B$17))</f>
        <v>2</v>
      </c>
      <c r="F41" s="89">
        <f>IF(F$6="","",COUNTIF(F$8:F$37,'Cài đặt'!$B$17))</f>
        <v>2</v>
      </c>
      <c r="G41" s="89">
        <f>IF(G$6="","",COUNTIF(G$8:G$37,'Cài đặt'!$B$17))</f>
        <v>0</v>
      </c>
      <c r="H41" s="89">
        <f>IF(H$6="","",COUNTIF(H$8:H$37,'Cài đặt'!$B$17))</f>
        <v>2</v>
      </c>
      <c r="I41" s="89">
        <f>IF(I$6="","",COUNTIF(I$8:I$37,'Cài đặt'!$B$17))</f>
        <v>2</v>
      </c>
      <c r="J41" s="89">
        <f>IF(J$6="","",COUNTIF(J$8:J$37,'Cài đặt'!$B$17))</f>
        <v>2</v>
      </c>
      <c r="K41" s="89">
        <f>IF(K$6="","",COUNTIF(K$8:K$37,'Cài đặt'!$B$17))</f>
        <v>2</v>
      </c>
      <c r="L41" s="89">
        <f>IF(L$6="","",COUNTIF(L$8:L$37,'Cài đặt'!$B$17))</f>
        <v>2</v>
      </c>
      <c r="M41" s="89">
        <f>IF(M$6="","",COUNTIF(M$8:M$37,'Cài đặt'!$B$17))</f>
        <v>2</v>
      </c>
      <c r="N41" s="89">
        <f>IF(N$6="","",COUNTIF(N$8:N$37,'Cài đặt'!$B$17))</f>
        <v>0</v>
      </c>
      <c r="O41" s="89">
        <f>IF(O$6="","",COUNTIF(O$8:O$37,'Cài đặt'!$B$17))</f>
        <v>2</v>
      </c>
      <c r="P41" s="89">
        <f>IF(P$6="","",COUNTIF(P$8:P$37,'Cài đặt'!$B$17))</f>
        <v>2</v>
      </c>
      <c r="Q41" s="89">
        <f>IF(Q$6="","",COUNTIF(Q$8:Q$37,'Cài đặt'!$B$17))</f>
        <v>2</v>
      </c>
      <c r="R41" s="89">
        <f>IF(R$6="","",COUNTIF(R$8:R$37,'Cài đặt'!$B$17))</f>
        <v>2</v>
      </c>
      <c r="S41" s="89">
        <f>IF(S$6="","",COUNTIF(S$8:S$37,'Cài đặt'!$B$17))</f>
        <v>2</v>
      </c>
      <c r="T41" s="89">
        <f>IF(T$6="","",COUNTIF(T$8:T$37,'Cài đặt'!$B$17))</f>
        <v>2</v>
      </c>
      <c r="U41" s="89">
        <f>IF(U$6="","",COUNTIF(U$8:U$37,'Cài đặt'!$B$17))</f>
        <v>0</v>
      </c>
      <c r="V41" s="89">
        <f>IF(V$6="","",COUNTIF(V$8:V$37,'Cài đặt'!$B$17))</f>
        <v>1</v>
      </c>
      <c r="W41" s="89">
        <f>IF(W$6="","",COUNTIF(W$8:W$37,'Cài đặt'!$B$17))</f>
        <v>2</v>
      </c>
      <c r="X41" s="89">
        <f>IF(X$6="","",COUNTIF(X$8:X$37,'Cài đặt'!$B$17))</f>
        <v>2</v>
      </c>
      <c r="Y41" s="89">
        <f>IF(Y$6="","",COUNTIF(Y$8:Y$37,'Cài đặt'!$B$17))</f>
        <v>2</v>
      </c>
      <c r="Z41" s="89">
        <f>IF(Z$6="","",COUNTIF(Z$8:Z$37,'Cài đặt'!$B$17))</f>
        <v>2</v>
      </c>
      <c r="AA41" s="89">
        <f>IF(AA$6="","",COUNTIF(AA$8:AA$37,'Cài đặt'!$B$17))</f>
        <v>2</v>
      </c>
      <c r="AB41" s="89">
        <f>IF(AB$6="","",COUNTIF(AB$8:AB$37,'Cài đặt'!$B$17))</f>
        <v>0</v>
      </c>
      <c r="AC41" s="89">
        <f>IF(AC$6="","",COUNTIF(AC$8:AC$37,'Cài đặt'!$B$17))</f>
        <v>2</v>
      </c>
      <c r="AD41" s="89">
        <f>IF(AD$6="","",COUNTIF(AD$8:AD$37,'Cài đặt'!$B$17))</f>
        <v>2</v>
      </c>
      <c r="AE41" s="89">
        <f>IF(AE$6="","",COUNTIF(AE$8:AE$37,'Cài đặt'!$B$17))</f>
        <v>2</v>
      </c>
      <c r="AF41" s="89">
        <f>IF(AF$6="","",COUNTIF(AF$8:AF$37,'Cài đặt'!$B$17))</f>
        <v>2</v>
      </c>
      <c r="AG41" s="89">
        <f>IF(AG$6="","",COUNTIF(AG$8:AG$37,'Cài đặt'!$B$17))</f>
        <v>2</v>
      </c>
      <c r="AH41" s="89">
        <f>IF(AH$6="","",COUNTIF(AH$8:AH$37,'Cài đặt'!$B$17))</f>
        <v>2</v>
      </c>
      <c r="AI41" s="89" t="str">
        <f>IF(AI$6="","",COUNTIF(AI$8:AI$37,'Cài đặt'!$B$17))</f>
        <v/>
      </c>
    </row>
    <row r="42" ht="18.0" customHeight="1">
      <c r="A42" s="88" t="str">
        <f>"     • "&amp;'Cài đặt'!C18</f>
        <v>     • Ca hành chính</v>
      </c>
      <c r="B42" s="21"/>
      <c r="C42" s="21"/>
      <c r="D42" s="12"/>
      <c r="E42" s="89">
        <f>IF(E$6="","",COUNTIF(E$8:E$37,'Cài đặt'!$B$18))</f>
        <v>4</v>
      </c>
      <c r="F42" s="89">
        <f>IF(F$6="","",COUNTIF(F$8:F$37,'Cài đặt'!$B$18))</f>
        <v>4</v>
      </c>
      <c r="G42" s="89">
        <f>IF(G$6="","",COUNTIF(G$8:G$37,'Cài đặt'!$B$18))</f>
        <v>4</v>
      </c>
      <c r="H42" s="89">
        <f>IF(H$6="","",COUNTIF(H$8:H$37,'Cài đặt'!$B$18))</f>
        <v>4</v>
      </c>
      <c r="I42" s="89">
        <f>IF(I$6="","",COUNTIF(I$8:I$37,'Cài đặt'!$B$18))</f>
        <v>2</v>
      </c>
      <c r="J42" s="89">
        <f>IF(J$6="","",COUNTIF(J$8:J$37,'Cài đặt'!$B$18))</f>
        <v>3</v>
      </c>
      <c r="K42" s="89">
        <f>IF(K$6="","",COUNTIF(K$8:K$37,'Cài đặt'!$B$18))</f>
        <v>3</v>
      </c>
      <c r="L42" s="89">
        <f>IF(L$6="","",COUNTIF(L$8:L$37,'Cài đặt'!$B$18))</f>
        <v>4</v>
      </c>
      <c r="M42" s="89">
        <f>IF(M$6="","",COUNTIF(M$8:M$37,'Cài đặt'!$B$18))</f>
        <v>4</v>
      </c>
      <c r="N42" s="89">
        <f>IF(N$6="","",COUNTIF(N$8:N$37,'Cài đặt'!$B$18))</f>
        <v>3</v>
      </c>
      <c r="O42" s="89">
        <f>IF(O$6="","",COUNTIF(O$8:O$37,'Cài đặt'!$B$18))</f>
        <v>3</v>
      </c>
      <c r="P42" s="89">
        <f>IF(P$6="","",COUNTIF(P$8:P$37,'Cài đặt'!$B$18))</f>
        <v>2</v>
      </c>
      <c r="Q42" s="89">
        <f>IF(Q$6="","",COUNTIF(Q$8:Q$37,'Cài đặt'!$B$18))</f>
        <v>3</v>
      </c>
      <c r="R42" s="89">
        <f>IF(R$6="","",COUNTIF(R$8:R$37,'Cài đặt'!$B$18))</f>
        <v>3</v>
      </c>
      <c r="S42" s="89">
        <f>IF(S$6="","",COUNTIF(S$8:S$37,'Cài đặt'!$B$18))</f>
        <v>4</v>
      </c>
      <c r="T42" s="89">
        <f>IF(T$6="","",COUNTIF(T$8:T$37,'Cài đặt'!$B$18))</f>
        <v>4</v>
      </c>
      <c r="U42" s="89">
        <f>IF(U$6="","",COUNTIF(U$8:U$37,'Cài đặt'!$B$18))</f>
        <v>4</v>
      </c>
      <c r="V42" s="89">
        <f>IF(V$6="","",COUNTIF(V$8:V$37,'Cài đặt'!$B$18))</f>
        <v>4</v>
      </c>
      <c r="W42" s="89">
        <f>IF(W$6="","",COUNTIF(W$8:W$37,'Cài đặt'!$B$18))</f>
        <v>2</v>
      </c>
      <c r="X42" s="89">
        <f>IF(X$6="","",COUNTIF(X$8:X$37,'Cài đặt'!$B$18))</f>
        <v>3</v>
      </c>
      <c r="Y42" s="89">
        <f>IF(Y$6="","",COUNTIF(Y$8:Y$37,'Cài đặt'!$B$18))</f>
        <v>3</v>
      </c>
      <c r="Z42" s="89">
        <f>IF(Z$6="","",COUNTIF(Z$8:Z$37,'Cài đặt'!$B$18))</f>
        <v>4</v>
      </c>
      <c r="AA42" s="89">
        <f>IF(AA$6="","",COUNTIF(AA$8:AA$37,'Cài đặt'!$B$18))</f>
        <v>4</v>
      </c>
      <c r="AB42" s="89">
        <f>IF(AB$6="","",COUNTIF(AB$8:AB$37,'Cài đặt'!$B$18))</f>
        <v>4</v>
      </c>
      <c r="AC42" s="89">
        <f>IF(AC$6="","",COUNTIF(AC$8:AC$37,'Cài đặt'!$B$18))</f>
        <v>3</v>
      </c>
      <c r="AD42" s="89">
        <f>IF(AD$6="","",COUNTIF(AD$8:AD$37,'Cài đặt'!$B$18))</f>
        <v>2</v>
      </c>
      <c r="AE42" s="89">
        <f>IF(AE$6="","",COUNTIF(AE$8:AE$37,'Cài đặt'!$B$18))</f>
        <v>3</v>
      </c>
      <c r="AF42" s="89">
        <f>IF(AF$6="","",COUNTIF(AF$8:AF$37,'Cài đặt'!$B$18))</f>
        <v>3</v>
      </c>
      <c r="AG42" s="89">
        <f>IF(AG$6="","",COUNTIF(AG$8:AG$37,'Cài đặt'!$B$18))</f>
        <v>4</v>
      </c>
      <c r="AH42" s="89">
        <f>IF(AH$6="","",COUNTIF(AH$8:AH$37,'Cài đặt'!$B$18))</f>
        <v>4</v>
      </c>
      <c r="AI42" s="89" t="str">
        <f>IF(AI$6="","",COUNTIF(AI$8:AI$37,'Cài đặt'!$B$18))</f>
        <v/>
      </c>
    </row>
    <row r="43" ht="18.0" customHeight="1">
      <c r="A43" s="88" t="str">
        <f>"     • "&amp;'Cài đặt'!C19</f>
        <v>     • Ca gãy (2 đợt)</v>
      </c>
      <c r="B43" s="21"/>
      <c r="C43" s="21"/>
      <c r="D43" s="12"/>
      <c r="E43" s="89">
        <f>IF(E$6="","",COUNTIF(E$8:E$37,'Cài đặt'!$B$19))</f>
        <v>1</v>
      </c>
      <c r="F43" s="89">
        <f>IF(F$6="","",COUNTIF(F$8:F$37,'Cài đặt'!$B$19))</f>
        <v>0</v>
      </c>
      <c r="G43" s="89">
        <f>IF(G$6="","",COUNTIF(G$8:G$37,'Cài đặt'!$B$19))</f>
        <v>1</v>
      </c>
      <c r="H43" s="89">
        <f>IF(H$6="","",COUNTIF(H$8:H$37,'Cài đặt'!$B$19))</f>
        <v>1</v>
      </c>
      <c r="I43" s="89">
        <f>IF(I$6="","",COUNTIF(I$8:I$37,'Cài đặt'!$B$19))</f>
        <v>1</v>
      </c>
      <c r="J43" s="89">
        <f>IF(J$6="","",COUNTIF(J$8:J$37,'Cài đặt'!$B$19))</f>
        <v>1</v>
      </c>
      <c r="K43" s="89">
        <f>IF(K$6="","",COUNTIF(K$8:K$37,'Cài đặt'!$B$19))</f>
        <v>1</v>
      </c>
      <c r="L43" s="89">
        <f>IF(L$6="","",COUNTIF(L$8:L$37,'Cài đặt'!$B$19))</f>
        <v>1</v>
      </c>
      <c r="M43" s="89">
        <f>IF(M$6="","",COUNTIF(M$8:M$37,'Cài đặt'!$B$19))</f>
        <v>0</v>
      </c>
      <c r="N43" s="89">
        <f>IF(N$6="","",COUNTIF(N$8:N$37,'Cài đặt'!$B$19))</f>
        <v>1</v>
      </c>
      <c r="O43" s="89">
        <f>IF(O$6="","",COUNTIF(O$8:O$37,'Cài đặt'!$B$19))</f>
        <v>1</v>
      </c>
      <c r="P43" s="89">
        <f>IF(P$6="","",COUNTIF(P$8:P$37,'Cài đặt'!$B$19))</f>
        <v>1</v>
      </c>
      <c r="Q43" s="89">
        <f>IF(Q$6="","",COUNTIF(Q$8:Q$37,'Cài đặt'!$B$19))</f>
        <v>1</v>
      </c>
      <c r="R43" s="89">
        <f>IF(R$6="","",COUNTIF(R$8:R$37,'Cài đặt'!$B$19))</f>
        <v>1</v>
      </c>
      <c r="S43" s="89">
        <f>IF(S$6="","",COUNTIF(S$8:S$37,'Cài đặt'!$B$19))</f>
        <v>1</v>
      </c>
      <c r="T43" s="89">
        <f>IF(T$6="","",COUNTIF(T$8:T$37,'Cài đặt'!$B$19))</f>
        <v>0</v>
      </c>
      <c r="U43" s="89">
        <f>IF(U$6="","",COUNTIF(U$8:U$37,'Cài đặt'!$B$19))</f>
        <v>1</v>
      </c>
      <c r="V43" s="89">
        <f>IF(V$6="","",COUNTIF(V$8:V$37,'Cài đặt'!$B$19))</f>
        <v>1</v>
      </c>
      <c r="W43" s="89">
        <f>IF(W$6="","",COUNTIF(W$8:W$37,'Cài đặt'!$B$19))</f>
        <v>1</v>
      </c>
      <c r="X43" s="89">
        <f>IF(X$6="","",COUNTIF(X$8:X$37,'Cài đặt'!$B$19))</f>
        <v>1</v>
      </c>
      <c r="Y43" s="89">
        <f>IF(Y$6="","",COUNTIF(Y$8:Y$37,'Cài đặt'!$B$19))</f>
        <v>1</v>
      </c>
      <c r="Z43" s="89">
        <f>IF(Z$6="","",COUNTIF(Z$8:Z$37,'Cài đặt'!$B$19))</f>
        <v>1</v>
      </c>
      <c r="AA43" s="89">
        <f>IF(AA$6="","",COUNTIF(AA$8:AA$37,'Cài đặt'!$B$19))</f>
        <v>0</v>
      </c>
      <c r="AB43" s="89">
        <f>IF(AB$6="","",COUNTIF(AB$8:AB$37,'Cài đặt'!$B$19))</f>
        <v>1</v>
      </c>
      <c r="AC43" s="89">
        <f>IF(AC$6="","",COUNTIF(AC$8:AC$37,'Cài đặt'!$B$19))</f>
        <v>1</v>
      </c>
      <c r="AD43" s="89">
        <f>IF(AD$6="","",COUNTIF(AD$8:AD$37,'Cài đặt'!$B$19))</f>
        <v>1</v>
      </c>
      <c r="AE43" s="89">
        <f>IF(AE$6="","",COUNTIF(AE$8:AE$37,'Cài đặt'!$B$19))</f>
        <v>1</v>
      </c>
      <c r="AF43" s="89">
        <f>IF(AF$6="","",COUNTIF(AF$8:AF$37,'Cài đặt'!$B$19))</f>
        <v>1</v>
      </c>
      <c r="AG43" s="89">
        <f>IF(AG$6="","",COUNTIF(AG$8:AG$37,'Cài đặt'!$B$19))</f>
        <v>1</v>
      </c>
      <c r="AH43" s="89">
        <f>IF(AH$6="","",COUNTIF(AH$8:AH$37,'Cài đặt'!$B$19))</f>
        <v>0</v>
      </c>
      <c r="AI43" s="89" t="str">
        <f>IF(AI$6="","",COUNTIF(AI$8:AI$37,'Cài đặt'!$B$19))</f>
        <v/>
      </c>
    </row>
    <row r="44" ht="18.0" customHeight="1">
      <c r="A44" s="88" t="str">
        <f>"     • "&amp;'Cài đặt'!C20</f>
        <v>     • Nửa ngày</v>
      </c>
      <c r="B44" s="21"/>
      <c r="C44" s="21"/>
      <c r="D44" s="12"/>
      <c r="E44" s="89">
        <f>IF(E$6="","",COUNTIF(E$8:E$37,'Cài đặt'!$B$20))</f>
        <v>0</v>
      </c>
      <c r="F44" s="89">
        <f>IF(F$6="","",COUNTIF(F$8:F$37,'Cài đặt'!$B$20))</f>
        <v>1</v>
      </c>
      <c r="G44" s="89">
        <f>IF(G$6="","",COUNTIF(G$8:G$37,'Cài đặt'!$B$20))</f>
        <v>1</v>
      </c>
      <c r="H44" s="89">
        <f>IF(H$6="","",COUNTIF(H$8:H$37,'Cài đặt'!$B$20))</f>
        <v>1</v>
      </c>
      <c r="I44" s="89">
        <f>IF(I$6="","",COUNTIF(I$8:I$37,'Cài đặt'!$B$20))</f>
        <v>1</v>
      </c>
      <c r="J44" s="89">
        <f>IF(J$6="","",COUNTIF(J$8:J$37,'Cài đặt'!$B$20))</f>
        <v>1</v>
      </c>
      <c r="K44" s="89">
        <f>IF(K$6="","",COUNTIF(K$8:K$37,'Cài đặt'!$B$20))</f>
        <v>1</v>
      </c>
      <c r="L44" s="89">
        <f>IF(L$6="","",COUNTIF(L$8:L$37,'Cài đặt'!$B$20))</f>
        <v>0</v>
      </c>
      <c r="M44" s="89">
        <f>IF(M$6="","",COUNTIF(M$8:M$37,'Cài đặt'!$B$20))</f>
        <v>1</v>
      </c>
      <c r="N44" s="89">
        <f>IF(N$6="","",COUNTIF(N$8:N$37,'Cài đặt'!$B$20))</f>
        <v>1</v>
      </c>
      <c r="O44" s="89">
        <f>IF(O$6="","",COUNTIF(O$8:O$37,'Cài đặt'!$B$20))</f>
        <v>1</v>
      </c>
      <c r="P44" s="89">
        <f>IF(P$6="","",COUNTIF(P$8:P$37,'Cài đặt'!$B$20))</f>
        <v>1</v>
      </c>
      <c r="Q44" s="89">
        <f>IF(Q$6="","",COUNTIF(Q$8:Q$37,'Cài đặt'!$B$20))</f>
        <v>1</v>
      </c>
      <c r="R44" s="89">
        <f>IF(R$6="","",COUNTIF(R$8:R$37,'Cài đặt'!$B$20))</f>
        <v>1</v>
      </c>
      <c r="S44" s="89">
        <f>IF(S$6="","",COUNTIF(S$8:S$37,'Cài đặt'!$B$20))</f>
        <v>0</v>
      </c>
      <c r="T44" s="89">
        <f>IF(T$6="","",COUNTIF(T$8:T$37,'Cài đặt'!$B$20))</f>
        <v>1</v>
      </c>
      <c r="U44" s="89">
        <f>IF(U$6="","",COUNTIF(U$8:U$37,'Cài đặt'!$B$20))</f>
        <v>1</v>
      </c>
      <c r="V44" s="89">
        <f>IF(V$6="","",COUNTIF(V$8:V$37,'Cài đặt'!$B$20))</f>
        <v>1</v>
      </c>
      <c r="W44" s="89">
        <f>IF(W$6="","",COUNTIF(W$8:W$37,'Cài đặt'!$B$20))</f>
        <v>1</v>
      </c>
      <c r="X44" s="89">
        <f>IF(X$6="","",COUNTIF(X$8:X$37,'Cài đặt'!$B$20))</f>
        <v>1</v>
      </c>
      <c r="Y44" s="89">
        <f>IF(Y$6="","",COUNTIF(Y$8:Y$37,'Cài đặt'!$B$20))</f>
        <v>1</v>
      </c>
      <c r="Z44" s="89">
        <f>IF(Z$6="","",COUNTIF(Z$8:Z$37,'Cài đặt'!$B$20))</f>
        <v>0</v>
      </c>
      <c r="AA44" s="89">
        <f>IF(AA$6="","",COUNTIF(AA$8:AA$37,'Cài đặt'!$B$20))</f>
        <v>1</v>
      </c>
      <c r="AB44" s="89">
        <f>IF(AB$6="","",COUNTIF(AB$8:AB$37,'Cài đặt'!$B$20))</f>
        <v>1</v>
      </c>
      <c r="AC44" s="89">
        <f>IF(AC$6="","",COUNTIF(AC$8:AC$37,'Cài đặt'!$B$20))</f>
        <v>1</v>
      </c>
      <c r="AD44" s="89">
        <f>IF(AD$6="","",COUNTIF(AD$8:AD$37,'Cài đặt'!$B$20))</f>
        <v>1</v>
      </c>
      <c r="AE44" s="89">
        <f>IF(AE$6="","",COUNTIF(AE$8:AE$37,'Cài đặt'!$B$20))</f>
        <v>1</v>
      </c>
      <c r="AF44" s="89">
        <f>IF(AF$6="","",COUNTIF(AF$8:AF$37,'Cài đặt'!$B$20))</f>
        <v>1</v>
      </c>
      <c r="AG44" s="89">
        <f>IF(AG$6="","",COUNTIF(AG$8:AG$37,'Cài đặt'!$B$20))</f>
        <v>0</v>
      </c>
      <c r="AH44" s="89">
        <f>IF(AH$6="","",COUNTIF(AH$8:AH$37,'Cài đặt'!$B$20))</f>
        <v>1</v>
      </c>
      <c r="AI44" s="89" t="str">
        <f>IF(AI$6="","",COUNTIF(AI$8:AI$37,'Cài đặt'!$B$20))</f>
        <v/>
      </c>
    </row>
    <row r="45" ht="15.75" customHeight="1">
      <c r="A45" s="80" t="s">
        <v>179</v>
      </c>
    </row>
    <row r="46" ht="15.75" customHeight="1"/>
    <row r="47" ht="15.75" customHeight="1">
      <c r="B47" s="90" t="s">
        <v>180</v>
      </c>
      <c r="C47" s="21"/>
      <c r="D47" s="12"/>
      <c r="E47" s="81" t="s">
        <v>175</v>
      </c>
      <c r="P47" s="81" t="s">
        <v>156</v>
      </c>
      <c r="AA47" s="81" t="s">
        <v>157</v>
      </c>
    </row>
    <row r="48" ht="18.0" customHeight="1">
      <c r="B48" s="91" t="str">
        <f>'Cài đặt'!B16</f>
        <v>S</v>
      </c>
      <c r="C48" s="92" t="str">
        <f>'Cài đặt'!C16&amp;IF('Cài đặt'!G16&gt;0," – "&amp;TEXT('Cài đặt'!G16,"0.0")&amp;" giờ","")</f>
        <v>Ca sáng – 8,0 giờ</v>
      </c>
      <c r="D48" s="12"/>
      <c r="E48" s="82" t="s">
        <v>158</v>
      </c>
      <c r="P48" s="82" t="s">
        <v>158</v>
      </c>
      <c r="AA48" s="82" t="s">
        <v>158</v>
      </c>
    </row>
    <row r="49" ht="18.0" customHeight="1">
      <c r="B49" s="93" t="str">
        <f>'Cài đặt'!B17</f>
        <v>C</v>
      </c>
      <c r="C49" s="92" t="str">
        <f>'Cài đặt'!C17&amp;IF('Cài đặt'!G17&gt;0," – "&amp;TEXT('Cài đặt'!G17,"0.0")&amp;" giờ","")</f>
        <v>Ca chiều – 8,0 giờ</v>
      </c>
      <c r="D49" s="12"/>
    </row>
    <row r="50" ht="18.0" customHeight="1">
      <c r="B50" s="94" t="str">
        <f>'Cài đặt'!B18</f>
        <v>H</v>
      </c>
      <c r="C50" s="92" t="str">
        <f>'Cài đặt'!C18&amp;IF('Cài đặt'!G18&gt;0," – "&amp;TEXT('Cài đặt'!G18,"0.0")&amp;" giờ","")</f>
        <v>Ca hành chính – 8,0 giờ</v>
      </c>
      <c r="D50" s="12"/>
    </row>
    <row r="51" ht="18.0" customHeight="1">
      <c r="B51" s="41" t="str">
        <f>'Cài đặt'!B19</f>
        <v>G</v>
      </c>
      <c r="C51" s="92" t="str">
        <f>'Cài đặt'!C19&amp;IF('Cài đặt'!G19&gt;0," – "&amp;TEXT('Cài đặt'!G19,"0.0")&amp;" giờ","")</f>
        <v>Ca gãy (2 đợt) – 8,0 giờ</v>
      </c>
      <c r="D51" s="12"/>
    </row>
    <row r="52" ht="18.0" customHeight="1">
      <c r="B52" s="95" t="str">
        <f>'Cài đặt'!B20</f>
        <v>N</v>
      </c>
      <c r="C52" s="92" t="str">
        <f>'Cài đặt'!C20&amp;IF('Cài đặt'!G20&gt;0," – "&amp;TEXT('Cài đặt'!G20,"0.0")&amp;" giờ","")</f>
        <v>Nửa ngày – 4,0 giờ</v>
      </c>
      <c r="D52" s="12"/>
    </row>
    <row r="53" ht="18.0" customHeight="1">
      <c r="B53" s="74" t="str">
        <f>'Cài đặt'!B21</f>
        <v>P</v>
      </c>
      <c r="C53" s="92" t="str">
        <f>'Cài đặt'!C21&amp;IF('Cài đặt'!G21&gt;0," – "&amp;TEXT('Cài đặt'!G21,"0.0")&amp;" giờ","")</f>
        <v>Nghỉ phép năm</v>
      </c>
      <c r="D53" s="12"/>
    </row>
    <row r="54" ht="18.0" customHeight="1">
      <c r="B54" s="96" t="str">
        <f>'Cài đặt'!B22</f>
        <v>L</v>
      </c>
      <c r="C54" s="92" t="str">
        <f>'Cài đặt'!C22&amp;IF('Cài đặt'!G22&gt;0," – "&amp;TEXT('Cài đặt'!G22,"0.0")&amp;" giờ","")</f>
        <v>Nghỉ lễ</v>
      </c>
      <c r="D54" s="12"/>
    </row>
    <row r="55" ht="18.0" customHeight="1">
      <c r="B55" s="97" t="str">
        <f>'Cài đặt'!B23</f>
        <v>Ô</v>
      </c>
      <c r="C55" s="92" t="str">
        <f>'Cài đặt'!C23&amp;IF('Cài đặt'!G23&gt;0," – "&amp;TEXT('Cài đặt'!G23,"0.0")&amp;" giờ","")</f>
        <v>Nghỉ ốm (BHXH)</v>
      </c>
      <c r="D55" s="12"/>
    </row>
    <row r="56" ht="18.0" customHeight="1">
      <c r="B56" s="98" t="str">
        <f>'Cài đặt'!B24</f>
        <v>K</v>
      </c>
      <c r="C56" s="92" t="str">
        <f>'Cài đặt'!C24&amp;IF('Cài đặt'!G24&gt;0," – "&amp;TEXT('Cài đặt'!G24,"0.0")&amp;" giờ","")</f>
        <v>Nghỉ không lương</v>
      </c>
      <c r="D56" s="12"/>
    </row>
    <row r="57" ht="18.0" customHeight="1">
      <c r="B57" s="99" t="str">
        <f>'Cài đặt'!B25</f>
        <v>OFF</v>
      </c>
      <c r="C57" s="92" t="str">
        <f>'Cài đặt'!C25&amp;IF('Cài đặt'!G25&gt;0," – "&amp;TEXT('Cài đặt'!G25,"0.0")&amp;" giờ","")</f>
        <v>Nghỉ tuần</v>
      </c>
      <c r="D57" s="12"/>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1">
    <mergeCell ref="AJ5:AJ7"/>
    <mergeCell ref="AK5:AK7"/>
    <mergeCell ref="A38:D38"/>
    <mergeCell ref="E38:AI38"/>
    <mergeCell ref="A39:D39"/>
    <mergeCell ref="A40:D40"/>
    <mergeCell ref="A41:D41"/>
    <mergeCell ref="A42:D42"/>
    <mergeCell ref="A43:D43"/>
    <mergeCell ref="A44:D44"/>
    <mergeCell ref="A45:AI45"/>
    <mergeCell ref="E47:N47"/>
    <mergeCell ref="P47:Y47"/>
    <mergeCell ref="AA47:AI47"/>
    <mergeCell ref="E4:AI4"/>
    <mergeCell ref="AJ4:AR4"/>
    <mergeCell ref="AS4:AW4"/>
    <mergeCell ref="AX4:AX7"/>
    <mergeCell ref="AS5:AS7"/>
    <mergeCell ref="AT5:AT7"/>
    <mergeCell ref="AU5:AU7"/>
    <mergeCell ref="AV5:AV7"/>
    <mergeCell ref="AW5:AW7"/>
    <mergeCell ref="AL5:AL7"/>
    <mergeCell ref="AM5:AM7"/>
    <mergeCell ref="AN5:AN7"/>
    <mergeCell ref="AO5:AO7"/>
    <mergeCell ref="AP5:AP7"/>
    <mergeCell ref="AQ5:AQ7"/>
    <mergeCell ref="A1:AX1"/>
    <mergeCell ref="A3:AI3"/>
    <mergeCell ref="A4:A7"/>
    <mergeCell ref="B4:B7"/>
    <mergeCell ref="C4:C7"/>
    <mergeCell ref="D4:D7"/>
    <mergeCell ref="AR5:AR7"/>
    <mergeCell ref="E2:AG2"/>
    <mergeCell ref="C51:D51"/>
    <mergeCell ref="C52:D52"/>
    <mergeCell ref="C53:D53"/>
    <mergeCell ref="C54:D54"/>
    <mergeCell ref="C55:D55"/>
    <mergeCell ref="C56:D56"/>
    <mergeCell ref="C57:D57"/>
    <mergeCell ref="B47:D47"/>
    <mergeCell ref="C48:D48"/>
    <mergeCell ref="E48:N48"/>
    <mergeCell ref="P48:Y48"/>
    <mergeCell ref="AA48:AI48"/>
    <mergeCell ref="C49:D49"/>
    <mergeCell ref="C50:D50"/>
  </mergeCells>
  <conditionalFormatting sqref="E8:AI37">
    <cfRule type="expression" dxfId="6" priority="1">
      <formula>E$6=""</formula>
    </cfRule>
  </conditionalFormatting>
  <conditionalFormatting sqref="E8:AI37">
    <cfRule type="expression" dxfId="7" priority="2">
      <formula>E$5="Lễ"</formula>
    </cfRule>
  </conditionalFormatting>
  <conditionalFormatting sqref="E8:AI37">
    <cfRule type="expression" dxfId="8" priority="3">
      <formula>E$7="CN"</formula>
    </cfRule>
  </conditionalFormatting>
  <conditionalFormatting sqref="E5:AI7">
    <cfRule type="expression" dxfId="9" priority="4">
      <formula>E$5="Lễ"</formula>
    </cfRule>
  </conditionalFormatting>
  <conditionalFormatting sqref="E5:AI7">
    <cfRule type="expression" dxfId="0" priority="5">
      <formula>E$7="CN"</formula>
    </cfRule>
  </conditionalFormatting>
  <conditionalFormatting sqref="E6:AI7">
    <cfRule type="expression" dxfId="6" priority="6">
      <formula>E$6=""</formula>
    </cfRule>
  </conditionalFormatting>
  <dataValidations>
    <dataValidation type="list" allowBlank="1" showInputMessage="1" showErrorMessage="1" prompt="Chấm công - Chọn ký hiệu ca / loại nghỉ" sqref="E8:AI37">
      <formula1>'Cài đặt'!$B$16:$B$25</formula1>
    </dataValidation>
  </dataValidations>
  <printOptions/>
  <pageMargins bottom="1.0" footer="0.0" header="0.0" left="0.3" right="0.3" top="1.0"/>
  <pageSetup paperSize="8"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BA74"/>
    <pageSetUpPr fitToPage="1"/>
  </sheetPr>
  <sheetViews>
    <sheetView showGridLines="0" workbookViewId="0">
      <pane xSplit="4.0" ySplit="6.0" topLeftCell="E7" activePane="bottomRight" state="frozen"/>
      <selection activeCell="E1" sqref="E1" pane="topRight"/>
      <selection activeCell="A7" sqref="A7" pane="bottomLeft"/>
      <selection activeCell="E7" sqref="E7" pane="bottomRight"/>
    </sheetView>
  </sheetViews>
  <sheetFormatPr customHeight="1" defaultColWidth="14.43" defaultRowHeight="15.0"/>
  <cols>
    <col customWidth="1" min="1" max="1" width="5.0"/>
    <col customWidth="1" min="2" max="2" width="9.0"/>
    <col customWidth="1" min="3" max="3" width="22.0"/>
    <col customWidth="1" min="4" max="4" width="20.0"/>
    <col customWidth="1" min="5" max="7" width="9.0"/>
    <col customWidth="1" min="8" max="8" width="10.0"/>
    <col customWidth="1" min="9" max="11" width="9.0"/>
    <col customWidth="1" min="12" max="12" width="13.0"/>
    <col customWidth="1" min="13" max="17" width="12.0"/>
    <col customWidth="1" min="18" max="18" width="14.0"/>
    <col customWidth="1" min="19" max="20" width="12.0"/>
    <col customWidth="1" min="21" max="22" width="14.0"/>
    <col customWidth="1" min="23" max="26" width="8.71"/>
  </cols>
  <sheetData>
    <row r="1" ht="24.0" customHeight="1">
      <c r="A1" s="1" t="str">
        <f>'Cài đặt'!D5</f>
        <v>CÔNG TY TNHH DỊCH VỤ VỆ SINH MẪU</v>
      </c>
      <c r="B1" s="2"/>
      <c r="C1" s="2"/>
      <c r="D1" s="2"/>
      <c r="E1" s="2"/>
      <c r="F1" s="2"/>
      <c r="G1" s="2"/>
      <c r="H1" s="2"/>
      <c r="I1" s="2"/>
      <c r="J1" s="2"/>
      <c r="K1" s="2"/>
      <c r="L1" s="2"/>
      <c r="M1" s="2"/>
      <c r="N1" s="2"/>
      <c r="O1" s="2"/>
      <c r="P1" s="2"/>
      <c r="Q1" s="2"/>
      <c r="R1" s="2"/>
      <c r="S1" s="2"/>
      <c r="T1" s="2"/>
      <c r="U1" s="2"/>
      <c r="V1" s="4"/>
    </row>
    <row r="2" ht="39.75" customHeight="1">
      <c r="A2" s="5" t="s">
        <v>2</v>
      </c>
    </row>
    <row r="3" ht="21.75" customHeight="1">
      <c r="A3" s="10" t="str">
        <f>"Tháng "&amp;'Cài đặt'!D7&amp;" năm "&amp;'Cài đặt'!D8&amp;"   |   Đơn giá: "&amp;TEXT('Cài đặt'!D32,"#,##0")&amp;" đ/công   |   Công chuẩn: "&amp;'Cài đặt'!D11&amp;" ngày   |   Đơn vị: VNĐ"</f>
        <v>Tháng 11 năm 2026   |   Đơn giá: 250.000 đ/công   |   Công chuẩn: 25 ngày   |   Đơn vị: VNĐ</v>
      </c>
    </row>
    <row r="4" ht="7.5" customHeight="1"/>
    <row r="5" ht="19.5" customHeight="1">
      <c r="A5" s="13" t="s">
        <v>8</v>
      </c>
      <c r="B5" s="13" t="s">
        <v>11</v>
      </c>
      <c r="C5" s="13" t="s">
        <v>12</v>
      </c>
      <c r="D5" s="13" t="s">
        <v>13</v>
      </c>
      <c r="E5" s="22" t="s">
        <v>17</v>
      </c>
      <c r="F5" s="21"/>
      <c r="G5" s="12"/>
      <c r="H5" s="20" t="s">
        <v>23</v>
      </c>
      <c r="I5" s="21"/>
      <c r="J5" s="21"/>
      <c r="K5" s="12"/>
      <c r="L5" s="22" t="s">
        <v>25</v>
      </c>
      <c r="M5" s="21"/>
      <c r="N5" s="21"/>
      <c r="O5" s="21"/>
      <c r="P5" s="21"/>
      <c r="Q5" s="21"/>
      <c r="R5" s="12"/>
      <c r="S5" s="20" t="s">
        <v>27</v>
      </c>
      <c r="T5" s="21"/>
      <c r="U5" s="12"/>
      <c r="V5" s="25" t="s">
        <v>29</v>
      </c>
    </row>
    <row r="6" ht="42.0" customHeight="1">
      <c r="A6" s="27"/>
      <c r="B6" s="27"/>
      <c r="C6" s="27"/>
      <c r="D6" s="27"/>
      <c r="E6" s="28" t="s">
        <v>31</v>
      </c>
      <c r="F6" s="28" t="s">
        <v>32</v>
      </c>
      <c r="G6" s="28" t="s">
        <v>33</v>
      </c>
      <c r="H6" s="28" t="s">
        <v>34</v>
      </c>
      <c r="I6" s="28" t="s">
        <v>35</v>
      </c>
      <c r="J6" s="28" t="s">
        <v>36</v>
      </c>
      <c r="K6" s="28" t="s">
        <v>37</v>
      </c>
      <c r="L6" s="28" t="s">
        <v>38</v>
      </c>
      <c r="M6" s="28" t="s">
        <v>39</v>
      </c>
      <c r="N6" s="28" t="s">
        <v>40</v>
      </c>
      <c r="O6" s="28" t="s">
        <v>41</v>
      </c>
      <c r="P6" s="28" t="s">
        <v>42</v>
      </c>
      <c r="Q6" s="28" t="s">
        <v>43</v>
      </c>
      <c r="R6" s="28" t="s">
        <v>44</v>
      </c>
      <c r="S6" s="28" t="s">
        <v>45</v>
      </c>
      <c r="T6" s="28" t="s">
        <v>46</v>
      </c>
      <c r="U6" s="28" t="s">
        <v>47</v>
      </c>
      <c r="V6" s="27"/>
    </row>
    <row r="7" ht="21.0" customHeight="1">
      <c r="A7" s="29">
        <v>1.0</v>
      </c>
      <c r="B7" s="34" t="str">
        <f>IF('Chấm công'!$C8="","",'Chấm công'!$B8&amp;"")</f>
        <v>VS001</v>
      </c>
      <c r="C7" s="35" t="str">
        <f>IF('Chấm công'!$C8="","",'Chấm công'!$C8)</f>
        <v>Nguyễn Thị Lan</v>
      </c>
      <c r="D7" s="36" t="str">
        <f>IF('Chấm công'!$C8="","",'Chấm công'!$D8&amp;"")</f>
        <v>Tầng 1 – Sảnh</v>
      </c>
      <c r="E7" s="39">
        <f>IF($C7="","",SUM('Chấm công'!AJ8:AN8))</f>
        <v>26</v>
      </c>
      <c r="F7" s="39">
        <f>IF($C7="","",'Chấm công'!AO8+'Chấm công'!AP8)</f>
        <v>0</v>
      </c>
      <c r="G7" s="39">
        <f>IF($C7="","",'Chấm công'!AQ8+'Chấm công'!AR8)</f>
        <v>0</v>
      </c>
      <c r="H7" s="50">
        <f>IF($C7="","",'Chấm công'!AV8)</f>
        <v>26</v>
      </c>
      <c r="I7" s="39">
        <f>IF($C7="","",'Chấm công'!AW8)</f>
        <v>8</v>
      </c>
      <c r="J7" s="39">
        <f>IF($C7="","",'Chấm công'!AT8)</f>
        <v>40</v>
      </c>
      <c r="K7" s="39">
        <f>IF($C7="","",'Chấm công'!AU8)</f>
        <v>0</v>
      </c>
      <c r="L7" s="54">
        <f>IF($C7="","",ROUND(H7*'Cài đặt'!$D$32,0))</f>
        <v>6500000</v>
      </c>
      <c r="M7" s="54">
        <f>IF($C7="","",ROUND(I7*('Cài đặt'!$D$32/'Cài đặt'!$D$12)*('Cài đặt'!$D$33-1),0))</f>
        <v>125000</v>
      </c>
      <c r="N7" s="54">
        <f>IF($C7="","",ROUND(J7*('Cài đặt'!$D$32/'Cài đặt'!$D$12)*('Cài đặt'!$D$34-1),0))</f>
        <v>1250000</v>
      </c>
      <c r="O7" s="54">
        <f>IF($C7="","",ROUND(K7*('Cài đặt'!$D$32/'Cài đặt'!$D$12)*('Cài đặt'!$D$35-1),0))</f>
        <v>0</v>
      </c>
      <c r="P7" s="54">
        <f>IF($C7="","",E7*'Cài đặt'!$D$36)</f>
        <v>780000</v>
      </c>
      <c r="Q7" s="54">
        <f>IF($C7="","",IF('Chấm công'!AR8=0,'Cài đặt'!$D$37,0))</f>
        <v>300000</v>
      </c>
      <c r="R7" s="59">
        <f t="shared" ref="R7:R36" si="1">IF($C7="","",SUM(L7:Q7))</f>
        <v>8955000</v>
      </c>
      <c r="S7" s="54">
        <f>IF($C7="","",ROUND(L7*'Cài đặt'!$D$38,0))</f>
        <v>682500</v>
      </c>
      <c r="T7" s="62"/>
      <c r="U7" s="66">
        <f t="shared" ref="U7:U36" si="2">IF($C7="","",R7-S7-N(T7))</f>
        <v>8272500</v>
      </c>
      <c r="V7" s="68"/>
    </row>
    <row r="8" ht="21.0" customHeight="1">
      <c r="A8" s="29">
        <v>2.0</v>
      </c>
      <c r="B8" s="34" t="str">
        <f>IF('Chấm công'!$C9="","",'Chấm công'!$B9&amp;"")</f>
        <v>VS002</v>
      </c>
      <c r="C8" s="35" t="str">
        <f>IF('Chấm công'!$C9="","",'Chấm công'!$C9)</f>
        <v>Trần Thị Hoa</v>
      </c>
      <c r="D8" s="36" t="str">
        <f>IF('Chấm công'!$C9="","",'Chấm công'!$D9&amp;"")</f>
        <v>Tầng 2–3</v>
      </c>
      <c r="E8" s="39">
        <f>IF($C8="","",SUM('Chấm công'!AJ9:AN9))</f>
        <v>25</v>
      </c>
      <c r="F8" s="39">
        <f>IF($C8="","",'Chấm công'!AO9+'Chấm công'!AP9)</f>
        <v>0</v>
      </c>
      <c r="G8" s="39">
        <f>IF($C8="","",'Chấm công'!AQ9+'Chấm công'!AR9)</f>
        <v>1</v>
      </c>
      <c r="H8" s="50">
        <f>IF($C8="","",'Chấm công'!AV9)</f>
        <v>25</v>
      </c>
      <c r="I8" s="39">
        <f>IF($C8="","",'Chấm công'!AW9)</f>
        <v>0</v>
      </c>
      <c r="J8" s="39">
        <f>IF($C8="","",'Chấm công'!AT9)</f>
        <v>40</v>
      </c>
      <c r="K8" s="39">
        <f>IF($C8="","",'Chấm công'!AU9)</f>
        <v>0</v>
      </c>
      <c r="L8" s="54">
        <f>IF($C8="","",ROUND(H8*'Cài đặt'!$D$32,0))</f>
        <v>6250000</v>
      </c>
      <c r="M8" s="54">
        <f>IF($C8="","",ROUND(I8*('Cài đặt'!$D$32/'Cài đặt'!$D$12)*('Cài đặt'!$D$33-1),0))</f>
        <v>0</v>
      </c>
      <c r="N8" s="54">
        <f>IF($C8="","",ROUND(J8*('Cài đặt'!$D$32/'Cài đặt'!$D$12)*('Cài đặt'!$D$34-1),0))</f>
        <v>1250000</v>
      </c>
      <c r="O8" s="54">
        <f>IF($C8="","",ROUND(K8*('Cài đặt'!$D$32/'Cài đặt'!$D$12)*('Cài đặt'!$D$35-1),0))</f>
        <v>0</v>
      </c>
      <c r="P8" s="54">
        <f>IF($C8="","",E8*'Cài đặt'!$D$36)</f>
        <v>750000</v>
      </c>
      <c r="Q8" s="54">
        <f>IF($C8="","",IF('Chấm công'!AR9=0,'Cài đặt'!$D$37,0))</f>
        <v>0</v>
      </c>
      <c r="R8" s="59">
        <f t="shared" si="1"/>
        <v>8250000</v>
      </c>
      <c r="S8" s="54">
        <f>IF($C8="","",ROUND(L8*'Cài đặt'!$D$38,0))</f>
        <v>656250</v>
      </c>
      <c r="T8" s="62"/>
      <c r="U8" s="66">
        <f t="shared" si="2"/>
        <v>7593750</v>
      </c>
      <c r="V8" s="68"/>
    </row>
    <row r="9" ht="21.0" customHeight="1">
      <c r="A9" s="29">
        <v>3.0</v>
      </c>
      <c r="B9" s="34" t="str">
        <f>IF('Chấm công'!$C10="","",'Chấm công'!$B10&amp;"")</f>
        <v>VS003</v>
      </c>
      <c r="C9" s="35" t="str">
        <f>IF('Chấm công'!$C10="","",'Chấm công'!$C10)</f>
        <v>Lê Thị Mai</v>
      </c>
      <c r="D9" s="36" t="str">
        <f>IF('Chấm công'!$C10="","",'Chấm công'!$D10&amp;"")</f>
        <v>Tầng 4–5</v>
      </c>
      <c r="E9" s="39">
        <f>IF($C9="","",SUM('Chấm công'!AJ10:AN10))</f>
        <v>24</v>
      </c>
      <c r="F9" s="39">
        <f>IF($C9="","",'Chấm công'!AO10+'Chấm công'!AP10)</f>
        <v>2</v>
      </c>
      <c r="G9" s="39">
        <f>IF($C9="","",'Chấm công'!AQ10+'Chấm công'!AR10)</f>
        <v>0</v>
      </c>
      <c r="H9" s="50">
        <f>IF($C9="","",'Chấm công'!AV10)</f>
        <v>26</v>
      </c>
      <c r="I9" s="39">
        <f>IF($C9="","",'Chấm công'!AW10)</f>
        <v>0</v>
      </c>
      <c r="J9" s="39">
        <f>IF($C9="","",'Chấm công'!AT10)</f>
        <v>40</v>
      </c>
      <c r="K9" s="39">
        <f>IF($C9="","",'Chấm công'!AU10)</f>
        <v>0</v>
      </c>
      <c r="L9" s="54">
        <f>IF($C9="","",ROUND(H9*'Cài đặt'!$D$32,0))</f>
        <v>6500000</v>
      </c>
      <c r="M9" s="54">
        <f>IF($C9="","",ROUND(I9*('Cài đặt'!$D$32/'Cài đặt'!$D$12)*('Cài đặt'!$D$33-1),0))</f>
        <v>0</v>
      </c>
      <c r="N9" s="54">
        <f>IF($C9="","",ROUND(J9*('Cài đặt'!$D$32/'Cài đặt'!$D$12)*('Cài đặt'!$D$34-1),0))</f>
        <v>1250000</v>
      </c>
      <c r="O9" s="54">
        <f>IF($C9="","",ROUND(K9*('Cài đặt'!$D$32/'Cài đặt'!$D$12)*('Cài đặt'!$D$35-1),0))</f>
        <v>0</v>
      </c>
      <c r="P9" s="54">
        <f>IF($C9="","",E9*'Cài đặt'!$D$36)</f>
        <v>720000</v>
      </c>
      <c r="Q9" s="54">
        <f>IF($C9="","",IF('Chấm công'!AR10=0,'Cài đặt'!$D$37,0))</f>
        <v>300000</v>
      </c>
      <c r="R9" s="59">
        <f t="shared" si="1"/>
        <v>8770000</v>
      </c>
      <c r="S9" s="54">
        <f>IF($C9="","",ROUND(L9*'Cài đặt'!$D$38,0))</f>
        <v>682500</v>
      </c>
      <c r="T9" s="62"/>
      <c r="U9" s="66">
        <f t="shared" si="2"/>
        <v>8087500</v>
      </c>
      <c r="V9" s="68"/>
    </row>
    <row r="10" ht="21.0" customHeight="1">
      <c r="A10" s="29">
        <v>4.0</v>
      </c>
      <c r="B10" s="34" t="str">
        <f>IF('Chấm công'!$C11="","",'Chấm công'!$B11&amp;"")</f>
        <v>VS004</v>
      </c>
      <c r="C10" s="35" t="str">
        <f>IF('Chấm công'!$C11="","",'Chấm công'!$C11)</f>
        <v>Phạm Thị Hương</v>
      </c>
      <c r="D10" s="36" t="str">
        <f>IF('Chấm công'!$C11="","",'Chấm công'!$D11&amp;"")</f>
        <v>Nhà vệ sinh chung</v>
      </c>
      <c r="E10" s="39">
        <f>IF($C10="","",SUM('Chấm công'!AJ11:AN11))</f>
        <v>26</v>
      </c>
      <c r="F10" s="39">
        <f>IF($C10="","",'Chấm công'!AO11+'Chấm công'!AP11)</f>
        <v>0</v>
      </c>
      <c r="G10" s="39">
        <f>IF($C10="","",'Chấm công'!AQ11+'Chấm công'!AR11)</f>
        <v>0</v>
      </c>
      <c r="H10" s="50">
        <f>IF($C10="","",'Chấm công'!AV11)</f>
        <v>26</v>
      </c>
      <c r="I10" s="39">
        <f>IF($C10="","",'Chấm công'!AW11)</f>
        <v>8</v>
      </c>
      <c r="J10" s="39">
        <f>IF($C10="","",'Chấm công'!AT11)</f>
        <v>40</v>
      </c>
      <c r="K10" s="39">
        <f>IF($C10="","",'Chấm công'!AU11)</f>
        <v>0</v>
      </c>
      <c r="L10" s="54">
        <f>IF($C10="","",ROUND(H10*'Cài đặt'!$D$32,0))</f>
        <v>6500000</v>
      </c>
      <c r="M10" s="54">
        <f>IF($C10="","",ROUND(I10*('Cài đặt'!$D$32/'Cài đặt'!$D$12)*('Cài đặt'!$D$33-1),0))</f>
        <v>125000</v>
      </c>
      <c r="N10" s="54">
        <f>IF($C10="","",ROUND(J10*('Cài đặt'!$D$32/'Cài đặt'!$D$12)*('Cài đặt'!$D$34-1),0))</f>
        <v>1250000</v>
      </c>
      <c r="O10" s="54">
        <f>IF($C10="","",ROUND(K10*('Cài đặt'!$D$32/'Cài đặt'!$D$12)*('Cài đặt'!$D$35-1),0))</f>
        <v>0</v>
      </c>
      <c r="P10" s="54">
        <f>IF($C10="","",E10*'Cài đặt'!$D$36)</f>
        <v>780000</v>
      </c>
      <c r="Q10" s="54">
        <f>IF($C10="","",IF('Chấm công'!AR11=0,'Cài đặt'!$D$37,0))</f>
        <v>300000</v>
      </c>
      <c r="R10" s="59">
        <f t="shared" si="1"/>
        <v>8955000</v>
      </c>
      <c r="S10" s="54">
        <f>IF($C10="","",ROUND(L10*'Cài đặt'!$D$38,0))</f>
        <v>682500</v>
      </c>
      <c r="T10" s="62"/>
      <c r="U10" s="66">
        <f t="shared" si="2"/>
        <v>8272500</v>
      </c>
      <c r="V10" s="68"/>
    </row>
    <row r="11" ht="21.0" customHeight="1">
      <c r="A11" s="29">
        <v>5.0</v>
      </c>
      <c r="B11" s="34" t="str">
        <f>IF('Chấm công'!$C12="","",'Chấm công'!$B12&amp;"")</f>
        <v>VS005</v>
      </c>
      <c r="C11" s="35" t="str">
        <f>IF('Chấm công'!$C12="","",'Chấm công'!$C12)</f>
        <v>Đỗ Văn Nam</v>
      </c>
      <c r="D11" s="36" t="str">
        <f>IF('Chấm công'!$C12="","",'Chấm công'!$D12&amp;"")</f>
        <v>Ngoại cảnh – sân vườn</v>
      </c>
      <c r="E11" s="39">
        <f>IF($C11="","",SUM('Chấm công'!AJ12:AN12))</f>
        <v>25</v>
      </c>
      <c r="F11" s="39">
        <f>IF($C11="","",'Chấm công'!AO12+'Chấm công'!AP12)</f>
        <v>0</v>
      </c>
      <c r="G11" s="39">
        <f>IF($C11="","",'Chấm công'!AQ12+'Chấm công'!AR12)</f>
        <v>1</v>
      </c>
      <c r="H11" s="50">
        <f>IF($C11="","",'Chấm công'!AV12)</f>
        <v>25</v>
      </c>
      <c r="I11" s="39">
        <f>IF($C11="","",'Chấm công'!AW12)</f>
        <v>0</v>
      </c>
      <c r="J11" s="39">
        <f>IF($C11="","",'Chấm công'!AT12)</f>
        <v>40</v>
      </c>
      <c r="K11" s="39">
        <f>IF($C11="","",'Chấm công'!AU12)</f>
        <v>0</v>
      </c>
      <c r="L11" s="54">
        <f>IF($C11="","",ROUND(H11*'Cài đặt'!$D$32,0))</f>
        <v>6250000</v>
      </c>
      <c r="M11" s="54">
        <f>IF($C11="","",ROUND(I11*('Cài đặt'!$D$32/'Cài đặt'!$D$12)*('Cài đặt'!$D$33-1),0))</f>
        <v>0</v>
      </c>
      <c r="N11" s="54">
        <f>IF($C11="","",ROUND(J11*('Cài đặt'!$D$32/'Cài đặt'!$D$12)*('Cài đặt'!$D$34-1),0))</f>
        <v>1250000</v>
      </c>
      <c r="O11" s="54">
        <f>IF($C11="","",ROUND(K11*('Cài đặt'!$D$32/'Cài đặt'!$D$12)*('Cài đặt'!$D$35-1),0))</f>
        <v>0</v>
      </c>
      <c r="P11" s="54">
        <f>IF($C11="","",E11*'Cài đặt'!$D$36)</f>
        <v>750000</v>
      </c>
      <c r="Q11" s="54">
        <f>IF($C11="","",IF('Chấm công'!AR12=0,'Cài đặt'!$D$37,0))</f>
        <v>300000</v>
      </c>
      <c r="R11" s="59">
        <f t="shared" si="1"/>
        <v>8550000</v>
      </c>
      <c r="S11" s="54">
        <f>IF($C11="","",ROUND(L11*'Cài đặt'!$D$38,0))</f>
        <v>656250</v>
      </c>
      <c r="T11" s="62"/>
      <c r="U11" s="66">
        <f t="shared" si="2"/>
        <v>7893750</v>
      </c>
      <c r="V11" s="68"/>
    </row>
    <row r="12" ht="21.0" customHeight="1">
      <c r="A12" s="29">
        <v>6.0</v>
      </c>
      <c r="B12" s="34" t="str">
        <f>IF('Chấm công'!$C13="","",'Chấm công'!$B13&amp;"")</f>
        <v>VS006</v>
      </c>
      <c r="C12" s="35" t="str">
        <f>IF('Chấm công'!$C13="","",'Chấm công'!$C13)</f>
        <v>Vũ Thị Thủy</v>
      </c>
      <c r="D12" s="36" t="str">
        <f>IF('Chấm công'!$C13="","",'Chấm công'!$D13&amp;"")</f>
        <v>Tầng hầm – hành lang</v>
      </c>
      <c r="E12" s="39">
        <f>IF($C12="","",SUM('Chấm công'!AJ13:AN13))</f>
        <v>25</v>
      </c>
      <c r="F12" s="39">
        <f>IF($C12="","",'Chấm công'!AO13+'Chấm công'!AP13)</f>
        <v>0</v>
      </c>
      <c r="G12" s="39">
        <f>IF($C12="","",'Chấm công'!AQ13+'Chấm công'!AR13)</f>
        <v>0</v>
      </c>
      <c r="H12" s="50">
        <f>IF($C12="","",'Chấm công'!AV13)</f>
        <v>25</v>
      </c>
      <c r="I12" s="39">
        <f>IF($C12="","",'Chấm công'!AW13)</f>
        <v>0</v>
      </c>
      <c r="J12" s="39">
        <f>IF($C12="","",'Chấm công'!AT13)</f>
        <v>40</v>
      </c>
      <c r="K12" s="39">
        <f>IF($C12="","",'Chấm công'!AU13)</f>
        <v>0</v>
      </c>
      <c r="L12" s="54">
        <f>IF($C12="","",ROUND(H12*'Cài đặt'!$D$32,0))</f>
        <v>6250000</v>
      </c>
      <c r="M12" s="54">
        <f>IF($C12="","",ROUND(I12*('Cài đặt'!$D$32/'Cài đặt'!$D$12)*('Cài đặt'!$D$33-1),0))</f>
        <v>0</v>
      </c>
      <c r="N12" s="54">
        <f>IF($C12="","",ROUND(J12*('Cài đặt'!$D$32/'Cài đặt'!$D$12)*('Cài đặt'!$D$34-1),0))</f>
        <v>1250000</v>
      </c>
      <c r="O12" s="54">
        <f>IF($C12="","",ROUND(K12*('Cài đặt'!$D$32/'Cài đặt'!$D$12)*('Cài đặt'!$D$35-1),0))</f>
        <v>0</v>
      </c>
      <c r="P12" s="54">
        <f>IF($C12="","",E12*'Cài đặt'!$D$36)</f>
        <v>750000</v>
      </c>
      <c r="Q12" s="54">
        <f>IF($C12="","",IF('Chấm công'!AR13=0,'Cài đặt'!$D$37,0))</f>
        <v>300000</v>
      </c>
      <c r="R12" s="59">
        <f t="shared" si="1"/>
        <v>8550000</v>
      </c>
      <c r="S12" s="54">
        <f>IF($C12="","",ROUND(L12*'Cài đặt'!$D$38,0))</f>
        <v>656250</v>
      </c>
      <c r="T12" s="62"/>
      <c r="U12" s="66">
        <f t="shared" si="2"/>
        <v>7893750</v>
      </c>
      <c r="V12" s="68"/>
    </row>
    <row r="13" ht="21.0" customHeight="1">
      <c r="A13" s="29">
        <v>7.0</v>
      </c>
      <c r="B13" s="34" t="str">
        <f>IF('Chấm công'!$C14="","",'Chấm công'!$B14&amp;"")</f>
        <v>VS007</v>
      </c>
      <c r="C13" s="35" t="str">
        <f>IF('Chấm công'!$C14="","",'Chấm công'!$C14)</f>
        <v>Hoàng Thị Yến</v>
      </c>
      <c r="D13" s="36" t="str">
        <f>IF('Chấm công'!$C14="","",'Chấm công'!$D14&amp;"")</f>
        <v>Phòng họp – căng tin</v>
      </c>
      <c r="E13" s="39">
        <f>IF($C13="","",SUM('Chấm công'!AJ14:AN14))</f>
        <v>25</v>
      </c>
      <c r="F13" s="39">
        <f>IF($C13="","",'Chấm công'!AO14+'Chấm công'!AP14)</f>
        <v>0</v>
      </c>
      <c r="G13" s="39">
        <f>IF($C13="","",'Chấm công'!AQ14+'Chấm công'!AR14)</f>
        <v>0</v>
      </c>
      <c r="H13" s="50">
        <f>IF($C13="","",'Chấm công'!AV14)</f>
        <v>12.5</v>
      </c>
      <c r="I13" s="39">
        <f>IF($C13="","",'Chấm công'!AW14)</f>
        <v>0</v>
      </c>
      <c r="J13" s="39">
        <f>IF($C13="","",'Chấm công'!AT14)</f>
        <v>0</v>
      </c>
      <c r="K13" s="39">
        <f>IF($C13="","",'Chấm công'!AU14)</f>
        <v>0</v>
      </c>
      <c r="L13" s="54">
        <f>IF($C13="","",ROUND(H13*'Cài đặt'!$D$32,0))</f>
        <v>3125000</v>
      </c>
      <c r="M13" s="54">
        <f>IF($C13="","",ROUND(I13*('Cài đặt'!$D$32/'Cài đặt'!$D$12)*('Cài đặt'!$D$33-1),0))</f>
        <v>0</v>
      </c>
      <c r="N13" s="54">
        <f>IF($C13="","",ROUND(J13*('Cài đặt'!$D$32/'Cài đặt'!$D$12)*('Cài đặt'!$D$34-1),0))</f>
        <v>0</v>
      </c>
      <c r="O13" s="54">
        <f>IF($C13="","",ROUND(K13*('Cài đặt'!$D$32/'Cài đặt'!$D$12)*('Cài đặt'!$D$35-1),0))</f>
        <v>0</v>
      </c>
      <c r="P13" s="54">
        <f>IF($C13="","",E13*'Cài đặt'!$D$36)</f>
        <v>750000</v>
      </c>
      <c r="Q13" s="54">
        <f>IF($C13="","",IF('Chấm công'!AR14=0,'Cài đặt'!$D$37,0))</f>
        <v>300000</v>
      </c>
      <c r="R13" s="59">
        <f t="shared" si="1"/>
        <v>4175000</v>
      </c>
      <c r="S13" s="54">
        <f>IF($C13="","",ROUND(L13*'Cài đặt'!$D$38,0))</f>
        <v>328125</v>
      </c>
      <c r="T13" s="62"/>
      <c r="U13" s="66">
        <f t="shared" si="2"/>
        <v>3846875</v>
      </c>
      <c r="V13" s="68"/>
    </row>
    <row r="14" ht="21.0" customHeight="1">
      <c r="A14" s="29">
        <v>8.0</v>
      </c>
      <c r="B14" s="34" t="str">
        <f>IF('Chấm công'!$C15="","",'Chấm công'!$B15&amp;"")</f>
        <v>VS008</v>
      </c>
      <c r="C14" s="35" t="str">
        <f>IF('Chấm công'!$C15="","",'Chấm công'!$C15)</f>
        <v>Bùi Thị Ngọc</v>
      </c>
      <c r="D14" s="36" t="str">
        <f>IF('Chấm công'!$C15="","",'Chấm công'!$D15&amp;"")</f>
        <v>Tầng 6–7</v>
      </c>
      <c r="E14" s="39">
        <f>IF($C14="","",SUM('Chấm công'!AJ15:AN15))</f>
        <v>26</v>
      </c>
      <c r="F14" s="39">
        <f>IF($C14="","",'Chấm công'!AO15+'Chấm công'!AP15)</f>
        <v>0</v>
      </c>
      <c r="G14" s="39">
        <f>IF($C14="","",'Chấm công'!AQ15+'Chấm công'!AR15)</f>
        <v>0</v>
      </c>
      <c r="H14" s="50">
        <f>IF($C14="","",'Chấm công'!AV15)</f>
        <v>26</v>
      </c>
      <c r="I14" s="39">
        <f>IF($C14="","",'Chấm công'!AW15)</f>
        <v>8</v>
      </c>
      <c r="J14" s="39">
        <f>IF($C14="","",'Chấm công'!AT15)</f>
        <v>40</v>
      </c>
      <c r="K14" s="39">
        <f>IF($C14="","",'Chấm công'!AU15)</f>
        <v>0</v>
      </c>
      <c r="L14" s="54">
        <f>IF($C14="","",ROUND(H14*'Cài đặt'!$D$32,0))</f>
        <v>6500000</v>
      </c>
      <c r="M14" s="54">
        <f>IF($C14="","",ROUND(I14*('Cài đặt'!$D$32/'Cài đặt'!$D$12)*('Cài đặt'!$D$33-1),0))</f>
        <v>125000</v>
      </c>
      <c r="N14" s="54">
        <f>IF($C14="","",ROUND(J14*('Cài đặt'!$D$32/'Cài đặt'!$D$12)*('Cài đặt'!$D$34-1),0))</f>
        <v>1250000</v>
      </c>
      <c r="O14" s="54">
        <f>IF($C14="","",ROUND(K14*('Cài đặt'!$D$32/'Cài đặt'!$D$12)*('Cài đặt'!$D$35-1),0))</f>
        <v>0</v>
      </c>
      <c r="P14" s="54">
        <f>IF($C14="","",E14*'Cài đặt'!$D$36)</f>
        <v>780000</v>
      </c>
      <c r="Q14" s="54">
        <f>IF($C14="","",IF('Chấm công'!AR15=0,'Cài đặt'!$D$37,0))</f>
        <v>300000</v>
      </c>
      <c r="R14" s="59">
        <f t="shared" si="1"/>
        <v>8955000</v>
      </c>
      <c r="S14" s="54">
        <f>IF($C14="","",ROUND(L14*'Cài đặt'!$D$38,0))</f>
        <v>682500</v>
      </c>
      <c r="T14" s="62"/>
      <c r="U14" s="66">
        <f t="shared" si="2"/>
        <v>8272500</v>
      </c>
      <c r="V14" s="68"/>
    </row>
    <row r="15" ht="21.0" customHeight="1">
      <c r="A15" s="29">
        <v>9.0</v>
      </c>
      <c r="B15" s="34" t="str">
        <f>IF('Chấm công'!$C16="","",'Chấm công'!$B16&amp;"")</f>
        <v>VS009</v>
      </c>
      <c r="C15" s="35" t="str">
        <f>IF('Chấm công'!$C16="","",'Chấm công'!$C16)</f>
        <v>Ngô Văn Dũng</v>
      </c>
      <c r="D15" s="36" t="str">
        <f>IF('Chấm công'!$C16="","",'Chấm công'!$D16&amp;"")</f>
        <v>Thang máy – kính</v>
      </c>
      <c r="E15" s="39">
        <f>IF($C15="","",SUM('Chấm công'!AJ16:AN16))</f>
        <v>26</v>
      </c>
      <c r="F15" s="39">
        <f>IF($C15="","",'Chấm công'!AO16+'Chấm công'!AP16)</f>
        <v>0</v>
      </c>
      <c r="G15" s="39">
        <f>IF($C15="","",'Chấm công'!AQ16+'Chấm công'!AR16)</f>
        <v>0</v>
      </c>
      <c r="H15" s="50">
        <f>IF($C15="","",'Chấm công'!AV16)</f>
        <v>26</v>
      </c>
      <c r="I15" s="39">
        <f>IF($C15="","",'Chấm công'!AW16)</f>
        <v>8</v>
      </c>
      <c r="J15" s="39">
        <f>IF($C15="","",'Chấm công'!AT16)</f>
        <v>40</v>
      </c>
      <c r="K15" s="39">
        <f>IF($C15="","",'Chấm công'!AU16)</f>
        <v>0</v>
      </c>
      <c r="L15" s="54">
        <f>IF($C15="","",ROUND(H15*'Cài đặt'!$D$32,0))</f>
        <v>6500000</v>
      </c>
      <c r="M15" s="54">
        <f>IF($C15="","",ROUND(I15*('Cài đặt'!$D$32/'Cài đặt'!$D$12)*('Cài đặt'!$D$33-1),0))</f>
        <v>125000</v>
      </c>
      <c r="N15" s="54">
        <f>IF($C15="","",ROUND(J15*('Cài đặt'!$D$32/'Cài đặt'!$D$12)*('Cài đặt'!$D$34-1),0))</f>
        <v>1250000</v>
      </c>
      <c r="O15" s="54">
        <f>IF($C15="","",ROUND(K15*('Cài đặt'!$D$32/'Cài đặt'!$D$12)*('Cài đặt'!$D$35-1),0))</f>
        <v>0</v>
      </c>
      <c r="P15" s="54">
        <f>IF($C15="","",E15*'Cài đặt'!$D$36)</f>
        <v>780000</v>
      </c>
      <c r="Q15" s="54">
        <f>IF($C15="","",IF('Chấm công'!AR16=0,'Cài đặt'!$D$37,0))</f>
        <v>300000</v>
      </c>
      <c r="R15" s="59">
        <f t="shared" si="1"/>
        <v>8955000</v>
      </c>
      <c r="S15" s="54">
        <f>IF($C15="","",ROUND(L15*'Cài đặt'!$D$38,0))</f>
        <v>682500</v>
      </c>
      <c r="T15" s="62"/>
      <c r="U15" s="66">
        <f t="shared" si="2"/>
        <v>8272500</v>
      </c>
      <c r="V15" s="68"/>
    </row>
    <row r="16" ht="21.0" customHeight="1">
      <c r="A16" s="29">
        <v>10.0</v>
      </c>
      <c r="B16" s="34" t="str">
        <f>IF('Chấm công'!$C17="","",'Chấm công'!$B17&amp;"")</f>
        <v>VS010</v>
      </c>
      <c r="C16" s="35" t="str">
        <f>IF('Chấm công'!$C17="","",'Chấm công'!$C17)</f>
        <v>Đặng Thị Hạnh</v>
      </c>
      <c r="D16" s="36" t="str">
        <f>IF('Chấm công'!$C17="","",'Chấm công'!$D17&amp;"")</f>
        <v>Tổ trưởng – kiểm tra</v>
      </c>
      <c r="E16" s="39">
        <f>IF($C16="","",SUM('Chấm công'!AJ17:AN17))</f>
        <v>26</v>
      </c>
      <c r="F16" s="39">
        <f>IF($C16="","",'Chấm công'!AO17+'Chấm công'!AP17)</f>
        <v>0</v>
      </c>
      <c r="G16" s="39">
        <f>IF($C16="","",'Chấm công'!AQ17+'Chấm công'!AR17)</f>
        <v>0</v>
      </c>
      <c r="H16" s="50">
        <f>IF($C16="","",'Chấm công'!AV17)</f>
        <v>26</v>
      </c>
      <c r="I16" s="39">
        <f>IF($C16="","",'Chấm công'!AW17)</f>
        <v>8</v>
      </c>
      <c r="J16" s="39">
        <f>IF($C16="","",'Chấm công'!AT17)</f>
        <v>40</v>
      </c>
      <c r="K16" s="39">
        <f>IF($C16="","",'Chấm công'!AU17)</f>
        <v>0</v>
      </c>
      <c r="L16" s="54">
        <f>IF($C16="","",ROUND(H16*'Cài đặt'!$D$32,0))</f>
        <v>6500000</v>
      </c>
      <c r="M16" s="54">
        <f>IF($C16="","",ROUND(I16*('Cài đặt'!$D$32/'Cài đặt'!$D$12)*('Cài đặt'!$D$33-1),0))</f>
        <v>125000</v>
      </c>
      <c r="N16" s="54">
        <f>IF($C16="","",ROUND(J16*('Cài đặt'!$D$32/'Cài đặt'!$D$12)*('Cài đặt'!$D$34-1),0))</f>
        <v>1250000</v>
      </c>
      <c r="O16" s="54">
        <f>IF($C16="","",ROUND(K16*('Cài đặt'!$D$32/'Cài đặt'!$D$12)*('Cài đặt'!$D$35-1),0))</f>
        <v>0</v>
      </c>
      <c r="P16" s="54">
        <f>IF($C16="","",E16*'Cài đặt'!$D$36)</f>
        <v>780000</v>
      </c>
      <c r="Q16" s="54">
        <f>IF($C16="","",IF('Chấm công'!AR17=0,'Cài đặt'!$D$37,0))</f>
        <v>300000</v>
      </c>
      <c r="R16" s="59">
        <f t="shared" si="1"/>
        <v>8955000</v>
      </c>
      <c r="S16" s="54">
        <f>IF($C16="","",ROUND(L16*'Cài đặt'!$D$38,0))</f>
        <v>682500</v>
      </c>
      <c r="T16" s="62"/>
      <c r="U16" s="66">
        <f t="shared" si="2"/>
        <v>8272500</v>
      </c>
      <c r="V16" s="68"/>
    </row>
    <row r="17" ht="21.0" customHeight="1">
      <c r="A17" s="29">
        <v>11.0</v>
      </c>
      <c r="B17" s="34" t="str">
        <f>IF('Chấm công'!$C18="","",'Chấm công'!$B18&amp;"")</f>
        <v/>
      </c>
      <c r="C17" s="35" t="str">
        <f>IF('Chấm công'!$C18="","",'Chấm công'!$C18)</f>
        <v/>
      </c>
      <c r="D17" s="36" t="str">
        <f>IF('Chấm công'!$C18="","",'Chấm công'!$D18&amp;"")</f>
        <v/>
      </c>
      <c r="E17" s="39" t="str">
        <f>IF($C17="","",SUM('Chấm công'!AJ18:AN18))</f>
        <v/>
      </c>
      <c r="F17" s="39" t="str">
        <f>IF($C17="","",'Chấm công'!AO18+'Chấm công'!AP18)</f>
        <v/>
      </c>
      <c r="G17" s="39" t="str">
        <f>IF($C17="","",'Chấm công'!AQ18+'Chấm công'!AR18)</f>
        <v/>
      </c>
      <c r="H17" s="50" t="str">
        <f>IF($C17="","",'Chấm công'!AV18)</f>
        <v/>
      </c>
      <c r="I17" s="39" t="str">
        <f>IF($C17="","",'Chấm công'!AW18)</f>
        <v/>
      </c>
      <c r="J17" s="39" t="str">
        <f>IF($C17="","",'Chấm công'!AT18)</f>
        <v/>
      </c>
      <c r="K17" s="39" t="str">
        <f>IF($C17="","",'Chấm công'!AU18)</f>
        <v/>
      </c>
      <c r="L17" s="54" t="str">
        <f>IF($C17="","",ROUND(H17*'Cài đặt'!$D$32,0))</f>
        <v/>
      </c>
      <c r="M17" s="54" t="str">
        <f>IF($C17="","",ROUND(I17*('Cài đặt'!$D$32/'Cài đặt'!$D$12)*('Cài đặt'!$D$33-1),0))</f>
        <v/>
      </c>
      <c r="N17" s="54" t="str">
        <f>IF($C17="","",ROUND(J17*('Cài đặt'!$D$32/'Cài đặt'!$D$12)*('Cài đặt'!$D$34-1),0))</f>
        <v/>
      </c>
      <c r="O17" s="54" t="str">
        <f>IF($C17="","",ROUND(K17*('Cài đặt'!$D$32/'Cài đặt'!$D$12)*('Cài đặt'!$D$35-1),0))</f>
        <v/>
      </c>
      <c r="P17" s="54" t="str">
        <f>IF($C17="","",E17*'Cài đặt'!$D$36)</f>
        <v/>
      </c>
      <c r="Q17" s="54" t="str">
        <f>IF($C17="","",IF('Chấm công'!AR18=0,'Cài đặt'!$D$37,0))</f>
        <v/>
      </c>
      <c r="R17" s="59" t="str">
        <f t="shared" si="1"/>
        <v/>
      </c>
      <c r="S17" s="54" t="str">
        <f>IF($C17="","",ROUND(L17*'Cài đặt'!$D$38,0))</f>
        <v/>
      </c>
      <c r="T17" s="62"/>
      <c r="U17" s="66" t="str">
        <f t="shared" si="2"/>
        <v/>
      </c>
      <c r="V17" s="68"/>
    </row>
    <row r="18" ht="21.0" customHeight="1">
      <c r="A18" s="29">
        <v>12.0</v>
      </c>
      <c r="B18" s="34" t="str">
        <f>IF('Chấm công'!$C19="","",'Chấm công'!$B19&amp;"")</f>
        <v/>
      </c>
      <c r="C18" s="35" t="str">
        <f>IF('Chấm công'!$C19="","",'Chấm công'!$C19)</f>
        <v/>
      </c>
      <c r="D18" s="36" t="str">
        <f>IF('Chấm công'!$C19="","",'Chấm công'!$D19&amp;"")</f>
        <v/>
      </c>
      <c r="E18" s="39" t="str">
        <f>IF($C18="","",SUM('Chấm công'!AJ19:AN19))</f>
        <v/>
      </c>
      <c r="F18" s="39" t="str">
        <f>IF($C18="","",'Chấm công'!AO19+'Chấm công'!AP19)</f>
        <v/>
      </c>
      <c r="G18" s="39" t="str">
        <f>IF($C18="","",'Chấm công'!AQ19+'Chấm công'!AR19)</f>
        <v/>
      </c>
      <c r="H18" s="50" t="str">
        <f>IF($C18="","",'Chấm công'!AV19)</f>
        <v/>
      </c>
      <c r="I18" s="39" t="str">
        <f>IF($C18="","",'Chấm công'!AW19)</f>
        <v/>
      </c>
      <c r="J18" s="39" t="str">
        <f>IF($C18="","",'Chấm công'!AT19)</f>
        <v/>
      </c>
      <c r="K18" s="39" t="str">
        <f>IF($C18="","",'Chấm công'!AU19)</f>
        <v/>
      </c>
      <c r="L18" s="54" t="str">
        <f>IF($C18="","",ROUND(H18*'Cài đặt'!$D$32,0))</f>
        <v/>
      </c>
      <c r="M18" s="54" t="str">
        <f>IF($C18="","",ROUND(I18*('Cài đặt'!$D$32/'Cài đặt'!$D$12)*('Cài đặt'!$D$33-1),0))</f>
        <v/>
      </c>
      <c r="N18" s="54" t="str">
        <f>IF($C18="","",ROUND(J18*('Cài đặt'!$D$32/'Cài đặt'!$D$12)*('Cài đặt'!$D$34-1),0))</f>
        <v/>
      </c>
      <c r="O18" s="54" t="str">
        <f>IF($C18="","",ROUND(K18*('Cài đặt'!$D$32/'Cài đặt'!$D$12)*('Cài đặt'!$D$35-1),0))</f>
        <v/>
      </c>
      <c r="P18" s="54" t="str">
        <f>IF($C18="","",E18*'Cài đặt'!$D$36)</f>
        <v/>
      </c>
      <c r="Q18" s="54" t="str">
        <f>IF($C18="","",IF('Chấm công'!AR19=0,'Cài đặt'!$D$37,0))</f>
        <v/>
      </c>
      <c r="R18" s="59" t="str">
        <f t="shared" si="1"/>
        <v/>
      </c>
      <c r="S18" s="54" t="str">
        <f>IF($C18="","",ROUND(L18*'Cài đặt'!$D$38,0))</f>
        <v/>
      </c>
      <c r="T18" s="62"/>
      <c r="U18" s="66" t="str">
        <f t="shared" si="2"/>
        <v/>
      </c>
      <c r="V18" s="68"/>
    </row>
    <row r="19" ht="21.0" customHeight="1">
      <c r="A19" s="29">
        <v>13.0</v>
      </c>
      <c r="B19" s="34" t="str">
        <f>IF('Chấm công'!$C20="","",'Chấm công'!$B20&amp;"")</f>
        <v/>
      </c>
      <c r="C19" s="35" t="str">
        <f>IF('Chấm công'!$C20="","",'Chấm công'!$C20)</f>
        <v/>
      </c>
      <c r="D19" s="36" t="str">
        <f>IF('Chấm công'!$C20="","",'Chấm công'!$D20&amp;"")</f>
        <v/>
      </c>
      <c r="E19" s="39" t="str">
        <f>IF($C19="","",SUM('Chấm công'!AJ20:AN20))</f>
        <v/>
      </c>
      <c r="F19" s="39" t="str">
        <f>IF($C19="","",'Chấm công'!AO20+'Chấm công'!AP20)</f>
        <v/>
      </c>
      <c r="G19" s="39" t="str">
        <f>IF($C19="","",'Chấm công'!AQ20+'Chấm công'!AR20)</f>
        <v/>
      </c>
      <c r="H19" s="50" t="str">
        <f>IF($C19="","",'Chấm công'!AV20)</f>
        <v/>
      </c>
      <c r="I19" s="39" t="str">
        <f>IF($C19="","",'Chấm công'!AW20)</f>
        <v/>
      </c>
      <c r="J19" s="39" t="str">
        <f>IF($C19="","",'Chấm công'!AT20)</f>
        <v/>
      </c>
      <c r="K19" s="39" t="str">
        <f>IF($C19="","",'Chấm công'!AU20)</f>
        <v/>
      </c>
      <c r="L19" s="54" t="str">
        <f>IF($C19="","",ROUND(H19*'Cài đặt'!$D$32,0))</f>
        <v/>
      </c>
      <c r="M19" s="54" t="str">
        <f>IF($C19="","",ROUND(I19*('Cài đặt'!$D$32/'Cài đặt'!$D$12)*('Cài đặt'!$D$33-1),0))</f>
        <v/>
      </c>
      <c r="N19" s="54" t="str">
        <f>IF($C19="","",ROUND(J19*('Cài đặt'!$D$32/'Cài đặt'!$D$12)*('Cài đặt'!$D$34-1),0))</f>
        <v/>
      </c>
      <c r="O19" s="54" t="str">
        <f>IF($C19="","",ROUND(K19*('Cài đặt'!$D$32/'Cài đặt'!$D$12)*('Cài đặt'!$D$35-1),0))</f>
        <v/>
      </c>
      <c r="P19" s="54" t="str">
        <f>IF($C19="","",E19*'Cài đặt'!$D$36)</f>
        <v/>
      </c>
      <c r="Q19" s="54" t="str">
        <f>IF($C19="","",IF('Chấm công'!AR20=0,'Cài đặt'!$D$37,0))</f>
        <v/>
      </c>
      <c r="R19" s="59" t="str">
        <f t="shared" si="1"/>
        <v/>
      </c>
      <c r="S19" s="54" t="str">
        <f>IF($C19="","",ROUND(L19*'Cài đặt'!$D$38,0))</f>
        <v/>
      </c>
      <c r="T19" s="62"/>
      <c r="U19" s="66" t="str">
        <f t="shared" si="2"/>
        <v/>
      </c>
      <c r="V19" s="68"/>
    </row>
    <row r="20" ht="21.0" customHeight="1">
      <c r="A20" s="29">
        <v>14.0</v>
      </c>
      <c r="B20" s="34" t="str">
        <f>IF('Chấm công'!$C21="","",'Chấm công'!$B21&amp;"")</f>
        <v/>
      </c>
      <c r="C20" s="35" t="str">
        <f>IF('Chấm công'!$C21="","",'Chấm công'!$C21)</f>
        <v/>
      </c>
      <c r="D20" s="36" t="str">
        <f>IF('Chấm công'!$C21="","",'Chấm công'!$D21&amp;"")</f>
        <v/>
      </c>
      <c r="E20" s="39" t="str">
        <f>IF($C20="","",SUM('Chấm công'!AJ21:AN21))</f>
        <v/>
      </c>
      <c r="F20" s="39" t="str">
        <f>IF($C20="","",'Chấm công'!AO21+'Chấm công'!AP21)</f>
        <v/>
      </c>
      <c r="G20" s="39" t="str">
        <f>IF($C20="","",'Chấm công'!AQ21+'Chấm công'!AR21)</f>
        <v/>
      </c>
      <c r="H20" s="50" t="str">
        <f>IF($C20="","",'Chấm công'!AV21)</f>
        <v/>
      </c>
      <c r="I20" s="39" t="str">
        <f>IF($C20="","",'Chấm công'!AW21)</f>
        <v/>
      </c>
      <c r="J20" s="39" t="str">
        <f>IF($C20="","",'Chấm công'!AT21)</f>
        <v/>
      </c>
      <c r="K20" s="39" t="str">
        <f>IF($C20="","",'Chấm công'!AU21)</f>
        <v/>
      </c>
      <c r="L20" s="54" t="str">
        <f>IF($C20="","",ROUND(H20*'Cài đặt'!$D$32,0))</f>
        <v/>
      </c>
      <c r="M20" s="54" t="str">
        <f>IF($C20="","",ROUND(I20*('Cài đặt'!$D$32/'Cài đặt'!$D$12)*('Cài đặt'!$D$33-1),0))</f>
        <v/>
      </c>
      <c r="N20" s="54" t="str">
        <f>IF($C20="","",ROUND(J20*('Cài đặt'!$D$32/'Cài đặt'!$D$12)*('Cài đặt'!$D$34-1),0))</f>
        <v/>
      </c>
      <c r="O20" s="54" t="str">
        <f>IF($C20="","",ROUND(K20*('Cài đặt'!$D$32/'Cài đặt'!$D$12)*('Cài đặt'!$D$35-1),0))</f>
        <v/>
      </c>
      <c r="P20" s="54" t="str">
        <f>IF($C20="","",E20*'Cài đặt'!$D$36)</f>
        <v/>
      </c>
      <c r="Q20" s="54" t="str">
        <f>IF($C20="","",IF('Chấm công'!AR21=0,'Cài đặt'!$D$37,0))</f>
        <v/>
      </c>
      <c r="R20" s="59" t="str">
        <f t="shared" si="1"/>
        <v/>
      </c>
      <c r="S20" s="54" t="str">
        <f>IF($C20="","",ROUND(L20*'Cài đặt'!$D$38,0))</f>
        <v/>
      </c>
      <c r="T20" s="62"/>
      <c r="U20" s="66" t="str">
        <f t="shared" si="2"/>
        <v/>
      </c>
      <c r="V20" s="68"/>
    </row>
    <row r="21" ht="21.0" customHeight="1">
      <c r="A21" s="29">
        <v>15.0</v>
      </c>
      <c r="B21" s="34" t="str">
        <f>IF('Chấm công'!$C22="","",'Chấm công'!$B22&amp;"")</f>
        <v/>
      </c>
      <c r="C21" s="35" t="str">
        <f>IF('Chấm công'!$C22="","",'Chấm công'!$C22)</f>
        <v/>
      </c>
      <c r="D21" s="36" t="str">
        <f>IF('Chấm công'!$C22="","",'Chấm công'!$D22&amp;"")</f>
        <v/>
      </c>
      <c r="E21" s="39" t="str">
        <f>IF($C21="","",SUM('Chấm công'!AJ22:AN22))</f>
        <v/>
      </c>
      <c r="F21" s="39" t="str">
        <f>IF($C21="","",'Chấm công'!AO22+'Chấm công'!AP22)</f>
        <v/>
      </c>
      <c r="G21" s="39" t="str">
        <f>IF($C21="","",'Chấm công'!AQ22+'Chấm công'!AR22)</f>
        <v/>
      </c>
      <c r="H21" s="50" t="str">
        <f>IF($C21="","",'Chấm công'!AV22)</f>
        <v/>
      </c>
      <c r="I21" s="39" t="str">
        <f>IF($C21="","",'Chấm công'!AW22)</f>
        <v/>
      </c>
      <c r="J21" s="39" t="str">
        <f>IF($C21="","",'Chấm công'!AT22)</f>
        <v/>
      </c>
      <c r="K21" s="39" t="str">
        <f>IF($C21="","",'Chấm công'!AU22)</f>
        <v/>
      </c>
      <c r="L21" s="54" t="str">
        <f>IF($C21="","",ROUND(H21*'Cài đặt'!$D$32,0))</f>
        <v/>
      </c>
      <c r="M21" s="54" t="str">
        <f>IF($C21="","",ROUND(I21*('Cài đặt'!$D$32/'Cài đặt'!$D$12)*('Cài đặt'!$D$33-1),0))</f>
        <v/>
      </c>
      <c r="N21" s="54" t="str">
        <f>IF($C21="","",ROUND(J21*('Cài đặt'!$D$32/'Cài đặt'!$D$12)*('Cài đặt'!$D$34-1),0))</f>
        <v/>
      </c>
      <c r="O21" s="54" t="str">
        <f>IF($C21="","",ROUND(K21*('Cài đặt'!$D$32/'Cài đặt'!$D$12)*('Cài đặt'!$D$35-1),0))</f>
        <v/>
      </c>
      <c r="P21" s="54" t="str">
        <f>IF($C21="","",E21*'Cài đặt'!$D$36)</f>
        <v/>
      </c>
      <c r="Q21" s="54" t="str">
        <f>IF($C21="","",IF('Chấm công'!AR22=0,'Cài đặt'!$D$37,0))</f>
        <v/>
      </c>
      <c r="R21" s="59" t="str">
        <f t="shared" si="1"/>
        <v/>
      </c>
      <c r="S21" s="54" t="str">
        <f>IF($C21="","",ROUND(L21*'Cài đặt'!$D$38,0))</f>
        <v/>
      </c>
      <c r="T21" s="62"/>
      <c r="U21" s="66" t="str">
        <f t="shared" si="2"/>
        <v/>
      </c>
      <c r="V21" s="68"/>
    </row>
    <row r="22" ht="21.0" customHeight="1">
      <c r="A22" s="29">
        <v>16.0</v>
      </c>
      <c r="B22" s="34" t="str">
        <f>IF('Chấm công'!$C23="","",'Chấm công'!$B23&amp;"")</f>
        <v/>
      </c>
      <c r="C22" s="35" t="str">
        <f>IF('Chấm công'!$C23="","",'Chấm công'!$C23)</f>
        <v/>
      </c>
      <c r="D22" s="36" t="str">
        <f>IF('Chấm công'!$C23="","",'Chấm công'!$D23&amp;"")</f>
        <v/>
      </c>
      <c r="E22" s="39" t="str">
        <f>IF($C22="","",SUM('Chấm công'!AJ23:AN23))</f>
        <v/>
      </c>
      <c r="F22" s="39" t="str">
        <f>IF($C22="","",'Chấm công'!AO23+'Chấm công'!AP23)</f>
        <v/>
      </c>
      <c r="G22" s="39" t="str">
        <f>IF($C22="","",'Chấm công'!AQ23+'Chấm công'!AR23)</f>
        <v/>
      </c>
      <c r="H22" s="50" t="str">
        <f>IF($C22="","",'Chấm công'!AV23)</f>
        <v/>
      </c>
      <c r="I22" s="39" t="str">
        <f>IF($C22="","",'Chấm công'!AW23)</f>
        <v/>
      </c>
      <c r="J22" s="39" t="str">
        <f>IF($C22="","",'Chấm công'!AT23)</f>
        <v/>
      </c>
      <c r="K22" s="39" t="str">
        <f>IF($C22="","",'Chấm công'!AU23)</f>
        <v/>
      </c>
      <c r="L22" s="54" t="str">
        <f>IF($C22="","",ROUND(H22*'Cài đặt'!$D$32,0))</f>
        <v/>
      </c>
      <c r="M22" s="54" t="str">
        <f>IF($C22="","",ROUND(I22*('Cài đặt'!$D$32/'Cài đặt'!$D$12)*('Cài đặt'!$D$33-1),0))</f>
        <v/>
      </c>
      <c r="N22" s="54" t="str">
        <f>IF($C22="","",ROUND(J22*('Cài đặt'!$D$32/'Cài đặt'!$D$12)*('Cài đặt'!$D$34-1),0))</f>
        <v/>
      </c>
      <c r="O22" s="54" t="str">
        <f>IF($C22="","",ROUND(K22*('Cài đặt'!$D$32/'Cài đặt'!$D$12)*('Cài đặt'!$D$35-1),0))</f>
        <v/>
      </c>
      <c r="P22" s="54" t="str">
        <f>IF($C22="","",E22*'Cài đặt'!$D$36)</f>
        <v/>
      </c>
      <c r="Q22" s="54" t="str">
        <f>IF($C22="","",IF('Chấm công'!AR23=0,'Cài đặt'!$D$37,0))</f>
        <v/>
      </c>
      <c r="R22" s="59" t="str">
        <f t="shared" si="1"/>
        <v/>
      </c>
      <c r="S22" s="54" t="str">
        <f>IF($C22="","",ROUND(L22*'Cài đặt'!$D$38,0))</f>
        <v/>
      </c>
      <c r="T22" s="62"/>
      <c r="U22" s="66" t="str">
        <f t="shared" si="2"/>
        <v/>
      </c>
      <c r="V22" s="68"/>
    </row>
    <row r="23" ht="21.0" customHeight="1">
      <c r="A23" s="29">
        <v>17.0</v>
      </c>
      <c r="B23" s="34" t="str">
        <f>IF('Chấm công'!$C24="","",'Chấm công'!$B24&amp;"")</f>
        <v/>
      </c>
      <c r="C23" s="35" t="str">
        <f>IF('Chấm công'!$C24="","",'Chấm công'!$C24)</f>
        <v/>
      </c>
      <c r="D23" s="36" t="str">
        <f>IF('Chấm công'!$C24="","",'Chấm công'!$D24&amp;"")</f>
        <v/>
      </c>
      <c r="E23" s="39" t="str">
        <f>IF($C23="","",SUM('Chấm công'!AJ24:AN24))</f>
        <v/>
      </c>
      <c r="F23" s="39" t="str">
        <f>IF($C23="","",'Chấm công'!AO24+'Chấm công'!AP24)</f>
        <v/>
      </c>
      <c r="G23" s="39" t="str">
        <f>IF($C23="","",'Chấm công'!AQ24+'Chấm công'!AR24)</f>
        <v/>
      </c>
      <c r="H23" s="50" t="str">
        <f>IF($C23="","",'Chấm công'!AV24)</f>
        <v/>
      </c>
      <c r="I23" s="39" t="str">
        <f>IF($C23="","",'Chấm công'!AW24)</f>
        <v/>
      </c>
      <c r="J23" s="39" t="str">
        <f>IF($C23="","",'Chấm công'!AT24)</f>
        <v/>
      </c>
      <c r="K23" s="39" t="str">
        <f>IF($C23="","",'Chấm công'!AU24)</f>
        <v/>
      </c>
      <c r="L23" s="54" t="str">
        <f>IF($C23="","",ROUND(H23*'Cài đặt'!$D$32,0))</f>
        <v/>
      </c>
      <c r="M23" s="54" t="str">
        <f>IF($C23="","",ROUND(I23*('Cài đặt'!$D$32/'Cài đặt'!$D$12)*('Cài đặt'!$D$33-1),0))</f>
        <v/>
      </c>
      <c r="N23" s="54" t="str">
        <f>IF($C23="","",ROUND(J23*('Cài đặt'!$D$32/'Cài đặt'!$D$12)*('Cài đặt'!$D$34-1),0))</f>
        <v/>
      </c>
      <c r="O23" s="54" t="str">
        <f>IF($C23="","",ROUND(K23*('Cài đặt'!$D$32/'Cài đặt'!$D$12)*('Cài đặt'!$D$35-1),0))</f>
        <v/>
      </c>
      <c r="P23" s="54" t="str">
        <f>IF($C23="","",E23*'Cài đặt'!$D$36)</f>
        <v/>
      </c>
      <c r="Q23" s="54" t="str">
        <f>IF($C23="","",IF('Chấm công'!AR24=0,'Cài đặt'!$D$37,0))</f>
        <v/>
      </c>
      <c r="R23" s="59" t="str">
        <f t="shared" si="1"/>
        <v/>
      </c>
      <c r="S23" s="54" t="str">
        <f>IF($C23="","",ROUND(L23*'Cài đặt'!$D$38,0))</f>
        <v/>
      </c>
      <c r="T23" s="62"/>
      <c r="U23" s="66" t="str">
        <f t="shared" si="2"/>
        <v/>
      </c>
      <c r="V23" s="68"/>
    </row>
    <row r="24" ht="21.0" customHeight="1">
      <c r="A24" s="29">
        <v>18.0</v>
      </c>
      <c r="B24" s="34" t="str">
        <f>IF('Chấm công'!$C25="","",'Chấm công'!$B25&amp;"")</f>
        <v/>
      </c>
      <c r="C24" s="35" t="str">
        <f>IF('Chấm công'!$C25="","",'Chấm công'!$C25)</f>
        <v/>
      </c>
      <c r="D24" s="36" t="str">
        <f>IF('Chấm công'!$C25="","",'Chấm công'!$D25&amp;"")</f>
        <v/>
      </c>
      <c r="E24" s="39" t="str">
        <f>IF($C24="","",SUM('Chấm công'!AJ25:AN25))</f>
        <v/>
      </c>
      <c r="F24" s="39" t="str">
        <f>IF($C24="","",'Chấm công'!AO25+'Chấm công'!AP25)</f>
        <v/>
      </c>
      <c r="G24" s="39" t="str">
        <f>IF($C24="","",'Chấm công'!AQ25+'Chấm công'!AR25)</f>
        <v/>
      </c>
      <c r="H24" s="50" t="str">
        <f>IF($C24="","",'Chấm công'!AV25)</f>
        <v/>
      </c>
      <c r="I24" s="39" t="str">
        <f>IF($C24="","",'Chấm công'!AW25)</f>
        <v/>
      </c>
      <c r="J24" s="39" t="str">
        <f>IF($C24="","",'Chấm công'!AT25)</f>
        <v/>
      </c>
      <c r="K24" s="39" t="str">
        <f>IF($C24="","",'Chấm công'!AU25)</f>
        <v/>
      </c>
      <c r="L24" s="54" t="str">
        <f>IF($C24="","",ROUND(H24*'Cài đặt'!$D$32,0))</f>
        <v/>
      </c>
      <c r="M24" s="54" t="str">
        <f>IF($C24="","",ROUND(I24*('Cài đặt'!$D$32/'Cài đặt'!$D$12)*('Cài đặt'!$D$33-1),0))</f>
        <v/>
      </c>
      <c r="N24" s="54" t="str">
        <f>IF($C24="","",ROUND(J24*('Cài đặt'!$D$32/'Cài đặt'!$D$12)*('Cài đặt'!$D$34-1),0))</f>
        <v/>
      </c>
      <c r="O24" s="54" t="str">
        <f>IF($C24="","",ROUND(K24*('Cài đặt'!$D$32/'Cài đặt'!$D$12)*('Cài đặt'!$D$35-1),0))</f>
        <v/>
      </c>
      <c r="P24" s="54" t="str">
        <f>IF($C24="","",E24*'Cài đặt'!$D$36)</f>
        <v/>
      </c>
      <c r="Q24" s="54" t="str">
        <f>IF($C24="","",IF('Chấm công'!AR25=0,'Cài đặt'!$D$37,0))</f>
        <v/>
      </c>
      <c r="R24" s="59" t="str">
        <f t="shared" si="1"/>
        <v/>
      </c>
      <c r="S24" s="54" t="str">
        <f>IF($C24="","",ROUND(L24*'Cài đặt'!$D$38,0))</f>
        <v/>
      </c>
      <c r="T24" s="62"/>
      <c r="U24" s="66" t="str">
        <f t="shared" si="2"/>
        <v/>
      </c>
      <c r="V24" s="68"/>
    </row>
    <row r="25" ht="21.0" customHeight="1">
      <c r="A25" s="29">
        <v>19.0</v>
      </c>
      <c r="B25" s="34" t="str">
        <f>IF('Chấm công'!$C26="","",'Chấm công'!$B26&amp;"")</f>
        <v/>
      </c>
      <c r="C25" s="35" t="str">
        <f>IF('Chấm công'!$C26="","",'Chấm công'!$C26)</f>
        <v/>
      </c>
      <c r="D25" s="36" t="str">
        <f>IF('Chấm công'!$C26="","",'Chấm công'!$D26&amp;"")</f>
        <v/>
      </c>
      <c r="E25" s="39" t="str">
        <f>IF($C25="","",SUM('Chấm công'!AJ26:AN26))</f>
        <v/>
      </c>
      <c r="F25" s="39" t="str">
        <f>IF($C25="","",'Chấm công'!AO26+'Chấm công'!AP26)</f>
        <v/>
      </c>
      <c r="G25" s="39" t="str">
        <f>IF($C25="","",'Chấm công'!AQ26+'Chấm công'!AR26)</f>
        <v/>
      </c>
      <c r="H25" s="50" t="str">
        <f>IF($C25="","",'Chấm công'!AV26)</f>
        <v/>
      </c>
      <c r="I25" s="39" t="str">
        <f>IF($C25="","",'Chấm công'!AW26)</f>
        <v/>
      </c>
      <c r="J25" s="39" t="str">
        <f>IF($C25="","",'Chấm công'!AT26)</f>
        <v/>
      </c>
      <c r="K25" s="39" t="str">
        <f>IF($C25="","",'Chấm công'!AU26)</f>
        <v/>
      </c>
      <c r="L25" s="54" t="str">
        <f>IF($C25="","",ROUND(H25*'Cài đặt'!$D$32,0))</f>
        <v/>
      </c>
      <c r="M25" s="54" t="str">
        <f>IF($C25="","",ROUND(I25*('Cài đặt'!$D$32/'Cài đặt'!$D$12)*('Cài đặt'!$D$33-1),0))</f>
        <v/>
      </c>
      <c r="N25" s="54" t="str">
        <f>IF($C25="","",ROUND(J25*('Cài đặt'!$D$32/'Cài đặt'!$D$12)*('Cài đặt'!$D$34-1),0))</f>
        <v/>
      </c>
      <c r="O25" s="54" t="str">
        <f>IF($C25="","",ROUND(K25*('Cài đặt'!$D$32/'Cài đặt'!$D$12)*('Cài đặt'!$D$35-1),0))</f>
        <v/>
      </c>
      <c r="P25" s="54" t="str">
        <f>IF($C25="","",E25*'Cài đặt'!$D$36)</f>
        <v/>
      </c>
      <c r="Q25" s="54" t="str">
        <f>IF($C25="","",IF('Chấm công'!AR26=0,'Cài đặt'!$D$37,0))</f>
        <v/>
      </c>
      <c r="R25" s="59" t="str">
        <f t="shared" si="1"/>
        <v/>
      </c>
      <c r="S25" s="54" t="str">
        <f>IF($C25="","",ROUND(L25*'Cài đặt'!$D$38,0))</f>
        <v/>
      </c>
      <c r="T25" s="62"/>
      <c r="U25" s="66" t="str">
        <f t="shared" si="2"/>
        <v/>
      </c>
      <c r="V25" s="68"/>
    </row>
    <row r="26" ht="21.0" customHeight="1">
      <c r="A26" s="29">
        <v>20.0</v>
      </c>
      <c r="B26" s="34" t="str">
        <f>IF('Chấm công'!$C27="","",'Chấm công'!$B27&amp;"")</f>
        <v/>
      </c>
      <c r="C26" s="35" t="str">
        <f>IF('Chấm công'!$C27="","",'Chấm công'!$C27)</f>
        <v/>
      </c>
      <c r="D26" s="36" t="str">
        <f>IF('Chấm công'!$C27="","",'Chấm công'!$D27&amp;"")</f>
        <v/>
      </c>
      <c r="E26" s="39" t="str">
        <f>IF($C26="","",SUM('Chấm công'!AJ27:AN27))</f>
        <v/>
      </c>
      <c r="F26" s="39" t="str">
        <f>IF($C26="","",'Chấm công'!AO27+'Chấm công'!AP27)</f>
        <v/>
      </c>
      <c r="G26" s="39" t="str">
        <f>IF($C26="","",'Chấm công'!AQ27+'Chấm công'!AR27)</f>
        <v/>
      </c>
      <c r="H26" s="50" t="str">
        <f>IF($C26="","",'Chấm công'!AV27)</f>
        <v/>
      </c>
      <c r="I26" s="39" t="str">
        <f>IF($C26="","",'Chấm công'!AW27)</f>
        <v/>
      </c>
      <c r="J26" s="39" t="str">
        <f>IF($C26="","",'Chấm công'!AT27)</f>
        <v/>
      </c>
      <c r="K26" s="39" t="str">
        <f>IF($C26="","",'Chấm công'!AU27)</f>
        <v/>
      </c>
      <c r="L26" s="54" t="str">
        <f>IF($C26="","",ROUND(H26*'Cài đặt'!$D$32,0))</f>
        <v/>
      </c>
      <c r="M26" s="54" t="str">
        <f>IF($C26="","",ROUND(I26*('Cài đặt'!$D$32/'Cài đặt'!$D$12)*('Cài đặt'!$D$33-1),0))</f>
        <v/>
      </c>
      <c r="N26" s="54" t="str">
        <f>IF($C26="","",ROUND(J26*('Cài đặt'!$D$32/'Cài đặt'!$D$12)*('Cài đặt'!$D$34-1),0))</f>
        <v/>
      </c>
      <c r="O26" s="54" t="str">
        <f>IF($C26="","",ROUND(K26*('Cài đặt'!$D$32/'Cài đặt'!$D$12)*('Cài đặt'!$D$35-1),0))</f>
        <v/>
      </c>
      <c r="P26" s="54" t="str">
        <f>IF($C26="","",E26*'Cài đặt'!$D$36)</f>
        <v/>
      </c>
      <c r="Q26" s="54" t="str">
        <f>IF($C26="","",IF('Chấm công'!AR27=0,'Cài đặt'!$D$37,0))</f>
        <v/>
      </c>
      <c r="R26" s="59" t="str">
        <f t="shared" si="1"/>
        <v/>
      </c>
      <c r="S26" s="54" t="str">
        <f>IF($C26="","",ROUND(L26*'Cài đặt'!$D$38,0))</f>
        <v/>
      </c>
      <c r="T26" s="62"/>
      <c r="U26" s="66" t="str">
        <f t="shared" si="2"/>
        <v/>
      </c>
      <c r="V26" s="68"/>
    </row>
    <row r="27" ht="21.0" customHeight="1">
      <c r="A27" s="29">
        <v>21.0</v>
      </c>
      <c r="B27" s="34" t="str">
        <f>IF('Chấm công'!$C28="","",'Chấm công'!$B28&amp;"")</f>
        <v/>
      </c>
      <c r="C27" s="35" t="str">
        <f>IF('Chấm công'!$C28="","",'Chấm công'!$C28)</f>
        <v/>
      </c>
      <c r="D27" s="36" t="str">
        <f>IF('Chấm công'!$C28="","",'Chấm công'!$D28&amp;"")</f>
        <v/>
      </c>
      <c r="E27" s="39" t="str">
        <f>IF($C27="","",SUM('Chấm công'!AJ28:AN28))</f>
        <v/>
      </c>
      <c r="F27" s="39" t="str">
        <f>IF($C27="","",'Chấm công'!AO28+'Chấm công'!AP28)</f>
        <v/>
      </c>
      <c r="G27" s="39" t="str">
        <f>IF($C27="","",'Chấm công'!AQ28+'Chấm công'!AR28)</f>
        <v/>
      </c>
      <c r="H27" s="50" t="str">
        <f>IF($C27="","",'Chấm công'!AV28)</f>
        <v/>
      </c>
      <c r="I27" s="39" t="str">
        <f>IF($C27="","",'Chấm công'!AW28)</f>
        <v/>
      </c>
      <c r="J27" s="39" t="str">
        <f>IF($C27="","",'Chấm công'!AT28)</f>
        <v/>
      </c>
      <c r="K27" s="39" t="str">
        <f>IF($C27="","",'Chấm công'!AU28)</f>
        <v/>
      </c>
      <c r="L27" s="54" t="str">
        <f>IF($C27="","",ROUND(H27*'Cài đặt'!$D$32,0))</f>
        <v/>
      </c>
      <c r="M27" s="54" t="str">
        <f>IF($C27="","",ROUND(I27*('Cài đặt'!$D$32/'Cài đặt'!$D$12)*('Cài đặt'!$D$33-1),0))</f>
        <v/>
      </c>
      <c r="N27" s="54" t="str">
        <f>IF($C27="","",ROUND(J27*('Cài đặt'!$D$32/'Cài đặt'!$D$12)*('Cài đặt'!$D$34-1),0))</f>
        <v/>
      </c>
      <c r="O27" s="54" t="str">
        <f>IF($C27="","",ROUND(K27*('Cài đặt'!$D$32/'Cài đặt'!$D$12)*('Cài đặt'!$D$35-1),0))</f>
        <v/>
      </c>
      <c r="P27" s="54" t="str">
        <f>IF($C27="","",E27*'Cài đặt'!$D$36)</f>
        <v/>
      </c>
      <c r="Q27" s="54" t="str">
        <f>IF($C27="","",IF('Chấm công'!AR28=0,'Cài đặt'!$D$37,0))</f>
        <v/>
      </c>
      <c r="R27" s="59" t="str">
        <f t="shared" si="1"/>
        <v/>
      </c>
      <c r="S27" s="54" t="str">
        <f>IF($C27="","",ROUND(L27*'Cài đặt'!$D$38,0))</f>
        <v/>
      </c>
      <c r="T27" s="62"/>
      <c r="U27" s="66" t="str">
        <f t="shared" si="2"/>
        <v/>
      </c>
      <c r="V27" s="68"/>
    </row>
    <row r="28" ht="21.0" customHeight="1">
      <c r="A28" s="29">
        <v>22.0</v>
      </c>
      <c r="B28" s="34" t="str">
        <f>IF('Chấm công'!$C29="","",'Chấm công'!$B29&amp;"")</f>
        <v/>
      </c>
      <c r="C28" s="35" t="str">
        <f>IF('Chấm công'!$C29="","",'Chấm công'!$C29)</f>
        <v/>
      </c>
      <c r="D28" s="36" t="str">
        <f>IF('Chấm công'!$C29="","",'Chấm công'!$D29&amp;"")</f>
        <v/>
      </c>
      <c r="E28" s="39" t="str">
        <f>IF($C28="","",SUM('Chấm công'!AJ29:AN29))</f>
        <v/>
      </c>
      <c r="F28" s="39" t="str">
        <f>IF($C28="","",'Chấm công'!AO29+'Chấm công'!AP29)</f>
        <v/>
      </c>
      <c r="G28" s="39" t="str">
        <f>IF($C28="","",'Chấm công'!AQ29+'Chấm công'!AR29)</f>
        <v/>
      </c>
      <c r="H28" s="50" t="str">
        <f>IF($C28="","",'Chấm công'!AV29)</f>
        <v/>
      </c>
      <c r="I28" s="39" t="str">
        <f>IF($C28="","",'Chấm công'!AW29)</f>
        <v/>
      </c>
      <c r="J28" s="39" t="str">
        <f>IF($C28="","",'Chấm công'!AT29)</f>
        <v/>
      </c>
      <c r="K28" s="39" t="str">
        <f>IF($C28="","",'Chấm công'!AU29)</f>
        <v/>
      </c>
      <c r="L28" s="54" t="str">
        <f>IF($C28="","",ROUND(H28*'Cài đặt'!$D$32,0))</f>
        <v/>
      </c>
      <c r="M28" s="54" t="str">
        <f>IF($C28="","",ROUND(I28*('Cài đặt'!$D$32/'Cài đặt'!$D$12)*('Cài đặt'!$D$33-1),0))</f>
        <v/>
      </c>
      <c r="N28" s="54" t="str">
        <f>IF($C28="","",ROUND(J28*('Cài đặt'!$D$32/'Cài đặt'!$D$12)*('Cài đặt'!$D$34-1),0))</f>
        <v/>
      </c>
      <c r="O28" s="54" t="str">
        <f>IF($C28="","",ROUND(K28*('Cài đặt'!$D$32/'Cài đặt'!$D$12)*('Cài đặt'!$D$35-1),0))</f>
        <v/>
      </c>
      <c r="P28" s="54" t="str">
        <f>IF($C28="","",E28*'Cài đặt'!$D$36)</f>
        <v/>
      </c>
      <c r="Q28" s="54" t="str">
        <f>IF($C28="","",IF('Chấm công'!AR29=0,'Cài đặt'!$D$37,0))</f>
        <v/>
      </c>
      <c r="R28" s="59" t="str">
        <f t="shared" si="1"/>
        <v/>
      </c>
      <c r="S28" s="54" t="str">
        <f>IF($C28="","",ROUND(L28*'Cài đặt'!$D$38,0))</f>
        <v/>
      </c>
      <c r="T28" s="62"/>
      <c r="U28" s="66" t="str">
        <f t="shared" si="2"/>
        <v/>
      </c>
      <c r="V28" s="68"/>
    </row>
    <row r="29" ht="21.0" customHeight="1">
      <c r="A29" s="29">
        <v>23.0</v>
      </c>
      <c r="B29" s="34" t="str">
        <f>IF('Chấm công'!$C30="","",'Chấm công'!$B30&amp;"")</f>
        <v/>
      </c>
      <c r="C29" s="35" t="str">
        <f>IF('Chấm công'!$C30="","",'Chấm công'!$C30)</f>
        <v/>
      </c>
      <c r="D29" s="36" t="str">
        <f>IF('Chấm công'!$C30="","",'Chấm công'!$D30&amp;"")</f>
        <v/>
      </c>
      <c r="E29" s="39" t="str">
        <f>IF($C29="","",SUM('Chấm công'!AJ30:AN30))</f>
        <v/>
      </c>
      <c r="F29" s="39" t="str">
        <f>IF($C29="","",'Chấm công'!AO30+'Chấm công'!AP30)</f>
        <v/>
      </c>
      <c r="G29" s="39" t="str">
        <f>IF($C29="","",'Chấm công'!AQ30+'Chấm công'!AR30)</f>
        <v/>
      </c>
      <c r="H29" s="50" t="str">
        <f>IF($C29="","",'Chấm công'!AV30)</f>
        <v/>
      </c>
      <c r="I29" s="39" t="str">
        <f>IF($C29="","",'Chấm công'!AW30)</f>
        <v/>
      </c>
      <c r="J29" s="39" t="str">
        <f>IF($C29="","",'Chấm công'!AT30)</f>
        <v/>
      </c>
      <c r="K29" s="39" t="str">
        <f>IF($C29="","",'Chấm công'!AU30)</f>
        <v/>
      </c>
      <c r="L29" s="54" t="str">
        <f>IF($C29="","",ROUND(H29*'Cài đặt'!$D$32,0))</f>
        <v/>
      </c>
      <c r="M29" s="54" t="str">
        <f>IF($C29="","",ROUND(I29*('Cài đặt'!$D$32/'Cài đặt'!$D$12)*('Cài đặt'!$D$33-1),0))</f>
        <v/>
      </c>
      <c r="N29" s="54" t="str">
        <f>IF($C29="","",ROUND(J29*('Cài đặt'!$D$32/'Cài đặt'!$D$12)*('Cài đặt'!$D$34-1),0))</f>
        <v/>
      </c>
      <c r="O29" s="54" t="str">
        <f>IF($C29="","",ROUND(K29*('Cài đặt'!$D$32/'Cài đặt'!$D$12)*('Cài đặt'!$D$35-1),0))</f>
        <v/>
      </c>
      <c r="P29" s="54" t="str">
        <f>IF($C29="","",E29*'Cài đặt'!$D$36)</f>
        <v/>
      </c>
      <c r="Q29" s="54" t="str">
        <f>IF($C29="","",IF('Chấm công'!AR30=0,'Cài đặt'!$D$37,0))</f>
        <v/>
      </c>
      <c r="R29" s="59" t="str">
        <f t="shared" si="1"/>
        <v/>
      </c>
      <c r="S29" s="54" t="str">
        <f>IF($C29="","",ROUND(L29*'Cài đặt'!$D$38,0))</f>
        <v/>
      </c>
      <c r="T29" s="62"/>
      <c r="U29" s="66" t="str">
        <f t="shared" si="2"/>
        <v/>
      </c>
      <c r="V29" s="68"/>
    </row>
    <row r="30" ht="21.0" customHeight="1">
      <c r="A30" s="29">
        <v>24.0</v>
      </c>
      <c r="B30" s="34" t="str">
        <f>IF('Chấm công'!$C31="","",'Chấm công'!$B31&amp;"")</f>
        <v/>
      </c>
      <c r="C30" s="35" t="str">
        <f>IF('Chấm công'!$C31="","",'Chấm công'!$C31)</f>
        <v/>
      </c>
      <c r="D30" s="36" t="str">
        <f>IF('Chấm công'!$C31="","",'Chấm công'!$D31&amp;"")</f>
        <v/>
      </c>
      <c r="E30" s="39" t="str">
        <f>IF($C30="","",SUM('Chấm công'!AJ31:AN31))</f>
        <v/>
      </c>
      <c r="F30" s="39" t="str">
        <f>IF($C30="","",'Chấm công'!AO31+'Chấm công'!AP31)</f>
        <v/>
      </c>
      <c r="G30" s="39" t="str">
        <f>IF($C30="","",'Chấm công'!AQ31+'Chấm công'!AR31)</f>
        <v/>
      </c>
      <c r="H30" s="50" t="str">
        <f>IF($C30="","",'Chấm công'!AV31)</f>
        <v/>
      </c>
      <c r="I30" s="39" t="str">
        <f>IF($C30="","",'Chấm công'!AW31)</f>
        <v/>
      </c>
      <c r="J30" s="39" t="str">
        <f>IF($C30="","",'Chấm công'!AT31)</f>
        <v/>
      </c>
      <c r="K30" s="39" t="str">
        <f>IF($C30="","",'Chấm công'!AU31)</f>
        <v/>
      </c>
      <c r="L30" s="54" t="str">
        <f>IF($C30="","",ROUND(H30*'Cài đặt'!$D$32,0))</f>
        <v/>
      </c>
      <c r="M30" s="54" t="str">
        <f>IF($C30="","",ROUND(I30*('Cài đặt'!$D$32/'Cài đặt'!$D$12)*('Cài đặt'!$D$33-1),0))</f>
        <v/>
      </c>
      <c r="N30" s="54" t="str">
        <f>IF($C30="","",ROUND(J30*('Cài đặt'!$D$32/'Cài đặt'!$D$12)*('Cài đặt'!$D$34-1),0))</f>
        <v/>
      </c>
      <c r="O30" s="54" t="str">
        <f>IF($C30="","",ROUND(K30*('Cài đặt'!$D$32/'Cài đặt'!$D$12)*('Cài đặt'!$D$35-1),0))</f>
        <v/>
      </c>
      <c r="P30" s="54" t="str">
        <f>IF($C30="","",E30*'Cài đặt'!$D$36)</f>
        <v/>
      </c>
      <c r="Q30" s="54" t="str">
        <f>IF($C30="","",IF('Chấm công'!AR31=0,'Cài đặt'!$D$37,0))</f>
        <v/>
      </c>
      <c r="R30" s="59" t="str">
        <f t="shared" si="1"/>
        <v/>
      </c>
      <c r="S30" s="54" t="str">
        <f>IF($C30="","",ROUND(L30*'Cài đặt'!$D$38,0))</f>
        <v/>
      </c>
      <c r="T30" s="62"/>
      <c r="U30" s="66" t="str">
        <f t="shared" si="2"/>
        <v/>
      </c>
      <c r="V30" s="68"/>
    </row>
    <row r="31" ht="21.0" customHeight="1">
      <c r="A31" s="29">
        <v>25.0</v>
      </c>
      <c r="B31" s="34" t="str">
        <f>IF('Chấm công'!$C32="","",'Chấm công'!$B32&amp;"")</f>
        <v/>
      </c>
      <c r="C31" s="35" t="str">
        <f>IF('Chấm công'!$C32="","",'Chấm công'!$C32)</f>
        <v/>
      </c>
      <c r="D31" s="36" t="str">
        <f>IF('Chấm công'!$C32="","",'Chấm công'!$D32&amp;"")</f>
        <v/>
      </c>
      <c r="E31" s="39" t="str">
        <f>IF($C31="","",SUM('Chấm công'!AJ32:AN32))</f>
        <v/>
      </c>
      <c r="F31" s="39" t="str">
        <f>IF($C31="","",'Chấm công'!AO32+'Chấm công'!AP32)</f>
        <v/>
      </c>
      <c r="G31" s="39" t="str">
        <f>IF($C31="","",'Chấm công'!AQ32+'Chấm công'!AR32)</f>
        <v/>
      </c>
      <c r="H31" s="50" t="str">
        <f>IF($C31="","",'Chấm công'!AV32)</f>
        <v/>
      </c>
      <c r="I31" s="39" t="str">
        <f>IF($C31="","",'Chấm công'!AW32)</f>
        <v/>
      </c>
      <c r="J31" s="39" t="str">
        <f>IF($C31="","",'Chấm công'!AT32)</f>
        <v/>
      </c>
      <c r="K31" s="39" t="str">
        <f>IF($C31="","",'Chấm công'!AU32)</f>
        <v/>
      </c>
      <c r="L31" s="54" t="str">
        <f>IF($C31="","",ROUND(H31*'Cài đặt'!$D$32,0))</f>
        <v/>
      </c>
      <c r="M31" s="54" t="str">
        <f>IF($C31="","",ROUND(I31*('Cài đặt'!$D$32/'Cài đặt'!$D$12)*('Cài đặt'!$D$33-1),0))</f>
        <v/>
      </c>
      <c r="N31" s="54" t="str">
        <f>IF($C31="","",ROUND(J31*('Cài đặt'!$D$32/'Cài đặt'!$D$12)*('Cài đặt'!$D$34-1),0))</f>
        <v/>
      </c>
      <c r="O31" s="54" t="str">
        <f>IF($C31="","",ROUND(K31*('Cài đặt'!$D$32/'Cài đặt'!$D$12)*('Cài đặt'!$D$35-1),0))</f>
        <v/>
      </c>
      <c r="P31" s="54" t="str">
        <f>IF($C31="","",E31*'Cài đặt'!$D$36)</f>
        <v/>
      </c>
      <c r="Q31" s="54" t="str">
        <f>IF($C31="","",IF('Chấm công'!AR32=0,'Cài đặt'!$D$37,0))</f>
        <v/>
      </c>
      <c r="R31" s="59" t="str">
        <f t="shared" si="1"/>
        <v/>
      </c>
      <c r="S31" s="54" t="str">
        <f>IF($C31="","",ROUND(L31*'Cài đặt'!$D$38,0))</f>
        <v/>
      </c>
      <c r="T31" s="62"/>
      <c r="U31" s="66" t="str">
        <f t="shared" si="2"/>
        <v/>
      </c>
      <c r="V31" s="68"/>
    </row>
    <row r="32" ht="21.0" customHeight="1">
      <c r="A32" s="29">
        <v>26.0</v>
      </c>
      <c r="B32" s="34" t="str">
        <f>IF('Chấm công'!$C33="","",'Chấm công'!$B33&amp;"")</f>
        <v/>
      </c>
      <c r="C32" s="35" t="str">
        <f>IF('Chấm công'!$C33="","",'Chấm công'!$C33)</f>
        <v/>
      </c>
      <c r="D32" s="36" t="str">
        <f>IF('Chấm công'!$C33="","",'Chấm công'!$D33&amp;"")</f>
        <v/>
      </c>
      <c r="E32" s="39" t="str">
        <f>IF($C32="","",SUM('Chấm công'!AJ33:AN33))</f>
        <v/>
      </c>
      <c r="F32" s="39" t="str">
        <f>IF($C32="","",'Chấm công'!AO33+'Chấm công'!AP33)</f>
        <v/>
      </c>
      <c r="G32" s="39" t="str">
        <f>IF($C32="","",'Chấm công'!AQ33+'Chấm công'!AR33)</f>
        <v/>
      </c>
      <c r="H32" s="50" t="str">
        <f>IF($C32="","",'Chấm công'!AV33)</f>
        <v/>
      </c>
      <c r="I32" s="39" t="str">
        <f>IF($C32="","",'Chấm công'!AW33)</f>
        <v/>
      </c>
      <c r="J32" s="39" t="str">
        <f>IF($C32="","",'Chấm công'!AT33)</f>
        <v/>
      </c>
      <c r="K32" s="39" t="str">
        <f>IF($C32="","",'Chấm công'!AU33)</f>
        <v/>
      </c>
      <c r="L32" s="54" t="str">
        <f>IF($C32="","",ROUND(H32*'Cài đặt'!$D$32,0))</f>
        <v/>
      </c>
      <c r="M32" s="54" t="str">
        <f>IF($C32="","",ROUND(I32*('Cài đặt'!$D$32/'Cài đặt'!$D$12)*('Cài đặt'!$D$33-1),0))</f>
        <v/>
      </c>
      <c r="N32" s="54" t="str">
        <f>IF($C32="","",ROUND(J32*('Cài đặt'!$D$32/'Cài đặt'!$D$12)*('Cài đặt'!$D$34-1),0))</f>
        <v/>
      </c>
      <c r="O32" s="54" t="str">
        <f>IF($C32="","",ROUND(K32*('Cài đặt'!$D$32/'Cài đặt'!$D$12)*('Cài đặt'!$D$35-1),0))</f>
        <v/>
      </c>
      <c r="P32" s="54" t="str">
        <f>IF($C32="","",E32*'Cài đặt'!$D$36)</f>
        <v/>
      </c>
      <c r="Q32" s="54" t="str">
        <f>IF($C32="","",IF('Chấm công'!AR33=0,'Cài đặt'!$D$37,0))</f>
        <v/>
      </c>
      <c r="R32" s="59" t="str">
        <f t="shared" si="1"/>
        <v/>
      </c>
      <c r="S32" s="54" t="str">
        <f>IF($C32="","",ROUND(L32*'Cài đặt'!$D$38,0))</f>
        <v/>
      </c>
      <c r="T32" s="62"/>
      <c r="U32" s="66" t="str">
        <f t="shared" si="2"/>
        <v/>
      </c>
      <c r="V32" s="68"/>
    </row>
    <row r="33" ht="21.0" customHeight="1">
      <c r="A33" s="29">
        <v>27.0</v>
      </c>
      <c r="B33" s="34" t="str">
        <f>IF('Chấm công'!$C34="","",'Chấm công'!$B34&amp;"")</f>
        <v/>
      </c>
      <c r="C33" s="35" t="str">
        <f>IF('Chấm công'!$C34="","",'Chấm công'!$C34)</f>
        <v/>
      </c>
      <c r="D33" s="36" t="str">
        <f>IF('Chấm công'!$C34="","",'Chấm công'!$D34&amp;"")</f>
        <v/>
      </c>
      <c r="E33" s="39" t="str">
        <f>IF($C33="","",SUM('Chấm công'!AJ34:AN34))</f>
        <v/>
      </c>
      <c r="F33" s="39" t="str">
        <f>IF($C33="","",'Chấm công'!AO34+'Chấm công'!AP34)</f>
        <v/>
      </c>
      <c r="G33" s="39" t="str">
        <f>IF($C33="","",'Chấm công'!AQ34+'Chấm công'!AR34)</f>
        <v/>
      </c>
      <c r="H33" s="50" t="str">
        <f>IF($C33="","",'Chấm công'!AV34)</f>
        <v/>
      </c>
      <c r="I33" s="39" t="str">
        <f>IF($C33="","",'Chấm công'!AW34)</f>
        <v/>
      </c>
      <c r="J33" s="39" t="str">
        <f>IF($C33="","",'Chấm công'!AT34)</f>
        <v/>
      </c>
      <c r="K33" s="39" t="str">
        <f>IF($C33="","",'Chấm công'!AU34)</f>
        <v/>
      </c>
      <c r="L33" s="54" t="str">
        <f>IF($C33="","",ROUND(H33*'Cài đặt'!$D$32,0))</f>
        <v/>
      </c>
      <c r="M33" s="54" t="str">
        <f>IF($C33="","",ROUND(I33*('Cài đặt'!$D$32/'Cài đặt'!$D$12)*('Cài đặt'!$D$33-1),0))</f>
        <v/>
      </c>
      <c r="N33" s="54" t="str">
        <f>IF($C33="","",ROUND(J33*('Cài đặt'!$D$32/'Cài đặt'!$D$12)*('Cài đặt'!$D$34-1),0))</f>
        <v/>
      </c>
      <c r="O33" s="54" t="str">
        <f>IF($C33="","",ROUND(K33*('Cài đặt'!$D$32/'Cài đặt'!$D$12)*('Cài đặt'!$D$35-1),0))</f>
        <v/>
      </c>
      <c r="P33" s="54" t="str">
        <f>IF($C33="","",E33*'Cài đặt'!$D$36)</f>
        <v/>
      </c>
      <c r="Q33" s="54" t="str">
        <f>IF($C33="","",IF('Chấm công'!AR34=0,'Cài đặt'!$D$37,0))</f>
        <v/>
      </c>
      <c r="R33" s="59" t="str">
        <f t="shared" si="1"/>
        <v/>
      </c>
      <c r="S33" s="54" t="str">
        <f>IF($C33="","",ROUND(L33*'Cài đặt'!$D$38,0))</f>
        <v/>
      </c>
      <c r="T33" s="62"/>
      <c r="U33" s="66" t="str">
        <f t="shared" si="2"/>
        <v/>
      </c>
      <c r="V33" s="68"/>
    </row>
    <row r="34" ht="21.0" customHeight="1">
      <c r="A34" s="29">
        <v>28.0</v>
      </c>
      <c r="B34" s="34" t="str">
        <f>IF('Chấm công'!$C35="","",'Chấm công'!$B35&amp;"")</f>
        <v/>
      </c>
      <c r="C34" s="35" t="str">
        <f>IF('Chấm công'!$C35="","",'Chấm công'!$C35)</f>
        <v/>
      </c>
      <c r="D34" s="36" t="str">
        <f>IF('Chấm công'!$C35="","",'Chấm công'!$D35&amp;"")</f>
        <v/>
      </c>
      <c r="E34" s="39" t="str">
        <f>IF($C34="","",SUM('Chấm công'!AJ35:AN35))</f>
        <v/>
      </c>
      <c r="F34" s="39" t="str">
        <f>IF($C34="","",'Chấm công'!AO35+'Chấm công'!AP35)</f>
        <v/>
      </c>
      <c r="G34" s="39" t="str">
        <f>IF($C34="","",'Chấm công'!AQ35+'Chấm công'!AR35)</f>
        <v/>
      </c>
      <c r="H34" s="50" t="str">
        <f>IF($C34="","",'Chấm công'!AV35)</f>
        <v/>
      </c>
      <c r="I34" s="39" t="str">
        <f>IF($C34="","",'Chấm công'!AW35)</f>
        <v/>
      </c>
      <c r="J34" s="39" t="str">
        <f>IF($C34="","",'Chấm công'!AT35)</f>
        <v/>
      </c>
      <c r="K34" s="39" t="str">
        <f>IF($C34="","",'Chấm công'!AU35)</f>
        <v/>
      </c>
      <c r="L34" s="54" t="str">
        <f>IF($C34="","",ROUND(H34*'Cài đặt'!$D$32,0))</f>
        <v/>
      </c>
      <c r="M34" s="54" t="str">
        <f>IF($C34="","",ROUND(I34*('Cài đặt'!$D$32/'Cài đặt'!$D$12)*('Cài đặt'!$D$33-1),0))</f>
        <v/>
      </c>
      <c r="N34" s="54" t="str">
        <f>IF($C34="","",ROUND(J34*('Cài đặt'!$D$32/'Cài đặt'!$D$12)*('Cài đặt'!$D$34-1),0))</f>
        <v/>
      </c>
      <c r="O34" s="54" t="str">
        <f>IF($C34="","",ROUND(K34*('Cài đặt'!$D$32/'Cài đặt'!$D$12)*('Cài đặt'!$D$35-1),0))</f>
        <v/>
      </c>
      <c r="P34" s="54" t="str">
        <f>IF($C34="","",E34*'Cài đặt'!$D$36)</f>
        <v/>
      </c>
      <c r="Q34" s="54" t="str">
        <f>IF($C34="","",IF('Chấm công'!AR35=0,'Cài đặt'!$D$37,0))</f>
        <v/>
      </c>
      <c r="R34" s="59" t="str">
        <f t="shared" si="1"/>
        <v/>
      </c>
      <c r="S34" s="54" t="str">
        <f>IF($C34="","",ROUND(L34*'Cài đặt'!$D$38,0))</f>
        <v/>
      </c>
      <c r="T34" s="62"/>
      <c r="U34" s="66" t="str">
        <f t="shared" si="2"/>
        <v/>
      </c>
      <c r="V34" s="68"/>
    </row>
    <row r="35" ht="21.0" customHeight="1">
      <c r="A35" s="29">
        <v>29.0</v>
      </c>
      <c r="B35" s="34" t="str">
        <f>IF('Chấm công'!$C36="","",'Chấm công'!$B36&amp;"")</f>
        <v/>
      </c>
      <c r="C35" s="35" t="str">
        <f>IF('Chấm công'!$C36="","",'Chấm công'!$C36)</f>
        <v/>
      </c>
      <c r="D35" s="36" t="str">
        <f>IF('Chấm công'!$C36="","",'Chấm công'!$D36&amp;"")</f>
        <v/>
      </c>
      <c r="E35" s="39" t="str">
        <f>IF($C35="","",SUM('Chấm công'!AJ36:AN36))</f>
        <v/>
      </c>
      <c r="F35" s="39" t="str">
        <f>IF($C35="","",'Chấm công'!AO36+'Chấm công'!AP36)</f>
        <v/>
      </c>
      <c r="G35" s="39" t="str">
        <f>IF($C35="","",'Chấm công'!AQ36+'Chấm công'!AR36)</f>
        <v/>
      </c>
      <c r="H35" s="50" t="str">
        <f>IF($C35="","",'Chấm công'!AV36)</f>
        <v/>
      </c>
      <c r="I35" s="39" t="str">
        <f>IF($C35="","",'Chấm công'!AW36)</f>
        <v/>
      </c>
      <c r="J35" s="39" t="str">
        <f>IF($C35="","",'Chấm công'!AT36)</f>
        <v/>
      </c>
      <c r="K35" s="39" t="str">
        <f>IF($C35="","",'Chấm công'!AU36)</f>
        <v/>
      </c>
      <c r="L35" s="54" t="str">
        <f>IF($C35="","",ROUND(H35*'Cài đặt'!$D$32,0))</f>
        <v/>
      </c>
      <c r="M35" s="54" t="str">
        <f>IF($C35="","",ROUND(I35*('Cài đặt'!$D$32/'Cài đặt'!$D$12)*('Cài đặt'!$D$33-1),0))</f>
        <v/>
      </c>
      <c r="N35" s="54" t="str">
        <f>IF($C35="","",ROUND(J35*('Cài đặt'!$D$32/'Cài đặt'!$D$12)*('Cài đặt'!$D$34-1),0))</f>
        <v/>
      </c>
      <c r="O35" s="54" t="str">
        <f>IF($C35="","",ROUND(K35*('Cài đặt'!$D$32/'Cài đặt'!$D$12)*('Cài đặt'!$D$35-1),0))</f>
        <v/>
      </c>
      <c r="P35" s="54" t="str">
        <f>IF($C35="","",E35*'Cài đặt'!$D$36)</f>
        <v/>
      </c>
      <c r="Q35" s="54" t="str">
        <f>IF($C35="","",IF('Chấm công'!AR36=0,'Cài đặt'!$D$37,0))</f>
        <v/>
      </c>
      <c r="R35" s="59" t="str">
        <f t="shared" si="1"/>
        <v/>
      </c>
      <c r="S35" s="54" t="str">
        <f>IF($C35="","",ROUND(L35*'Cài đặt'!$D$38,0))</f>
        <v/>
      </c>
      <c r="T35" s="62"/>
      <c r="U35" s="66" t="str">
        <f t="shared" si="2"/>
        <v/>
      </c>
      <c r="V35" s="68"/>
    </row>
    <row r="36" ht="21.0" customHeight="1">
      <c r="A36" s="29">
        <v>30.0</v>
      </c>
      <c r="B36" s="34" t="str">
        <f>IF('Chấm công'!$C37="","",'Chấm công'!$B37&amp;"")</f>
        <v/>
      </c>
      <c r="C36" s="35" t="str">
        <f>IF('Chấm công'!$C37="","",'Chấm công'!$C37)</f>
        <v/>
      </c>
      <c r="D36" s="36" t="str">
        <f>IF('Chấm công'!$C37="","",'Chấm công'!$D37&amp;"")</f>
        <v/>
      </c>
      <c r="E36" s="39" t="str">
        <f>IF($C36="","",SUM('Chấm công'!AJ37:AN37))</f>
        <v/>
      </c>
      <c r="F36" s="39" t="str">
        <f>IF($C36="","",'Chấm công'!AO37+'Chấm công'!AP37)</f>
        <v/>
      </c>
      <c r="G36" s="39" t="str">
        <f>IF($C36="","",'Chấm công'!AQ37+'Chấm công'!AR37)</f>
        <v/>
      </c>
      <c r="H36" s="50" t="str">
        <f>IF($C36="","",'Chấm công'!AV37)</f>
        <v/>
      </c>
      <c r="I36" s="39" t="str">
        <f>IF($C36="","",'Chấm công'!AW37)</f>
        <v/>
      </c>
      <c r="J36" s="39" t="str">
        <f>IF($C36="","",'Chấm công'!AT37)</f>
        <v/>
      </c>
      <c r="K36" s="39" t="str">
        <f>IF($C36="","",'Chấm công'!AU37)</f>
        <v/>
      </c>
      <c r="L36" s="54" t="str">
        <f>IF($C36="","",ROUND(H36*'Cài đặt'!$D$32,0))</f>
        <v/>
      </c>
      <c r="M36" s="54" t="str">
        <f>IF($C36="","",ROUND(I36*('Cài đặt'!$D$32/'Cài đặt'!$D$12)*('Cài đặt'!$D$33-1),0))</f>
        <v/>
      </c>
      <c r="N36" s="54" t="str">
        <f>IF($C36="","",ROUND(J36*('Cài đặt'!$D$32/'Cài đặt'!$D$12)*('Cài đặt'!$D$34-1),0))</f>
        <v/>
      </c>
      <c r="O36" s="54" t="str">
        <f>IF($C36="","",ROUND(K36*('Cài đặt'!$D$32/'Cài đặt'!$D$12)*('Cài đặt'!$D$35-1),0))</f>
        <v/>
      </c>
      <c r="P36" s="54" t="str">
        <f>IF($C36="","",E36*'Cài đặt'!$D$36)</f>
        <v/>
      </c>
      <c r="Q36" s="54" t="str">
        <f>IF($C36="","",IF('Chấm công'!AR37=0,'Cài đặt'!$D$37,0))</f>
        <v/>
      </c>
      <c r="R36" s="59" t="str">
        <f t="shared" si="1"/>
        <v/>
      </c>
      <c r="S36" s="54" t="str">
        <f>IF($C36="","",ROUND(L36*'Cài đặt'!$D$38,0))</f>
        <v/>
      </c>
      <c r="T36" s="62"/>
      <c r="U36" s="66" t="str">
        <f t="shared" si="2"/>
        <v/>
      </c>
      <c r="V36" s="68"/>
    </row>
    <row r="37" ht="24.0" customHeight="1">
      <c r="A37" s="83" t="s">
        <v>173</v>
      </c>
      <c r="B37" s="21"/>
      <c r="C37" s="21"/>
      <c r="D37" s="12"/>
      <c r="E37" s="84">
        <f t="shared" ref="E37:U37" si="3">SUM(E7:E36)</f>
        <v>254</v>
      </c>
      <c r="F37" s="84">
        <f t="shared" si="3"/>
        <v>2</v>
      </c>
      <c r="G37" s="84">
        <f t="shared" si="3"/>
        <v>2</v>
      </c>
      <c r="H37" s="84">
        <f t="shared" si="3"/>
        <v>243.5</v>
      </c>
      <c r="I37" s="84">
        <f t="shared" si="3"/>
        <v>40</v>
      </c>
      <c r="J37" s="84">
        <f t="shared" si="3"/>
        <v>360</v>
      </c>
      <c r="K37" s="84">
        <f t="shared" si="3"/>
        <v>0</v>
      </c>
      <c r="L37" s="66">
        <f t="shared" si="3"/>
        <v>60875000</v>
      </c>
      <c r="M37" s="66">
        <f t="shared" si="3"/>
        <v>625000</v>
      </c>
      <c r="N37" s="66">
        <f t="shared" si="3"/>
        <v>11250000</v>
      </c>
      <c r="O37" s="66">
        <f t="shared" si="3"/>
        <v>0</v>
      </c>
      <c r="P37" s="66">
        <f t="shared" si="3"/>
        <v>7620000</v>
      </c>
      <c r="Q37" s="66">
        <f t="shared" si="3"/>
        <v>2700000</v>
      </c>
      <c r="R37" s="66">
        <f t="shared" si="3"/>
        <v>83070000</v>
      </c>
      <c r="S37" s="66">
        <f t="shared" si="3"/>
        <v>6391875</v>
      </c>
      <c r="T37" s="66">
        <f t="shared" si="3"/>
        <v>0</v>
      </c>
      <c r="U37" s="66">
        <f t="shared" si="3"/>
        <v>76678125</v>
      </c>
      <c r="V37" s="34"/>
    </row>
    <row r="38" ht="15.75" customHeight="1">
      <c r="A38" s="80" t="s">
        <v>174</v>
      </c>
    </row>
    <row r="39" ht="15.75" customHeight="1"/>
    <row r="40" ht="15.75" customHeight="1">
      <c r="C40" s="81" t="s">
        <v>175</v>
      </c>
      <c r="H40" s="81" t="s">
        <v>176</v>
      </c>
      <c r="R40" s="81" t="s">
        <v>177</v>
      </c>
    </row>
    <row r="41" ht="15.75" customHeight="1">
      <c r="C41" s="82" t="s">
        <v>158</v>
      </c>
      <c r="H41" s="82" t="s">
        <v>158</v>
      </c>
      <c r="R41" s="82" t="s">
        <v>158</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L5:R5"/>
    <mergeCell ref="S5:U5"/>
    <mergeCell ref="A1:V1"/>
    <mergeCell ref="A2:V2"/>
    <mergeCell ref="A3:V3"/>
    <mergeCell ref="A5:A6"/>
    <mergeCell ref="B5:B6"/>
    <mergeCell ref="C5:C6"/>
    <mergeCell ref="D5:D6"/>
    <mergeCell ref="V5:V6"/>
    <mergeCell ref="H40:L40"/>
    <mergeCell ref="H41:L41"/>
    <mergeCell ref="E5:G5"/>
    <mergeCell ref="H5:K5"/>
    <mergeCell ref="A37:D37"/>
    <mergeCell ref="A38:V38"/>
    <mergeCell ref="C40:D40"/>
    <mergeCell ref="R40:U40"/>
    <mergeCell ref="C41:D41"/>
    <mergeCell ref="R41:U41"/>
  </mergeCells>
  <printOptions/>
  <pageMargins bottom="1.0" footer="0.0" header="0.0" left="0.3" right="0.3" top="1.0"/>
  <pageSetup paperSize="8"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BA74"/>
    <pageSetUpPr fitToPage="1"/>
  </sheetPr>
  <sheetViews>
    <sheetView showGridLines="0" workbookViewId="0">
      <pane ySplit="7.0" topLeftCell="A8" activePane="bottomLeft" state="frozen"/>
      <selection activeCell="B9" sqref="B9" pane="bottomLeft"/>
    </sheetView>
  </sheetViews>
  <sheetFormatPr customHeight="1" defaultColWidth="14.43" defaultRowHeight="15.0"/>
  <cols>
    <col customWidth="1" min="1" max="1" width="5.0"/>
    <col customWidth="1" min="2" max="2" width="12.0"/>
    <col customWidth="1" min="3" max="3" width="22.0"/>
    <col customWidth="1" min="4" max="4" width="20.0"/>
    <col customWidth="1" min="5" max="5" width="18.0"/>
    <col customWidth="1" min="6" max="12" width="9.0"/>
    <col customWidth="1" min="13" max="13" width="17.0"/>
    <col customWidth="1" min="14" max="14" width="36.0"/>
    <col customWidth="1" min="15" max="15" width="12.0"/>
    <col customWidth="1" min="16" max="16" width="14.0"/>
    <col customWidth="1" min="17" max="17" width="22.0"/>
    <col customWidth="1" min="18" max="26" width="8.71"/>
  </cols>
  <sheetData>
    <row r="1" ht="24.0" customHeight="1">
      <c r="A1" s="1" t="str">
        <f>'Cài đặt'!D5</f>
        <v>CÔNG TY TNHH DỊCH VỤ VỆ SINH MẪU</v>
      </c>
      <c r="B1" s="2"/>
      <c r="C1" s="2"/>
      <c r="D1" s="2"/>
      <c r="E1" s="2"/>
      <c r="F1" s="2"/>
      <c r="G1" s="2"/>
      <c r="H1" s="2"/>
      <c r="I1" s="2"/>
      <c r="J1" s="2"/>
      <c r="K1" s="2"/>
      <c r="L1" s="2"/>
      <c r="M1" s="2"/>
      <c r="N1" s="2"/>
      <c r="O1" s="2"/>
      <c r="P1" s="2"/>
      <c r="Q1" s="4"/>
    </row>
    <row r="2" ht="39.75" customHeight="1">
      <c r="A2" s="5" t="s">
        <v>5</v>
      </c>
    </row>
    <row r="3" ht="21.75" customHeight="1">
      <c r="A3" s="10" t="str">
        <f>"Tháng "&amp;'Cài đặt'!D7&amp;" năm "&amp;'Cài đặt'!D8&amp;"   |   Địa điểm: "&amp;'Cài đặt'!D6&amp;"   |   Thang điểm mỗi tiêu chí: 1–5"</f>
        <v>Tháng 11 năm 2026   |   Địa điểm: Tòa nhà văn phòng ABC – 123 Phố Huế, Hà Nội   |   Thang điểm mỗi tiêu chí: 1–5</v>
      </c>
    </row>
    <row r="4" ht="18.0" customHeight="1">
      <c r="A4" s="16" t="s">
        <v>10</v>
      </c>
      <c r="B4" s="2"/>
      <c r="C4" s="4"/>
      <c r="D4" s="16" t="s">
        <v>15</v>
      </c>
      <c r="E4" s="2"/>
      <c r="F4" s="4"/>
      <c r="G4" s="16" t="s">
        <v>18</v>
      </c>
      <c r="H4" s="2"/>
      <c r="I4" s="2"/>
      <c r="J4" s="2"/>
      <c r="K4" s="4"/>
      <c r="L4" s="16" t="s">
        <v>20</v>
      </c>
      <c r="M4" s="2"/>
      <c r="N4" s="4"/>
    </row>
    <row r="5" ht="30.0" customHeight="1">
      <c r="A5" s="23">
        <f>COUNT(K8:K57)</f>
        <v>6</v>
      </c>
      <c r="B5" s="21"/>
      <c r="C5" s="12"/>
      <c r="D5" s="31">
        <f>IFERROR(AVERAGE(L8:L57),"-")</f>
        <v>0.7533333333</v>
      </c>
      <c r="E5" s="21"/>
      <c r="F5" s="12"/>
      <c r="G5" s="23">
        <f>COUNTIF(M8:M57,"Tốt")+COUNTIF(M8:M57,"Khá")</f>
        <v>4</v>
      </c>
      <c r="H5" s="21"/>
      <c r="I5" s="21"/>
      <c r="J5" s="21"/>
      <c r="K5" s="12"/>
      <c r="L5" s="23">
        <f>COUNTIFS(M8:M57,"Cần khắc phục",P8:P57,"&lt;&gt;Đã xong")</f>
        <v>1</v>
      </c>
      <c r="M5" s="21"/>
      <c r="N5" s="12"/>
    </row>
    <row r="6" ht="7.5" customHeight="1"/>
    <row r="7" ht="39.75" customHeight="1">
      <c r="A7" s="40" t="s">
        <v>8</v>
      </c>
      <c r="B7" s="40" t="s">
        <v>61</v>
      </c>
      <c r="C7" s="40" t="s">
        <v>64</v>
      </c>
      <c r="D7" s="40" t="s">
        <v>66</v>
      </c>
      <c r="E7" s="40" t="s">
        <v>68</v>
      </c>
      <c r="F7" s="40" t="s">
        <v>69</v>
      </c>
      <c r="G7" s="40" t="s">
        <v>70</v>
      </c>
      <c r="H7" s="40" t="s">
        <v>72</v>
      </c>
      <c r="I7" s="40" t="s">
        <v>73</v>
      </c>
      <c r="J7" s="40" t="s">
        <v>75</v>
      </c>
      <c r="K7" s="44" t="s">
        <v>77</v>
      </c>
      <c r="L7" s="44" t="s">
        <v>78</v>
      </c>
      <c r="M7" s="44" t="s">
        <v>79</v>
      </c>
      <c r="N7" s="40" t="s">
        <v>80</v>
      </c>
      <c r="O7" s="40" t="s">
        <v>81</v>
      </c>
      <c r="P7" s="40" t="s">
        <v>82</v>
      </c>
      <c r="Q7" s="40" t="s">
        <v>26</v>
      </c>
    </row>
    <row r="8" ht="24.0" customHeight="1">
      <c r="A8" s="46">
        <v>1.0</v>
      </c>
      <c r="B8" s="48">
        <v>46327.0</v>
      </c>
      <c r="C8" s="49" t="s">
        <v>83</v>
      </c>
      <c r="D8" s="49" t="s">
        <v>84</v>
      </c>
      <c r="E8" s="49" t="s">
        <v>85</v>
      </c>
      <c r="F8" s="52">
        <v>5.0</v>
      </c>
      <c r="G8" s="52">
        <v>5.0</v>
      </c>
      <c r="H8" s="52">
        <v>4.0</v>
      </c>
      <c r="I8" s="52">
        <v>5.0</v>
      </c>
      <c r="J8" s="52">
        <v>4.0</v>
      </c>
      <c r="K8" s="55">
        <f t="shared" ref="K8:K57" si="1">IF(COUNT(F8:J8)=0,"",SUM(F8:J8))</f>
        <v>23</v>
      </c>
      <c r="L8" s="56">
        <f t="shared" ref="L8:L57" si="2">IF(K8="","",K8/(COUNT(F8:J8)*5))</f>
        <v>0.92</v>
      </c>
      <c r="M8" s="60" t="str">
        <f>IF(L8="","",IF(L8&gt;='Cài đặt'!$D$43,"Tốt",IF(L8&gt;='Cài đặt'!$D$44,"Khá",IF(L8&gt;='Cài đặt'!$D$45,"Trung bình","Cần khắc phục"))))</f>
        <v>Tốt</v>
      </c>
      <c r="N8" s="63"/>
      <c r="O8" s="64"/>
      <c r="P8" s="67"/>
      <c r="Q8" s="63"/>
    </row>
    <row r="9" ht="24.0" customHeight="1">
      <c r="A9" s="46">
        <v>2.0</v>
      </c>
      <c r="B9" s="48">
        <v>46327.0</v>
      </c>
      <c r="C9" s="49" t="s">
        <v>116</v>
      </c>
      <c r="D9" s="49" t="s">
        <v>117</v>
      </c>
      <c r="E9" s="49" t="s">
        <v>85</v>
      </c>
      <c r="F9" s="52">
        <v>4.0</v>
      </c>
      <c r="G9" s="52">
        <v>3.0</v>
      </c>
      <c r="H9" s="52">
        <v>4.0</v>
      </c>
      <c r="I9" s="52">
        <v>5.0</v>
      </c>
      <c r="J9" s="52">
        <v>3.0</v>
      </c>
      <c r="K9" s="55">
        <f t="shared" si="1"/>
        <v>19</v>
      </c>
      <c r="L9" s="56">
        <f t="shared" si="2"/>
        <v>0.76</v>
      </c>
      <c r="M9" s="60" t="str">
        <f>IF(L9="","",IF(L9&gt;='Cài đặt'!$D$43,"Tốt",IF(L9&gt;='Cài đặt'!$D$44,"Khá",IF(L9&gt;='Cài đặt'!$D$45,"Trung bình","Cần khắc phục"))))</f>
        <v>Khá</v>
      </c>
      <c r="N9" s="63" t="s">
        <v>127</v>
      </c>
      <c r="O9" s="64">
        <v>46328.0</v>
      </c>
      <c r="P9" s="67" t="s">
        <v>129</v>
      </c>
      <c r="Q9" s="63"/>
    </row>
    <row r="10" ht="24.0" customHeight="1">
      <c r="A10" s="46">
        <v>3.0</v>
      </c>
      <c r="B10" s="48">
        <v>46328.0</v>
      </c>
      <c r="C10" s="49" t="s">
        <v>131</v>
      </c>
      <c r="D10" s="49" t="s">
        <v>132</v>
      </c>
      <c r="E10" s="49" t="s">
        <v>85</v>
      </c>
      <c r="F10" s="52">
        <v>4.0</v>
      </c>
      <c r="G10" s="52">
        <v>4.0</v>
      </c>
      <c r="H10" s="52">
        <v>4.0</v>
      </c>
      <c r="I10" s="52">
        <v>3.0</v>
      </c>
      <c r="J10" s="52">
        <v>4.0</v>
      </c>
      <c r="K10" s="55">
        <f t="shared" si="1"/>
        <v>19</v>
      </c>
      <c r="L10" s="56">
        <f t="shared" si="2"/>
        <v>0.76</v>
      </c>
      <c r="M10" s="60" t="str">
        <f>IF(L10="","",IF(L10&gt;='Cài đặt'!$D$43,"Tốt",IF(L10&gt;='Cài đặt'!$D$44,"Khá",IF(L10&gt;='Cài đặt'!$D$45,"Trung bình","Cần khắc phục"))))</f>
        <v>Khá</v>
      </c>
      <c r="N10" s="63"/>
      <c r="O10" s="64"/>
      <c r="P10" s="67"/>
      <c r="Q10" s="63"/>
    </row>
    <row r="11" ht="24.0" customHeight="1">
      <c r="A11" s="46">
        <v>4.0</v>
      </c>
      <c r="B11" s="48">
        <v>46328.0</v>
      </c>
      <c r="C11" s="49" t="s">
        <v>138</v>
      </c>
      <c r="D11" s="49" t="s">
        <v>139</v>
      </c>
      <c r="E11" s="49" t="s">
        <v>85</v>
      </c>
      <c r="F11" s="52">
        <v>3.0</v>
      </c>
      <c r="G11" s="52">
        <v>3.0</v>
      </c>
      <c r="H11" s="52">
        <v>3.0</v>
      </c>
      <c r="I11" s="52">
        <v>4.0</v>
      </c>
      <c r="J11" s="52">
        <v>3.0</v>
      </c>
      <c r="K11" s="55">
        <f t="shared" si="1"/>
        <v>16</v>
      </c>
      <c r="L11" s="56">
        <f t="shared" si="2"/>
        <v>0.64</v>
      </c>
      <c r="M11" s="60" t="str">
        <f>IF(L11="","",IF(L11&gt;='Cài đặt'!$D$43,"Tốt",IF(L11&gt;='Cài đặt'!$D$44,"Khá",IF(L11&gt;='Cài đặt'!$D$45,"Trung bình","Cần khắc phục"))))</f>
        <v>Trung bình</v>
      </c>
      <c r="N11" s="63" t="s">
        <v>140</v>
      </c>
      <c r="O11" s="64">
        <v>46329.0</v>
      </c>
      <c r="P11" s="67" t="s">
        <v>141</v>
      </c>
      <c r="Q11" s="63"/>
    </row>
    <row r="12" ht="24.0" customHeight="1">
      <c r="A12" s="46">
        <v>5.0</v>
      </c>
      <c r="B12" s="48">
        <v>46329.0</v>
      </c>
      <c r="C12" s="49" t="s">
        <v>142</v>
      </c>
      <c r="D12" s="49" t="s">
        <v>143</v>
      </c>
      <c r="E12" s="49" t="s">
        <v>85</v>
      </c>
      <c r="F12" s="52">
        <v>2.0</v>
      </c>
      <c r="G12" s="52">
        <v>3.0</v>
      </c>
      <c r="H12" s="52">
        <v>3.0</v>
      </c>
      <c r="I12" s="52">
        <v>2.0</v>
      </c>
      <c r="J12" s="52">
        <v>3.0</v>
      </c>
      <c r="K12" s="55">
        <f t="shared" si="1"/>
        <v>13</v>
      </c>
      <c r="L12" s="56">
        <f t="shared" si="2"/>
        <v>0.52</v>
      </c>
      <c r="M12" s="60" t="str">
        <f>IF(L12="","",IF(L12&gt;='Cài đặt'!$D$43,"Tốt",IF(L12&gt;='Cài đặt'!$D$44,"Khá",IF(L12&gt;='Cài đặt'!$D$45,"Trung bình","Cần khắc phục"))))</f>
        <v>Cần khắc phục</v>
      </c>
      <c r="N12" s="63" t="s">
        <v>144</v>
      </c>
      <c r="O12" s="64">
        <v>46330.0</v>
      </c>
      <c r="P12" s="67" t="s">
        <v>145</v>
      </c>
      <c r="Q12" s="63" t="s">
        <v>146</v>
      </c>
    </row>
    <row r="13" ht="24.0" customHeight="1">
      <c r="A13" s="46">
        <v>6.0</v>
      </c>
      <c r="B13" s="48">
        <v>46329.0</v>
      </c>
      <c r="C13" s="49" t="s">
        <v>147</v>
      </c>
      <c r="D13" s="49" t="s">
        <v>148</v>
      </c>
      <c r="E13" s="49" t="s">
        <v>85</v>
      </c>
      <c r="F13" s="52">
        <v>5.0</v>
      </c>
      <c r="G13" s="52">
        <v>4.0</v>
      </c>
      <c r="H13" s="52">
        <v>4.0</v>
      </c>
      <c r="I13" s="52">
        <v>5.0</v>
      </c>
      <c r="J13" s="52">
        <v>5.0</v>
      </c>
      <c r="K13" s="55">
        <f t="shared" si="1"/>
        <v>23</v>
      </c>
      <c r="L13" s="56">
        <f t="shared" si="2"/>
        <v>0.92</v>
      </c>
      <c r="M13" s="60" t="str">
        <f>IF(L13="","",IF(L13&gt;='Cài đặt'!$D$43,"Tốt",IF(L13&gt;='Cài đặt'!$D$44,"Khá",IF(L13&gt;='Cài đặt'!$D$45,"Trung bình","Cần khắc phục"))))</f>
        <v>Tốt</v>
      </c>
      <c r="N13" s="63"/>
      <c r="O13" s="64"/>
      <c r="P13" s="67"/>
      <c r="Q13" s="63"/>
    </row>
    <row r="14" ht="24.0" customHeight="1">
      <c r="A14" s="46">
        <v>7.0</v>
      </c>
      <c r="B14" s="48"/>
      <c r="C14" s="49"/>
      <c r="D14" s="49"/>
      <c r="E14" s="49"/>
      <c r="F14" s="52"/>
      <c r="G14" s="52"/>
      <c r="H14" s="52"/>
      <c r="I14" s="52"/>
      <c r="J14" s="52"/>
      <c r="K14" s="55" t="str">
        <f t="shared" si="1"/>
        <v/>
      </c>
      <c r="L14" s="56" t="str">
        <f t="shared" si="2"/>
        <v/>
      </c>
      <c r="M14" s="60" t="str">
        <f>IF(L14="","",IF(L14&gt;='Cài đặt'!$D$43,"Tốt",IF(L14&gt;='Cài đặt'!$D$44,"Khá",IF(L14&gt;='Cài đặt'!$D$45,"Trung bình","Cần khắc phục"))))</f>
        <v/>
      </c>
      <c r="N14" s="63"/>
      <c r="O14" s="64"/>
      <c r="P14" s="67"/>
      <c r="Q14" s="63"/>
    </row>
    <row r="15" ht="24.0" customHeight="1">
      <c r="A15" s="46">
        <v>8.0</v>
      </c>
      <c r="B15" s="48"/>
      <c r="C15" s="49"/>
      <c r="D15" s="49"/>
      <c r="E15" s="49"/>
      <c r="F15" s="52"/>
      <c r="G15" s="52"/>
      <c r="H15" s="52"/>
      <c r="I15" s="52"/>
      <c r="J15" s="52"/>
      <c r="K15" s="55" t="str">
        <f t="shared" si="1"/>
        <v/>
      </c>
      <c r="L15" s="56" t="str">
        <f t="shared" si="2"/>
        <v/>
      </c>
      <c r="M15" s="60" t="str">
        <f>IF(L15="","",IF(L15&gt;='Cài đặt'!$D$43,"Tốt",IF(L15&gt;='Cài đặt'!$D$44,"Khá",IF(L15&gt;='Cài đặt'!$D$45,"Trung bình","Cần khắc phục"))))</f>
        <v/>
      </c>
      <c r="N15" s="63"/>
      <c r="O15" s="64"/>
      <c r="P15" s="67"/>
      <c r="Q15" s="63"/>
    </row>
    <row r="16" ht="24.0" customHeight="1">
      <c r="A16" s="46">
        <v>9.0</v>
      </c>
      <c r="B16" s="48"/>
      <c r="C16" s="49"/>
      <c r="D16" s="49"/>
      <c r="E16" s="49"/>
      <c r="F16" s="52"/>
      <c r="G16" s="52"/>
      <c r="H16" s="52"/>
      <c r="I16" s="52"/>
      <c r="J16" s="52"/>
      <c r="K16" s="55" t="str">
        <f t="shared" si="1"/>
        <v/>
      </c>
      <c r="L16" s="56" t="str">
        <f t="shared" si="2"/>
        <v/>
      </c>
      <c r="M16" s="60" t="str">
        <f>IF(L16="","",IF(L16&gt;='Cài đặt'!$D$43,"Tốt",IF(L16&gt;='Cài đặt'!$D$44,"Khá",IF(L16&gt;='Cài đặt'!$D$45,"Trung bình","Cần khắc phục"))))</f>
        <v/>
      </c>
      <c r="N16" s="63"/>
      <c r="O16" s="64"/>
      <c r="P16" s="67"/>
      <c r="Q16" s="63"/>
    </row>
    <row r="17" ht="24.0" customHeight="1">
      <c r="A17" s="46">
        <v>10.0</v>
      </c>
      <c r="B17" s="48"/>
      <c r="C17" s="49"/>
      <c r="D17" s="49"/>
      <c r="E17" s="49"/>
      <c r="F17" s="52"/>
      <c r="G17" s="52"/>
      <c r="H17" s="52"/>
      <c r="I17" s="52"/>
      <c r="J17" s="52"/>
      <c r="K17" s="55" t="str">
        <f t="shared" si="1"/>
        <v/>
      </c>
      <c r="L17" s="56" t="str">
        <f t="shared" si="2"/>
        <v/>
      </c>
      <c r="M17" s="60" t="str">
        <f>IF(L17="","",IF(L17&gt;='Cài đặt'!$D$43,"Tốt",IF(L17&gt;='Cài đặt'!$D$44,"Khá",IF(L17&gt;='Cài đặt'!$D$45,"Trung bình","Cần khắc phục"))))</f>
        <v/>
      </c>
      <c r="N17" s="63"/>
      <c r="O17" s="64"/>
      <c r="P17" s="67"/>
      <c r="Q17" s="63"/>
    </row>
    <row r="18" ht="24.0" customHeight="1">
      <c r="A18" s="46">
        <v>11.0</v>
      </c>
      <c r="B18" s="48"/>
      <c r="C18" s="49"/>
      <c r="D18" s="49"/>
      <c r="E18" s="49"/>
      <c r="F18" s="52"/>
      <c r="G18" s="52"/>
      <c r="H18" s="52"/>
      <c r="I18" s="52"/>
      <c r="J18" s="52"/>
      <c r="K18" s="55" t="str">
        <f t="shared" si="1"/>
        <v/>
      </c>
      <c r="L18" s="56" t="str">
        <f t="shared" si="2"/>
        <v/>
      </c>
      <c r="M18" s="60" t="str">
        <f>IF(L18="","",IF(L18&gt;='Cài đặt'!$D$43,"Tốt",IF(L18&gt;='Cài đặt'!$D$44,"Khá",IF(L18&gt;='Cài đặt'!$D$45,"Trung bình","Cần khắc phục"))))</f>
        <v/>
      </c>
      <c r="N18" s="63"/>
      <c r="O18" s="64"/>
      <c r="P18" s="67"/>
      <c r="Q18" s="63"/>
    </row>
    <row r="19" ht="24.0" customHeight="1">
      <c r="A19" s="46">
        <v>12.0</v>
      </c>
      <c r="B19" s="48"/>
      <c r="C19" s="49"/>
      <c r="D19" s="49"/>
      <c r="E19" s="49"/>
      <c r="F19" s="52"/>
      <c r="G19" s="52"/>
      <c r="H19" s="52"/>
      <c r="I19" s="52"/>
      <c r="J19" s="52"/>
      <c r="K19" s="55" t="str">
        <f t="shared" si="1"/>
        <v/>
      </c>
      <c r="L19" s="56" t="str">
        <f t="shared" si="2"/>
        <v/>
      </c>
      <c r="M19" s="60" t="str">
        <f>IF(L19="","",IF(L19&gt;='Cài đặt'!$D$43,"Tốt",IF(L19&gt;='Cài đặt'!$D$44,"Khá",IF(L19&gt;='Cài đặt'!$D$45,"Trung bình","Cần khắc phục"))))</f>
        <v/>
      </c>
      <c r="N19" s="63"/>
      <c r="O19" s="64"/>
      <c r="P19" s="67"/>
      <c r="Q19" s="63"/>
    </row>
    <row r="20" ht="24.0" customHeight="1">
      <c r="A20" s="46">
        <v>13.0</v>
      </c>
      <c r="B20" s="48"/>
      <c r="C20" s="49"/>
      <c r="D20" s="49"/>
      <c r="E20" s="49"/>
      <c r="F20" s="52"/>
      <c r="G20" s="52"/>
      <c r="H20" s="52"/>
      <c r="I20" s="52"/>
      <c r="J20" s="52"/>
      <c r="K20" s="55" t="str">
        <f t="shared" si="1"/>
        <v/>
      </c>
      <c r="L20" s="56" t="str">
        <f t="shared" si="2"/>
        <v/>
      </c>
      <c r="M20" s="60" t="str">
        <f>IF(L20="","",IF(L20&gt;='Cài đặt'!$D$43,"Tốt",IF(L20&gt;='Cài đặt'!$D$44,"Khá",IF(L20&gt;='Cài đặt'!$D$45,"Trung bình","Cần khắc phục"))))</f>
        <v/>
      </c>
      <c r="N20" s="63"/>
      <c r="O20" s="64"/>
      <c r="P20" s="67"/>
      <c r="Q20" s="63"/>
    </row>
    <row r="21" ht="24.0" customHeight="1">
      <c r="A21" s="46">
        <v>14.0</v>
      </c>
      <c r="B21" s="48"/>
      <c r="C21" s="49"/>
      <c r="D21" s="49"/>
      <c r="E21" s="49"/>
      <c r="F21" s="52"/>
      <c r="G21" s="52"/>
      <c r="H21" s="52"/>
      <c r="I21" s="52"/>
      <c r="J21" s="52"/>
      <c r="K21" s="55" t="str">
        <f t="shared" si="1"/>
        <v/>
      </c>
      <c r="L21" s="56" t="str">
        <f t="shared" si="2"/>
        <v/>
      </c>
      <c r="M21" s="60" t="str">
        <f>IF(L21="","",IF(L21&gt;='Cài đặt'!$D$43,"Tốt",IF(L21&gt;='Cài đặt'!$D$44,"Khá",IF(L21&gt;='Cài đặt'!$D$45,"Trung bình","Cần khắc phục"))))</f>
        <v/>
      </c>
      <c r="N21" s="63"/>
      <c r="O21" s="64"/>
      <c r="P21" s="67"/>
      <c r="Q21" s="63"/>
    </row>
    <row r="22" ht="24.0" customHeight="1">
      <c r="A22" s="46">
        <v>15.0</v>
      </c>
      <c r="B22" s="48"/>
      <c r="C22" s="49"/>
      <c r="D22" s="49"/>
      <c r="E22" s="49"/>
      <c r="F22" s="52"/>
      <c r="G22" s="52"/>
      <c r="H22" s="52"/>
      <c r="I22" s="52"/>
      <c r="J22" s="52"/>
      <c r="K22" s="55" t="str">
        <f t="shared" si="1"/>
        <v/>
      </c>
      <c r="L22" s="56" t="str">
        <f t="shared" si="2"/>
        <v/>
      </c>
      <c r="M22" s="60" t="str">
        <f>IF(L22="","",IF(L22&gt;='Cài đặt'!$D$43,"Tốt",IF(L22&gt;='Cài đặt'!$D$44,"Khá",IF(L22&gt;='Cài đặt'!$D$45,"Trung bình","Cần khắc phục"))))</f>
        <v/>
      </c>
      <c r="N22" s="63"/>
      <c r="O22" s="64"/>
      <c r="P22" s="67"/>
      <c r="Q22" s="63"/>
    </row>
    <row r="23" ht="24.0" customHeight="1">
      <c r="A23" s="46">
        <v>16.0</v>
      </c>
      <c r="B23" s="48"/>
      <c r="C23" s="49"/>
      <c r="D23" s="49"/>
      <c r="E23" s="49"/>
      <c r="F23" s="52"/>
      <c r="G23" s="52"/>
      <c r="H23" s="52"/>
      <c r="I23" s="52"/>
      <c r="J23" s="52"/>
      <c r="K23" s="55" t="str">
        <f t="shared" si="1"/>
        <v/>
      </c>
      <c r="L23" s="56" t="str">
        <f t="shared" si="2"/>
        <v/>
      </c>
      <c r="M23" s="60" t="str">
        <f>IF(L23="","",IF(L23&gt;='Cài đặt'!$D$43,"Tốt",IF(L23&gt;='Cài đặt'!$D$44,"Khá",IF(L23&gt;='Cài đặt'!$D$45,"Trung bình","Cần khắc phục"))))</f>
        <v/>
      </c>
      <c r="N23" s="63"/>
      <c r="O23" s="64"/>
      <c r="P23" s="67"/>
      <c r="Q23" s="63"/>
    </row>
    <row r="24" ht="24.0" customHeight="1">
      <c r="A24" s="46">
        <v>17.0</v>
      </c>
      <c r="B24" s="48"/>
      <c r="C24" s="49"/>
      <c r="D24" s="49"/>
      <c r="E24" s="49"/>
      <c r="F24" s="52"/>
      <c r="G24" s="52"/>
      <c r="H24" s="52"/>
      <c r="I24" s="52"/>
      <c r="J24" s="52"/>
      <c r="K24" s="55" t="str">
        <f t="shared" si="1"/>
        <v/>
      </c>
      <c r="L24" s="56" t="str">
        <f t="shared" si="2"/>
        <v/>
      </c>
      <c r="M24" s="60" t="str">
        <f>IF(L24="","",IF(L24&gt;='Cài đặt'!$D$43,"Tốt",IF(L24&gt;='Cài đặt'!$D$44,"Khá",IF(L24&gt;='Cài đặt'!$D$45,"Trung bình","Cần khắc phục"))))</f>
        <v/>
      </c>
      <c r="N24" s="63"/>
      <c r="O24" s="64"/>
      <c r="P24" s="67"/>
      <c r="Q24" s="63"/>
    </row>
    <row r="25" ht="24.0" customHeight="1">
      <c r="A25" s="46">
        <v>18.0</v>
      </c>
      <c r="B25" s="48"/>
      <c r="C25" s="49"/>
      <c r="D25" s="49"/>
      <c r="E25" s="49"/>
      <c r="F25" s="52"/>
      <c r="G25" s="52"/>
      <c r="H25" s="52"/>
      <c r="I25" s="52"/>
      <c r="J25" s="52"/>
      <c r="K25" s="55" t="str">
        <f t="shared" si="1"/>
        <v/>
      </c>
      <c r="L25" s="56" t="str">
        <f t="shared" si="2"/>
        <v/>
      </c>
      <c r="M25" s="60" t="str">
        <f>IF(L25="","",IF(L25&gt;='Cài đặt'!$D$43,"Tốt",IF(L25&gt;='Cài đặt'!$D$44,"Khá",IF(L25&gt;='Cài đặt'!$D$45,"Trung bình","Cần khắc phục"))))</f>
        <v/>
      </c>
      <c r="N25" s="63"/>
      <c r="O25" s="64"/>
      <c r="P25" s="67"/>
      <c r="Q25" s="63"/>
    </row>
    <row r="26" ht="24.0" customHeight="1">
      <c r="A26" s="46">
        <v>19.0</v>
      </c>
      <c r="B26" s="48"/>
      <c r="C26" s="49"/>
      <c r="D26" s="49"/>
      <c r="E26" s="49"/>
      <c r="F26" s="52"/>
      <c r="G26" s="52"/>
      <c r="H26" s="52"/>
      <c r="I26" s="52"/>
      <c r="J26" s="52"/>
      <c r="K26" s="55" t="str">
        <f t="shared" si="1"/>
        <v/>
      </c>
      <c r="L26" s="56" t="str">
        <f t="shared" si="2"/>
        <v/>
      </c>
      <c r="M26" s="60" t="str">
        <f>IF(L26="","",IF(L26&gt;='Cài đặt'!$D$43,"Tốt",IF(L26&gt;='Cài đặt'!$D$44,"Khá",IF(L26&gt;='Cài đặt'!$D$45,"Trung bình","Cần khắc phục"))))</f>
        <v/>
      </c>
      <c r="N26" s="63"/>
      <c r="O26" s="64"/>
      <c r="P26" s="67"/>
      <c r="Q26" s="63"/>
    </row>
    <row r="27" ht="24.0" customHeight="1">
      <c r="A27" s="46">
        <v>20.0</v>
      </c>
      <c r="B27" s="48"/>
      <c r="C27" s="49"/>
      <c r="D27" s="49"/>
      <c r="E27" s="49"/>
      <c r="F27" s="52"/>
      <c r="G27" s="52"/>
      <c r="H27" s="52"/>
      <c r="I27" s="52"/>
      <c r="J27" s="52"/>
      <c r="K27" s="55" t="str">
        <f t="shared" si="1"/>
        <v/>
      </c>
      <c r="L27" s="56" t="str">
        <f t="shared" si="2"/>
        <v/>
      </c>
      <c r="M27" s="60" t="str">
        <f>IF(L27="","",IF(L27&gt;='Cài đặt'!$D$43,"Tốt",IF(L27&gt;='Cài đặt'!$D$44,"Khá",IF(L27&gt;='Cài đặt'!$D$45,"Trung bình","Cần khắc phục"))))</f>
        <v/>
      </c>
      <c r="N27" s="63"/>
      <c r="O27" s="64"/>
      <c r="P27" s="67"/>
      <c r="Q27" s="63"/>
    </row>
    <row r="28" ht="24.0" customHeight="1">
      <c r="A28" s="46">
        <v>21.0</v>
      </c>
      <c r="B28" s="48"/>
      <c r="C28" s="49"/>
      <c r="D28" s="49"/>
      <c r="E28" s="49"/>
      <c r="F28" s="52"/>
      <c r="G28" s="52"/>
      <c r="H28" s="52"/>
      <c r="I28" s="52"/>
      <c r="J28" s="52"/>
      <c r="K28" s="55" t="str">
        <f t="shared" si="1"/>
        <v/>
      </c>
      <c r="L28" s="56" t="str">
        <f t="shared" si="2"/>
        <v/>
      </c>
      <c r="M28" s="60" t="str">
        <f>IF(L28="","",IF(L28&gt;='Cài đặt'!$D$43,"Tốt",IF(L28&gt;='Cài đặt'!$D$44,"Khá",IF(L28&gt;='Cài đặt'!$D$45,"Trung bình","Cần khắc phục"))))</f>
        <v/>
      </c>
      <c r="N28" s="63"/>
      <c r="O28" s="64"/>
      <c r="P28" s="67"/>
      <c r="Q28" s="63"/>
    </row>
    <row r="29" ht="24.0" customHeight="1">
      <c r="A29" s="46">
        <v>22.0</v>
      </c>
      <c r="B29" s="48"/>
      <c r="C29" s="49"/>
      <c r="D29" s="49"/>
      <c r="E29" s="49"/>
      <c r="F29" s="52"/>
      <c r="G29" s="52"/>
      <c r="H29" s="52"/>
      <c r="I29" s="52"/>
      <c r="J29" s="52"/>
      <c r="K29" s="55" t="str">
        <f t="shared" si="1"/>
        <v/>
      </c>
      <c r="L29" s="56" t="str">
        <f t="shared" si="2"/>
        <v/>
      </c>
      <c r="M29" s="60" t="str">
        <f>IF(L29="","",IF(L29&gt;='Cài đặt'!$D$43,"Tốt",IF(L29&gt;='Cài đặt'!$D$44,"Khá",IF(L29&gt;='Cài đặt'!$D$45,"Trung bình","Cần khắc phục"))))</f>
        <v/>
      </c>
      <c r="N29" s="63"/>
      <c r="O29" s="64"/>
      <c r="P29" s="67"/>
      <c r="Q29" s="63"/>
    </row>
    <row r="30" ht="24.0" customHeight="1">
      <c r="A30" s="46">
        <v>23.0</v>
      </c>
      <c r="B30" s="48"/>
      <c r="C30" s="49"/>
      <c r="D30" s="49"/>
      <c r="E30" s="49"/>
      <c r="F30" s="52"/>
      <c r="G30" s="52"/>
      <c r="H30" s="52"/>
      <c r="I30" s="52"/>
      <c r="J30" s="52"/>
      <c r="K30" s="55" t="str">
        <f t="shared" si="1"/>
        <v/>
      </c>
      <c r="L30" s="56" t="str">
        <f t="shared" si="2"/>
        <v/>
      </c>
      <c r="M30" s="60" t="str">
        <f>IF(L30="","",IF(L30&gt;='Cài đặt'!$D$43,"Tốt",IF(L30&gt;='Cài đặt'!$D$44,"Khá",IF(L30&gt;='Cài đặt'!$D$45,"Trung bình","Cần khắc phục"))))</f>
        <v/>
      </c>
      <c r="N30" s="63"/>
      <c r="O30" s="64"/>
      <c r="P30" s="67"/>
      <c r="Q30" s="63"/>
    </row>
    <row r="31" ht="24.0" customHeight="1">
      <c r="A31" s="46">
        <v>24.0</v>
      </c>
      <c r="B31" s="48"/>
      <c r="C31" s="49"/>
      <c r="D31" s="49"/>
      <c r="E31" s="49"/>
      <c r="F31" s="52"/>
      <c r="G31" s="52"/>
      <c r="H31" s="52"/>
      <c r="I31" s="52"/>
      <c r="J31" s="52"/>
      <c r="K31" s="55" t="str">
        <f t="shared" si="1"/>
        <v/>
      </c>
      <c r="L31" s="56" t="str">
        <f t="shared" si="2"/>
        <v/>
      </c>
      <c r="M31" s="60" t="str">
        <f>IF(L31="","",IF(L31&gt;='Cài đặt'!$D$43,"Tốt",IF(L31&gt;='Cài đặt'!$D$44,"Khá",IF(L31&gt;='Cài đặt'!$D$45,"Trung bình","Cần khắc phục"))))</f>
        <v/>
      </c>
      <c r="N31" s="63"/>
      <c r="O31" s="64"/>
      <c r="P31" s="67"/>
      <c r="Q31" s="63"/>
    </row>
    <row r="32" ht="24.0" customHeight="1">
      <c r="A32" s="46">
        <v>25.0</v>
      </c>
      <c r="B32" s="48"/>
      <c r="C32" s="49"/>
      <c r="D32" s="49"/>
      <c r="E32" s="49"/>
      <c r="F32" s="52"/>
      <c r="G32" s="52"/>
      <c r="H32" s="52"/>
      <c r="I32" s="52"/>
      <c r="J32" s="52"/>
      <c r="K32" s="55" t="str">
        <f t="shared" si="1"/>
        <v/>
      </c>
      <c r="L32" s="56" t="str">
        <f t="shared" si="2"/>
        <v/>
      </c>
      <c r="M32" s="60" t="str">
        <f>IF(L32="","",IF(L32&gt;='Cài đặt'!$D$43,"Tốt",IF(L32&gt;='Cài đặt'!$D$44,"Khá",IF(L32&gt;='Cài đặt'!$D$45,"Trung bình","Cần khắc phục"))))</f>
        <v/>
      </c>
      <c r="N32" s="63"/>
      <c r="O32" s="64"/>
      <c r="P32" s="67"/>
      <c r="Q32" s="63"/>
    </row>
    <row r="33" ht="24.0" customHeight="1">
      <c r="A33" s="46">
        <v>26.0</v>
      </c>
      <c r="B33" s="48"/>
      <c r="C33" s="49"/>
      <c r="D33" s="49"/>
      <c r="E33" s="49"/>
      <c r="F33" s="52"/>
      <c r="G33" s="52"/>
      <c r="H33" s="52"/>
      <c r="I33" s="52"/>
      <c r="J33" s="52"/>
      <c r="K33" s="55" t="str">
        <f t="shared" si="1"/>
        <v/>
      </c>
      <c r="L33" s="56" t="str">
        <f t="shared" si="2"/>
        <v/>
      </c>
      <c r="M33" s="60" t="str">
        <f>IF(L33="","",IF(L33&gt;='Cài đặt'!$D$43,"Tốt",IF(L33&gt;='Cài đặt'!$D$44,"Khá",IF(L33&gt;='Cài đặt'!$D$45,"Trung bình","Cần khắc phục"))))</f>
        <v/>
      </c>
      <c r="N33" s="63"/>
      <c r="O33" s="64"/>
      <c r="P33" s="67"/>
      <c r="Q33" s="63"/>
    </row>
    <row r="34" ht="24.0" customHeight="1">
      <c r="A34" s="46">
        <v>27.0</v>
      </c>
      <c r="B34" s="48"/>
      <c r="C34" s="49"/>
      <c r="D34" s="49"/>
      <c r="E34" s="49"/>
      <c r="F34" s="52"/>
      <c r="G34" s="52"/>
      <c r="H34" s="52"/>
      <c r="I34" s="52"/>
      <c r="J34" s="52"/>
      <c r="K34" s="55" t="str">
        <f t="shared" si="1"/>
        <v/>
      </c>
      <c r="L34" s="56" t="str">
        <f t="shared" si="2"/>
        <v/>
      </c>
      <c r="M34" s="60" t="str">
        <f>IF(L34="","",IF(L34&gt;='Cài đặt'!$D$43,"Tốt",IF(L34&gt;='Cài đặt'!$D$44,"Khá",IF(L34&gt;='Cài đặt'!$D$45,"Trung bình","Cần khắc phục"))))</f>
        <v/>
      </c>
      <c r="N34" s="63"/>
      <c r="O34" s="64"/>
      <c r="P34" s="67"/>
      <c r="Q34" s="63"/>
    </row>
    <row r="35" ht="24.0" customHeight="1">
      <c r="A35" s="46">
        <v>28.0</v>
      </c>
      <c r="B35" s="48"/>
      <c r="C35" s="49"/>
      <c r="D35" s="49"/>
      <c r="E35" s="49"/>
      <c r="F35" s="52"/>
      <c r="G35" s="52"/>
      <c r="H35" s="52"/>
      <c r="I35" s="52"/>
      <c r="J35" s="52"/>
      <c r="K35" s="55" t="str">
        <f t="shared" si="1"/>
        <v/>
      </c>
      <c r="L35" s="56" t="str">
        <f t="shared" si="2"/>
        <v/>
      </c>
      <c r="M35" s="60" t="str">
        <f>IF(L35="","",IF(L35&gt;='Cài đặt'!$D$43,"Tốt",IF(L35&gt;='Cài đặt'!$D$44,"Khá",IF(L35&gt;='Cài đặt'!$D$45,"Trung bình","Cần khắc phục"))))</f>
        <v/>
      </c>
      <c r="N35" s="63"/>
      <c r="O35" s="64"/>
      <c r="P35" s="67"/>
      <c r="Q35" s="63"/>
    </row>
    <row r="36" ht="24.0" customHeight="1">
      <c r="A36" s="46">
        <v>29.0</v>
      </c>
      <c r="B36" s="48"/>
      <c r="C36" s="49"/>
      <c r="D36" s="49"/>
      <c r="E36" s="49"/>
      <c r="F36" s="52"/>
      <c r="G36" s="52"/>
      <c r="H36" s="52"/>
      <c r="I36" s="52"/>
      <c r="J36" s="52"/>
      <c r="K36" s="55" t="str">
        <f t="shared" si="1"/>
        <v/>
      </c>
      <c r="L36" s="56" t="str">
        <f t="shared" si="2"/>
        <v/>
      </c>
      <c r="M36" s="60" t="str">
        <f>IF(L36="","",IF(L36&gt;='Cài đặt'!$D$43,"Tốt",IF(L36&gt;='Cài đặt'!$D$44,"Khá",IF(L36&gt;='Cài đặt'!$D$45,"Trung bình","Cần khắc phục"))))</f>
        <v/>
      </c>
      <c r="N36" s="63"/>
      <c r="O36" s="64"/>
      <c r="P36" s="67"/>
      <c r="Q36" s="63"/>
    </row>
    <row r="37" ht="24.0" customHeight="1">
      <c r="A37" s="46">
        <v>30.0</v>
      </c>
      <c r="B37" s="48"/>
      <c r="C37" s="49"/>
      <c r="D37" s="49"/>
      <c r="E37" s="49"/>
      <c r="F37" s="52"/>
      <c r="G37" s="52"/>
      <c r="H37" s="52"/>
      <c r="I37" s="52"/>
      <c r="J37" s="52"/>
      <c r="K37" s="55" t="str">
        <f t="shared" si="1"/>
        <v/>
      </c>
      <c r="L37" s="56" t="str">
        <f t="shared" si="2"/>
        <v/>
      </c>
      <c r="M37" s="60" t="str">
        <f>IF(L37="","",IF(L37&gt;='Cài đặt'!$D$43,"Tốt",IF(L37&gt;='Cài đặt'!$D$44,"Khá",IF(L37&gt;='Cài đặt'!$D$45,"Trung bình","Cần khắc phục"))))</f>
        <v/>
      </c>
      <c r="N37" s="63"/>
      <c r="O37" s="64"/>
      <c r="P37" s="67"/>
      <c r="Q37" s="63"/>
    </row>
    <row r="38" ht="24.0" customHeight="1">
      <c r="A38" s="46">
        <v>31.0</v>
      </c>
      <c r="B38" s="48"/>
      <c r="C38" s="49"/>
      <c r="D38" s="49"/>
      <c r="E38" s="49"/>
      <c r="F38" s="52"/>
      <c r="G38" s="52"/>
      <c r="H38" s="52"/>
      <c r="I38" s="52"/>
      <c r="J38" s="52"/>
      <c r="K38" s="55" t="str">
        <f t="shared" si="1"/>
        <v/>
      </c>
      <c r="L38" s="56" t="str">
        <f t="shared" si="2"/>
        <v/>
      </c>
      <c r="M38" s="60" t="str">
        <f>IF(L38="","",IF(L38&gt;='Cài đặt'!$D$43,"Tốt",IF(L38&gt;='Cài đặt'!$D$44,"Khá",IF(L38&gt;='Cài đặt'!$D$45,"Trung bình","Cần khắc phục"))))</f>
        <v/>
      </c>
      <c r="N38" s="63"/>
      <c r="O38" s="64"/>
      <c r="P38" s="67"/>
      <c r="Q38" s="63"/>
    </row>
    <row r="39" ht="24.0" customHeight="1">
      <c r="A39" s="46">
        <v>32.0</v>
      </c>
      <c r="B39" s="48"/>
      <c r="C39" s="49"/>
      <c r="D39" s="49"/>
      <c r="E39" s="49"/>
      <c r="F39" s="52"/>
      <c r="G39" s="52"/>
      <c r="H39" s="52"/>
      <c r="I39" s="52"/>
      <c r="J39" s="52"/>
      <c r="K39" s="55" t="str">
        <f t="shared" si="1"/>
        <v/>
      </c>
      <c r="L39" s="56" t="str">
        <f t="shared" si="2"/>
        <v/>
      </c>
      <c r="M39" s="60" t="str">
        <f>IF(L39="","",IF(L39&gt;='Cài đặt'!$D$43,"Tốt",IF(L39&gt;='Cài đặt'!$D$44,"Khá",IF(L39&gt;='Cài đặt'!$D$45,"Trung bình","Cần khắc phục"))))</f>
        <v/>
      </c>
      <c r="N39" s="63"/>
      <c r="O39" s="64"/>
      <c r="P39" s="67"/>
      <c r="Q39" s="63"/>
    </row>
    <row r="40" ht="24.0" customHeight="1">
      <c r="A40" s="46">
        <v>33.0</v>
      </c>
      <c r="B40" s="48"/>
      <c r="C40" s="49"/>
      <c r="D40" s="49"/>
      <c r="E40" s="49"/>
      <c r="F40" s="52"/>
      <c r="G40" s="52"/>
      <c r="H40" s="52"/>
      <c r="I40" s="52"/>
      <c r="J40" s="52"/>
      <c r="K40" s="55" t="str">
        <f t="shared" si="1"/>
        <v/>
      </c>
      <c r="L40" s="56" t="str">
        <f t="shared" si="2"/>
        <v/>
      </c>
      <c r="M40" s="60" t="str">
        <f>IF(L40="","",IF(L40&gt;='Cài đặt'!$D$43,"Tốt",IF(L40&gt;='Cài đặt'!$D$44,"Khá",IF(L40&gt;='Cài đặt'!$D$45,"Trung bình","Cần khắc phục"))))</f>
        <v/>
      </c>
      <c r="N40" s="63"/>
      <c r="O40" s="64"/>
      <c r="P40" s="67"/>
      <c r="Q40" s="63"/>
    </row>
    <row r="41" ht="24.0" customHeight="1">
      <c r="A41" s="46">
        <v>34.0</v>
      </c>
      <c r="B41" s="48"/>
      <c r="C41" s="49"/>
      <c r="D41" s="49"/>
      <c r="E41" s="49"/>
      <c r="F41" s="52"/>
      <c r="G41" s="52"/>
      <c r="H41" s="52"/>
      <c r="I41" s="52"/>
      <c r="J41" s="52"/>
      <c r="K41" s="55" t="str">
        <f t="shared" si="1"/>
        <v/>
      </c>
      <c r="L41" s="56" t="str">
        <f t="shared" si="2"/>
        <v/>
      </c>
      <c r="M41" s="60" t="str">
        <f>IF(L41="","",IF(L41&gt;='Cài đặt'!$D$43,"Tốt",IF(L41&gt;='Cài đặt'!$D$44,"Khá",IF(L41&gt;='Cài đặt'!$D$45,"Trung bình","Cần khắc phục"))))</f>
        <v/>
      </c>
      <c r="N41" s="63"/>
      <c r="O41" s="64"/>
      <c r="P41" s="67"/>
      <c r="Q41" s="63"/>
    </row>
    <row r="42" ht="24.0" customHeight="1">
      <c r="A42" s="46">
        <v>35.0</v>
      </c>
      <c r="B42" s="48"/>
      <c r="C42" s="49"/>
      <c r="D42" s="49"/>
      <c r="E42" s="49"/>
      <c r="F42" s="52"/>
      <c r="G42" s="52"/>
      <c r="H42" s="52"/>
      <c r="I42" s="52"/>
      <c r="J42" s="52"/>
      <c r="K42" s="55" t="str">
        <f t="shared" si="1"/>
        <v/>
      </c>
      <c r="L42" s="56" t="str">
        <f t="shared" si="2"/>
        <v/>
      </c>
      <c r="M42" s="60" t="str">
        <f>IF(L42="","",IF(L42&gt;='Cài đặt'!$D$43,"Tốt",IF(L42&gt;='Cài đặt'!$D$44,"Khá",IF(L42&gt;='Cài đặt'!$D$45,"Trung bình","Cần khắc phục"))))</f>
        <v/>
      </c>
      <c r="N42" s="63"/>
      <c r="O42" s="64"/>
      <c r="P42" s="67"/>
      <c r="Q42" s="63"/>
    </row>
    <row r="43" ht="24.0" customHeight="1">
      <c r="A43" s="46">
        <v>36.0</v>
      </c>
      <c r="B43" s="48"/>
      <c r="C43" s="49"/>
      <c r="D43" s="49"/>
      <c r="E43" s="49"/>
      <c r="F43" s="52"/>
      <c r="G43" s="52"/>
      <c r="H43" s="52"/>
      <c r="I43" s="52"/>
      <c r="J43" s="52"/>
      <c r="K43" s="55" t="str">
        <f t="shared" si="1"/>
        <v/>
      </c>
      <c r="L43" s="56" t="str">
        <f t="shared" si="2"/>
        <v/>
      </c>
      <c r="M43" s="60" t="str">
        <f>IF(L43="","",IF(L43&gt;='Cài đặt'!$D$43,"Tốt",IF(L43&gt;='Cài đặt'!$D$44,"Khá",IF(L43&gt;='Cài đặt'!$D$45,"Trung bình","Cần khắc phục"))))</f>
        <v/>
      </c>
      <c r="N43" s="63"/>
      <c r="O43" s="64"/>
      <c r="P43" s="67"/>
      <c r="Q43" s="63"/>
    </row>
    <row r="44" ht="24.0" customHeight="1">
      <c r="A44" s="46">
        <v>37.0</v>
      </c>
      <c r="B44" s="48"/>
      <c r="C44" s="49"/>
      <c r="D44" s="49"/>
      <c r="E44" s="49"/>
      <c r="F44" s="52"/>
      <c r="G44" s="52"/>
      <c r="H44" s="52"/>
      <c r="I44" s="52"/>
      <c r="J44" s="52"/>
      <c r="K44" s="55" t="str">
        <f t="shared" si="1"/>
        <v/>
      </c>
      <c r="L44" s="56" t="str">
        <f t="shared" si="2"/>
        <v/>
      </c>
      <c r="M44" s="60" t="str">
        <f>IF(L44="","",IF(L44&gt;='Cài đặt'!$D$43,"Tốt",IF(L44&gt;='Cài đặt'!$D$44,"Khá",IF(L44&gt;='Cài đặt'!$D$45,"Trung bình","Cần khắc phục"))))</f>
        <v/>
      </c>
      <c r="N44" s="63"/>
      <c r="O44" s="64"/>
      <c r="P44" s="67"/>
      <c r="Q44" s="63"/>
    </row>
    <row r="45" ht="24.0" customHeight="1">
      <c r="A45" s="46">
        <v>38.0</v>
      </c>
      <c r="B45" s="48"/>
      <c r="C45" s="49"/>
      <c r="D45" s="49"/>
      <c r="E45" s="49"/>
      <c r="F45" s="52"/>
      <c r="G45" s="52"/>
      <c r="H45" s="52"/>
      <c r="I45" s="52"/>
      <c r="J45" s="52"/>
      <c r="K45" s="55" t="str">
        <f t="shared" si="1"/>
        <v/>
      </c>
      <c r="L45" s="56" t="str">
        <f t="shared" si="2"/>
        <v/>
      </c>
      <c r="M45" s="60" t="str">
        <f>IF(L45="","",IF(L45&gt;='Cài đặt'!$D$43,"Tốt",IF(L45&gt;='Cài đặt'!$D$44,"Khá",IF(L45&gt;='Cài đặt'!$D$45,"Trung bình","Cần khắc phục"))))</f>
        <v/>
      </c>
      <c r="N45" s="63"/>
      <c r="O45" s="64"/>
      <c r="P45" s="67"/>
      <c r="Q45" s="63"/>
    </row>
    <row r="46" ht="24.0" customHeight="1">
      <c r="A46" s="46">
        <v>39.0</v>
      </c>
      <c r="B46" s="48"/>
      <c r="C46" s="49"/>
      <c r="D46" s="49"/>
      <c r="E46" s="49"/>
      <c r="F46" s="52"/>
      <c r="G46" s="52"/>
      <c r="H46" s="52"/>
      <c r="I46" s="52"/>
      <c r="J46" s="52"/>
      <c r="K46" s="55" t="str">
        <f t="shared" si="1"/>
        <v/>
      </c>
      <c r="L46" s="56" t="str">
        <f t="shared" si="2"/>
        <v/>
      </c>
      <c r="M46" s="60" t="str">
        <f>IF(L46="","",IF(L46&gt;='Cài đặt'!$D$43,"Tốt",IF(L46&gt;='Cài đặt'!$D$44,"Khá",IF(L46&gt;='Cài đặt'!$D$45,"Trung bình","Cần khắc phục"))))</f>
        <v/>
      </c>
      <c r="N46" s="63"/>
      <c r="O46" s="64"/>
      <c r="P46" s="67"/>
      <c r="Q46" s="63"/>
    </row>
    <row r="47" ht="24.0" customHeight="1">
      <c r="A47" s="46">
        <v>40.0</v>
      </c>
      <c r="B47" s="48"/>
      <c r="C47" s="49"/>
      <c r="D47" s="49"/>
      <c r="E47" s="49"/>
      <c r="F47" s="52"/>
      <c r="G47" s="52"/>
      <c r="H47" s="52"/>
      <c r="I47" s="52"/>
      <c r="J47" s="52"/>
      <c r="K47" s="55" t="str">
        <f t="shared" si="1"/>
        <v/>
      </c>
      <c r="L47" s="56" t="str">
        <f t="shared" si="2"/>
        <v/>
      </c>
      <c r="M47" s="60" t="str">
        <f>IF(L47="","",IF(L47&gt;='Cài đặt'!$D$43,"Tốt",IF(L47&gt;='Cài đặt'!$D$44,"Khá",IF(L47&gt;='Cài đặt'!$D$45,"Trung bình","Cần khắc phục"))))</f>
        <v/>
      </c>
      <c r="N47" s="63"/>
      <c r="O47" s="64"/>
      <c r="P47" s="67"/>
      <c r="Q47" s="63"/>
    </row>
    <row r="48" ht="24.0" customHeight="1">
      <c r="A48" s="46">
        <v>41.0</v>
      </c>
      <c r="B48" s="48"/>
      <c r="C48" s="49"/>
      <c r="D48" s="49"/>
      <c r="E48" s="49"/>
      <c r="F48" s="52"/>
      <c r="G48" s="52"/>
      <c r="H48" s="52"/>
      <c r="I48" s="52"/>
      <c r="J48" s="52"/>
      <c r="K48" s="55" t="str">
        <f t="shared" si="1"/>
        <v/>
      </c>
      <c r="L48" s="56" t="str">
        <f t="shared" si="2"/>
        <v/>
      </c>
      <c r="M48" s="60" t="str">
        <f>IF(L48="","",IF(L48&gt;='Cài đặt'!$D$43,"Tốt",IF(L48&gt;='Cài đặt'!$D$44,"Khá",IF(L48&gt;='Cài đặt'!$D$45,"Trung bình","Cần khắc phục"))))</f>
        <v/>
      </c>
      <c r="N48" s="63"/>
      <c r="O48" s="64"/>
      <c r="P48" s="67"/>
      <c r="Q48" s="63"/>
    </row>
    <row r="49" ht="24.0" customHeight="1">
      <c r="A49" s="46">
        <v>42.0</v>
      </c>
      <c r="B49" s="48"/>
      <c r="C49" s="49"/>
      <c r="D49" s="49"/>
      <c r="E49" s="49"/>
      <c r="F49" s="52"/>
      <c r="G49" s="52"/>
      <c r="H49" s="52"/>
      <c r="I49" s="52"/>
      <c r="J49" s="52"/>
      <c r="K49" s="55" t="str">
        <f t="shared" si="1"/>
        <v/>
      </c>
      <c r="L49" s="56" t="str">
        <f t="shared" si="2"/>
        <v/>
      </c>
      <c r="M49" s="60" t="str">
        <f>IF(L49="","",IF(L49&gt;='Cài đặt'!$D$43,"Tốt",IF(L49&gt;='Cài đặt'!$D$44,"Khá",IF(L49&gt;='Cài đặt'!$D$45,"Trung bình","Cần khắc phục"))))</f>
        <v/>
      </c>
      <c r="N49" s="63"/>
      <c r="O49" s="64"/>
      <c r="P49" s="67"/>
      <c r="Q49" s="63"/>
    </row>
    <row r="50" ht="24.0" customHeight="1">
      <c r="A50" s="46">
        <v>43.0</v>
      </c>
      <c r="B50" s="48"/>
      <c r="C50" s="49"/>
      <c r="D50" s="49"/>
      <c r="E50" s="49"/>
      <c r="F50" s="52"/>
      <c r="G50" s="52"/>
      <c r="H50" s="52"/>
      <c r="I50" s="52"/>
      <c r="J50" s="52"/>
      <c r="K50" s="55" t="str">
        <f t="shared" si="1"/>
        <v/>
      </c>
      <c r="L50" s="56" t="str">
        <f t="shared" si="2"/>
        <v/>
      </c>
      <c r="M50" s="60" t="str">
        <f>IF(L50="","",IF(L50&gt;='Cài đặt'!$D$43,"Tốt",IF(L50&gt;='Cài đặt'!$D$44,"Khá",IF(L50&gt;='Cài đặt'!$D$45,"Trung bình","Cần khắc phục"))))</f>
        <v/>
      </c>
      <c r="N50" s="63"/>
      <c r="O50" s="64"/>
      <c r="P50" s="67"/>
      <c r="Q50" s="63"/>
    </row>
    <row r="51" ht="24.0" customHeight="1">
      <c r="A51" s="46">
        <v>44.0</v>
      </c>
      <c r="B51" s="48"/>
      <c r="C51" s="49"/>
      <c r="D51" s="49"/>
      <c r="E51" s="49"/>
      <c r="F51" s="52"/>
      <c r="G51" s="52"/>
      <c r="H51" s="52"/>
      <c r="I51" s="52"/>
      <c r="J51" s="52"/>
      <c r="K51" s="55" t="str">
        <f t="shared" si="1"/>
        <v/>
      </c>
      <c r="L51" s="56" t="str">
        <f t="shared" si="2"/>
        <v/>
      </c>
      <c r="M51" s="60" t="str">
        <f>IF(L51="","",IF(L51&gt;='Cài đặt'!$D$43,"Tốt",IF(L51&gt;='Cài đặt'!$D$44,"Khá",IF(L51&gt;='Cài đặt'!$D$45,"Trung bình","Cần khắc phục"))))</f>
        <v/>
      </c>
      <c r="N51" s="63"/>
      <c r="O51" s="64"/>
      <c r="P51" s="67"/>
      <c r="Q51" s="63"/>
    </row>
    <row r="52" ht="24.0" customHeight="1">
      <c r="A52" s="46">
        <v>45.0</v>
      </c>
      <c r="B52" s="48"/>
      <c r="C52" s="49"/>
      <c r="D52" s="49"/>
      <c r="E52" s="49"/>
      <c r="F52" s="52"/>
      <c r="G52" s="52"/>
      <c r="H52" s="52"/>
      <c r="I52" s="52"/>
      <c r="J52" s="52"/>
      <c r="K52" s="55" t="str">
        <f t="shared" si="1"/>
        <v/>
      </c>
      <c r="L52" s="56" t="str">
        <f t="shared" si="2"/>
        <v/>
      </c>
      <c r="M52" s="60" t="str">
        <f>IF(L52="","",IF(L52&gt;='Cài đặt'!$D$43,"Tốt",IF(L52&gt;='Cài đặt'!$D$44,"Khá",IF(L52&gt;='Cài đặt'!$D$45,"Trung bình","Cần khắc phục"))))</f>
        <v/>
      </c>
      <c r="N52" s="63"/>
      <c r="O52" s="64"/>
      <c r="P52" s="67"/>
      <c r="Q52" s="63"/>
    </row>
    <row r="53" ht="24.0" customHeight="1">
      <c r="A53" s="46">
        <v>46.0</v>
      </c>
      <c r="B53" s="48"/>
      <c r="C53" s="49"/>
      <c r="D53" s="49"/>
      <c r="E53" s="49"/>
      <c r="F53" s="52"/>
      <c r="G53" s="52"/>
      <c r="H53" s="52"/>
      <c r="I53" s="52"/>
      <c r="J53" s="52"/>
      <c r="K53" s="55" t="str">
        <f t="shared" si="1"/>
        <v/>
      </c>
      <c r="L53" s="56" t="str">
        <f t="shared" si="2"/>
        <v/>
      </c>
      <c r="M53" s="60" t="str">
        <f>IF(L53="","",IF(L53&gt;='Cài đặt'!$D$43,"Tốt",IF(L53&gt;='Cài đặt'!$D$44,"Khá",IF(L53&gt;='Cài đặt'!$D$45,"Trung bình","Cần khắc phục"))))</f>
        <v/>
      </c>
      <c r="N53" s="63"/>
      <c r="O53" s="64"/>
      <c r="P53" s="67"/>
      <c r="Q53" s="63"/>
    </row>
    <row r="54" ht="24.0" customHeight="1">
      <c r="A54" s="46">
        <v>47.0</v>
      </c>
      <c r="B54" s="48"/>
      <c r="C54" s="49"/>
      <c r="D54" s="49"/>
      <c r="E54" s="49"/>
      <c r="F54" s="52"/>
      <c r="G54" s="52"/>
      <c r="H54" s="52"/>
      <c r="I54" s="52"/>
      <c r="J54" s="52"/>
      <c r="K54" s="55" t="str">
        <f t="shared" si="1"/>
        <v/>
      </c>
      <c r="L54" s="56" t="str">
        <f t="shared" si="2"/>
        <v/>
      </c>
      <c r="M54" s="60" t="str">
        <f>IF(L54="","",IF(L54&gt;='Cài đặt'!$D$43,"Tốt",IF(L54&gt;='Cài đặt'!$D$44,"Khá",IF(L54&gt;='Cài đặt'!$D$45,"Trung bình","Cần khắc phục"))))</f>
        <v/>
      </c>
      <c r="N54" s="63"/>
      <c r="O54" s="64"/>
      <c r="P54" s="67"/>
      <c r="Q54" s="63"/>
    </row>
    <row r="55" ht="24.0" customHeight="1">
      <c r="A55" s="46">
        <v>48.0</v>
      </c>
      <c r="B55" s="48"/>
      <c r="C55" s="49"/>
      <c r="D55" s="49"/>
      <c r="E55" s="49"/>
      <c r="F55" s="52"/>
      <c r="G55" s="52"/>
      <c r="H55" s="52"/>
      <c r="I55" s="52"/>
      <c r="J55" s="52"/>
      <c r="K55" s="55" t="str">
        <f t="shared" si="1"/>
        <v/>
      </c>
      <c r="L55" s="56" t="str">
        <f t="shared" si="2"/>
        <v/>
      </c>
      <c r="M55" s="60" t="str">
        <f>IF(L55="","",IF(L55&gt;='Cài đặt'!$D$43,"Tốt",IF(L55&gt;='Cài đặt'!$D$44,"Khá",IF(L55&gt;='Cài đặt'!$D$45,"Trung bình","Cần khắc phục"))))</f>
        <v/>
      </c>
      <c r="N55" s="63"/>
      <c r="O55" s="64"/>
      <c r="P55" s="67"/>
      <c r="Q55" s="63"/>
    </row>
    <row r="56" ht="24.0" customHeight="1">
      <c r="A56" s="46">
        <v>49.0</v>
      </c>
      <c r="B56" s="48"/>
      <c r="C56" s="49"/>
      <c r="D56" s="49"/>
      <c r="E56" s="49"/>
      <c r="F56" s="52"/>
      <c r="G56" s="52"/>
      <c r="H56" s="52"/>
      <c r="I56" s="52"/>
      <c r="J56" s="52"/>
      <c r="K56" s="55" t="str">
        <f t="shared" si="1"/>
        <v/>
      </c>
      <c r="L56" s="56" t="str">
        <f t="shared" si="2"/>
        <v/>
      </c>
      <c r="M56" s="60" t="str">
        <f>IF(L56="","",IF(L56&gt;='Cài đặt'!$D$43,"Tốt",IF(L56&gt;='Cài đặt'!$D$44,"Khá",IF(L56&gt;='Cài đặt'!$D$45,"Trung bình","Cần khắc phục"))))</f>
        <v/>
      </c>
      <c r="N56" s="63"/>
      <c r="O56" s="64"/>
      <c r="P56" s="67"/>
      <c r="Q56" s="63"/>
    </row>
    <row r="57" ht="24.0" customHeight="1">
      <c r="A57" s="46">
        <v>50.0</v>
      </c>
      <c r="B57" s="48"/>
      <c r="C57" s="49"/>
      <c r="D57" s="49"/>
      <c r="E57" s="49"/>
      <c r="F57" s="52"/>
      <c r="G57" s="52"/>
      <c r="H57" s="52"/>
      <c r="I57" s="52"/>
      <c r="J57" s="52"/>
      <c r="K57" s="55" t="str">
        <f t="shared" si="1"/>
        <v/>
      </c>
      <c r="L57" s="56" t="str">
        <f t="shared" si="2"/>
        <v/>
      </c>
      <c r="M57" s="60" t="str">
        <f>IF(L57="","",IF(L57&gt;='Cài đặt'!$D$43,"Tốt",IF(L57&gt;='Cài đặt'!$D$44,"Khá",IF(L57&gt;='Cài đặt'!$D$45,"Trung bình","Cần khắc phục"))))</f>
        <v/>
      </c>
      <c r="N57" s="63"/>
      <c r="O57" s="64"/>
      <c r="P57" s="67"/>
      <c r="Q57" s="63"/>
    </row>
    <row r="58" ht="15.75" customHeight="1"/>
    <row r="59" ht="15.75" customHeight="1">
      <c r="A59" s="80" t="s">
        <v>154</v>
      </c>
    </row>
    <row r="60" ht="15.75" customHeight="1"/>
    <row r="61" ht="15.75" customHeight="1">
      <c r="C61" s="81" t="s">
        <v>155</v>
      </c>
      <c r="H61" s="81" t="s">
        <v>156</v>
      </c>
      <c r="O61" s="81" t="s">
        <v>157</v>
      </c>
    </row>
    <row r="62" ht="15.75" customHeight="1">
      <c r="C62" s="82" t="s">
        <v>158</v>
      </c>
      <c r="H62" s="82" t="s">
        <v>158</v>
      </c>
      <c r="O62" s="82" t="s">
        <v>158</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A1:Q1"/>
    <mergeCell ref="A2:Q2"/>
    <mergeCell ref="A3:Q3"/>
    <mergeCell ref="A4:C4"/>
    <mergeCell ref="D4:F4"/>
    <mergeCell ref="G4:K4"/>
    <mergeCell ref="L4:N4"/>
    <mergeCell ref="C61:D61"/>
    <mergeCell ref="C62:D62"/>
    <mergeCell ref="H62:N62"/>
    <mergeCell ref="O62:Q62"/>
    <mergeCell ref="A5:C5"/>
    <mergeCell ref="D5:F5"/>
    <mergeCell ref="G5:K5"/>
    <mergeCell ref="L5:N5"/>
    <mergeCell ref="A59:Q59"/>
    <mergeCell ref="H61:N61"/>
    <mergeCell ref="O61:Q61"/>
  </mergeCells>
  <conditionalFormatting sqref="M8:M57">
    <cfRule type="expression" dxfId="0" priority="1">
      <formula>M8="Tốt"</formula>
    </cfRule>
  </conditionalFormatting>
  <conditionalFormatting sqref="M8:M57">
    <cfRule type="expression" dxfId="1" priority="2">
      <formula>M8="Khá"</formula>
    </cfRule>
  </conditionalFormatting>
  <conditionalFormatting sqref="M8:M57">
    <cfRule type="expression" dxfId="2" priority="3">
      <formula>M8="Trung bình"</formula>
    </cfRule>
  </conditionalFormatting>
  <conditionalFormatting sqref="M8:M57">
    <cfRule type="expression" dxfId="3" priority="4">
      <formula>M8="Cần khắc phục"</formula>
    </cfRule>
  </conditionalFormatting>
  <conditionalFormatting sqref="F8:J57">
    <cfRule type="expression" dxfId="4" priority="5">
      <formula>AND(F8&lt;&gt;"",F8&lt;=2)</formula>
    </cfRule>
  </conditionalFormatting>
  <conditionalFormatting sqref="P8:P57">
    <cfRule type="expression" dxfId="5" priority="6">
      <formula>P8="Đã xong"</formula>
    </cfRule>
  </conditionalFormatting>
  <conditionalFormatting sqref="O8:O57">
    <cfRule type="expression" dxfId="4" priority="7">
      <formula>AND(O8&lt;&gt;"",O8&lt;TODAY(),P8&lt;&gt;"Đã xong")</formula>
    </cfRule>
  </conditionalFormatting>
  <dataValidations>
    <dataValidation type="list" allowBlank="1" showInputMessage="1" showErrorMessage="1" prompt="Nhân viên không hợp lệ - Chọn nhân viên có trong sheet 'Chấm công'." sqref="D8:D57">
      <formula1>'Chấm công'!$C$8:$C$37</formula1>
    </dataValidation>
    <dataValidation type="list" allowBlank="1" showInputMessage="1" showErrorMessage="1" prompt="Giá trị không hợp lệ - Chọn Chưa xử lý, Đang xử lý hoặc Đã xong." sqref="P8:P57">
      <formula1>"Chưa xử lý,Đang xử lý,Đã xong"</formula1>
    </dataValidation>
    <dataValidation type="date" operator="greaterThan" allowBlank="1" showInputMessage="1" showErrorMessage="1" prompt="Ngày không hợp lệ - Nhập ngày đúng định dạng dd/mm/yyyy." sqref="B8:B57">
      <formula1>36526.0</formula1>
    </dataValidation>
    <dataValidation type="decimal" allowBlank="1" showInputMessage="1" showErrorMessage="1" prompt="Điểm không hợp lệ - Nhập điểm nguyên từ 1 đến 5." sqref="F8:J57">
      <formula1>1.0</formula1>
      <formula2>5.0</formula2>
    </dataValidation>
  </dataValidations>
  <printOptions/>
  <pageMargins bottom="1.0" footer="0.0" header="0.0" left="0.3" right="0.3" top="1.0"/>
  <pageSetup fitToHeight="0"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1717A"/>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3.0"/>
    <col customWidth="1" min="2" max="2" width="10.0"/>
    <col customWidth="1" min="3" max="3" width="30.0"/>
    <col customWidth="1" min="4" max="5" width="12.0"/>
    <col customWidth="1" min="6" max="6" width="13.0"/>
    <col customWidth="1" min="7" max="7" width="14.0"/>
    <col customWidth="1" min="8" max="8" width="15.0"/>
    <col customWidth="1" min="9" max="9" width="3.0"/>
    <col customWidth="1" min="10" max="10" width="15.0"/>
    <col customWidth="1" min="11" max="11" width="30.0"/>
    <col customWidth="1" min="12" max="26" width="8.71"/>
  </cols>
  <sheetData>
    <row r="1" ht="30.0" customHeight="1">
      <c r="B1" s="3" t="s">
        <v>0</v>
      </c>
      <c r="C1" s="2"/>
      <c r="D1" s="2"/>
      <c r="E1" s="2"/>
      <c r="F1" s="2"/>
      <c r="G1" s="2"/>
      <c r="H1" s="2"/>
      <c r="I1" s="2"/>
      <c r="J1" s="2"/>
      <c r="K1" s="4"/>
    </row>
    <row r="3">
      <c r="J3" s="7" t="s">
        <v>3</v>
      </c>
      <c r="K3" s="4"/>
    </row>
    <row r="4" ht="15.0" customHeight="1">
      <c r="B4" s="7" t="s">
        <v>4</v>
      </c>
      <c r="C4" s="2"/>
      <c r="D4" s="2"/>
      <c r="E4" s="2"/>
      <c r="F4" s="2"/>
      <c r="G4" s="2"/>
      <c r="H4" s="4"/>
      <c r="J4" s="8" t="s">
        <v>6</v>
      </c>
      <c r="K4" s="9"/>
    </row>
    <row r="5" ht="21.75" customHeight="1">
      <c r="B5" s="11" t="s">
        <v>7</v>
      </c>
      <c r="C5" s="12"/>
      <c r="D5" s="14" t="s">
        <v>9</v>
      </c>
      <c r="E5" s="15"/>
      <c r="F5" s="15"/>
      <c r="G5" s="15"/>
      <c r="H5" s="17"/>
      <c r="J5" s="18"/>
      <c r="K5" s="19"/>
    </row>
    <row r="6" ht="21.75" customHeight="1">
      <c r="B6" s="11" t="s">
        <v>16</v>
      </c>
      <c r="C6" s="12"/>
      <c r="D6" s="14" t="s">
        <v>19</v>
      </c>
      <c r="E6" s="15"/>
      <c r="F6" s="15"/>
      <c r="G6" s="15"/>
      <c r="H6" s="17"/>
      <c r="J6" s="18"/>
      <c r="K6" s="19"/>
    </row>
    <row r="7" ht="21.75" customHeight="1">
      <c r="B7" s="11" t="s">
        <v>21</v>
      </c>
      <c r="C7" s="12"/>
      <c r="D7" s="24">
        <v>11.0</v>
      </c>
      <c r="E7" s="17"/>
      <c r="J7" s="18"/>
      <c r="K7" s="19"/>
    </row>
    <row r="8" ht="21.75" customHeight="1">
      <c r="B8" s="11" t="s">
        <v>28</v>
      </c>
      <c r="C8" s="12"/>
      <c r="D8" s="24">
        <v>2026.0</v>
      </c>
      <c r="E8" s="17"/>
      <c r="J8" s="18"/>
      <c r="K8" s="19"/>
    </row>
    <row r="9" ht="21.75" customHeight="1">
      <c r="B9" s="11" t="s">
        <v>30</v>
      </c>
      <c r="C9" s="12"/>
      <c r="D9" s="32">
        <f>DAY(EOMONTH(DATE(D8,D7,1),0))</f>
        <v>30</v>
      </c>
      <c r="E9" s="12"/>
      <c r="F9" s="33" t="s">
        <v>48</v>
      </c>
      <c r="J9" s="18"/>
      <c r="K9" s="19"/>
    </row>
    <row r="10" ht="21.75" customHeight="1">
      <c r="B10" s="11" t="s">
        <v>49</v>
      </c>
      <c r="C10" s="12"/>
      <c r="D10" s="32">
        <f>COUNTIF('Chấm công'!E7:AI7,"CN")</f>
        <v>5</v>
      </c>
      <c r="E10" s="12"/>
      <c r="F10" s="33" t="s">
        <v>50</v>
      </c>
      <c r="J10" s="18"/>
      <c r="K10" s="19"/>
    </row>
    <row r="11" ht="21.75" customHeight="1">
      <c r="B11" s="11" t="s">
        <v>51</v>
      </c>
      <c r="C11" s="12"/>
      <c r="D11" s="32">
        <f>D9-D10</f>
        <v>25</v>
      </c>
      <c r="E11" s="12"/>
      <c r="F11" s="33" t="s">
        <v>52</v>
      </c>
      <c r="J11" s="18"/>
      <c r="K11" s="19"/>
    </row>
    <row r="12" ht="21.75" customHeight="1">
      <c r="B12" s="11" t="s">
        <v>53</v>
      </c>
      <c r="C12" s="12"/>
      <c r="D12" s="24">
        <v>8.0</v>
      </c>
      <c r="E12" s="17"/>
      <c r="F12" s="33" t="s">
        <v>54</v>
      </c>
      <c r="J12" s="18"/>
      <c r="K12" s="19"/>
    </row>
    <row r="13">
      <c r="J13" s="37"/>
      <c r="K13" s="38"/>
    </row>
    <row r="14">
      <c r="B14" s="7" t="s">
        <v>55</v>
      </c>
      <c r="C14" s="2"/>
      <c r="D14" s="2"/>
      <c r="E14" s="2"/>
      <c r="F14" s="2"/>
      <c r="G14" s="2"/>
      <c r="H14" s="4"/>
      <c r="J14" s="7" t="s">
        <v>56</v>
      </c>
      <c r="K14" s="4"/>
    </row>
    <row r="15" ht="30.0" customHeight="1">
      <c r="B15" s="40" t="s">
        <v>57</v>
      </c>
      <c r="C15" s="40" t="s">
        <v>58</v>
      </c>
      <c r="D15" s="40" t="s">
        <v>59</v>
      </c>
      <c r="E15" s="40" t="s">
        <v>60</v>
      </c>
      <c r="F15" s="40" t="s">
        <v>62</v>
      </c>
      <c r="G15" s="40" t="s">
        <v>63</v>
      </c>
      <c r="H15" s="40" t="s">
        <v>65</v>
      </c>
      <c r="J15" s="41" t="s">
        <v>67</v>
      </c>
      <c r="K15" s="41" t="s">
        <v>71</v>
      </c>
    </row>
    <row r="16" ht="21.75" customHeight="1">
      <c r="B16" s="42" t="s">
        <v>74</v>
      </c>
      <c r="C16" s="43" t="s">
        <v>76</v>
      </c>
      <c r="D16" s="45">
        <v>0.25</v>
      </c>
      <c r="E16" s="45">
        <v>0.604166666666667</v>
      </c>
      <c r="F16" s="47">
        <v>0.5</v>
      </c>
      <c r="G16" s="51">
        <f t="shared" ref="G16:G20" si="1">IF(E16&gt;D16,(E16-D16)*24,(E16-D16+1)*24)-F16</f>
        <v>8</v>
      </c>
      <c r="H16" s="51">
        <f t="shared" ref="H16:H20" si="2">G16</f>
        <v>8</v>
      </c>
      <c r="J16" s="53">
        <v>46023.0</v>
      </c>
      <c r="K16" s="43" t="s">
        <v>86</v>
      </c>
    </row>
    <row r="17" ht="21.75" customHeight="1">
      <c r="B17" s="42" t="s">
        <v>87</v>
      </c>
      <c r="C17" s="43" t="s">
        <v>88</v>
      </c>
      <c r="D17" s="45">
        <v>0.583333333333333</v>
      </c>
      <c r="E17" s="45">
        <v>0.9375</v>
      </c>
      <c r="F17" s="47">
        <v>0.5</v>
      </c>
      <c r="G17" s="51">
        <f t="shared" si="1"/>
        <v>8</v>
      </c>
      <c r="H17" s="51">
        <f t="shared" si="2"/>
        <v>8</v>
      </c>
      <c r="J17" s="53">
        <v>46142.0</v>
      </c>
      <c r="K17" s="43" t="s">
        <v>89</v>
      </c>
    </row>
    <row r="18" ht="21.75" customHeight="1">
      <c r="B18" s="42" t="s">
        <v>90</v>
      </c>
      <c r="C18" s="43" t="s">
        <v>91</v>
      </c>
      <c r="D18" s="45">
        <v>0.3125</v>
      </c>
      <c r="E18" s="45">
        <v>0.6875</v>
      </c>
      <c r="F18" s="47">
        <v>1.0</v>
      </c>
      <c r="G18" s="51">
        <f t="shared" si="1"/>
        <v>8</v>
      </c>
      <c r="H18" s="51">
        <f t="shared" si="2"/>
        <v>8</v>
      </c>
      <c r="J18" s="53">
        <v>46143.0</v>
      </c>
      <c r="K18" s="43" t="s">
        <v>92</v>
      </c>
    </row>
    <row r="19" ht="21.75" customHeight="1">
      <c r="B19" s="42" t="s">
        <v>93</v>
      </c>
      <c r="C19" s="43" t="s">
        <v>94</v>
      </c>
      <c r="D19" s="45">
        <v>0.25</v>
      </c>
      <c r="E19" s="45">
        <v>0.833333333333333</v>
      </c>
      <c r="F19" s="47">
        <v>6.0</v>
      </c>
      <c r="G19" s="51">
        <f t="shared" si="1"/>
        <v>8</v>
      </c>
      <c r="H19" s="51">
        <f t="shared" si="2"/>
        <v>8</v>
      </c>
      <c r="J19" s="53">
        <v>46267.0</v>
      </c>
      <c r="K19" s="43" t="s">
        <v>95</v>
      </c>
    </row>
    <row r="20" ht="21.75" customHeight="1">
      <c r="B20" s="42" t="s">
        <v>96</v>
      </c>
      <c r="C20" s="43" t="s">
        <v>97</v>
      </c>
      <c r="D20" s="45">
        <v>0.291666666666667</v>
      </c>
      <c r="E20" s="45">
        <v>0.458333333333333</v>
      </c>
      <c r="F20" s="47">
        <v>0.0</v>
      </c>
      <c r="G20" s="51">
        <f t="shared" si="1"/>
        <v>4</v>
      </c>
      <c r="H20" s="51">
        <f t="shared" si="2"/>
        <v>4</v>
      </c>
      <c r="J20" s="53">
        <v>46388.0</v>
      </c>
      <c r="K20" s="43" t="s">
        <v>86</v>
      </c>
    </row>
    <row r="21" ht="21.75" customHeight="1">
      <c r="B21" s="42" t="s">
        <v>98</v>
      </c>
      <c r="C21" s="43" t="s">
        <v>99</v>
      </c>
      <c r="D21" s="57"/>
      <c r="E21" s="57"/>
      <c r="F21" s="51"/>
      <c r="G21" s="51">
        <v>0.0</v>
      </c>
      <c r="H21" s="51">
        <f t="shared" ref="H21:H22" si="3">$D$12</f>
        <v>8</v>
      </c>
      <c r="J21" s="53">
        <v>46507.0</v>
      </c>
      <c r="K21" s="43" t="s">
        <v>89</v>
      </c>
    </row>
    <row r="22" ht="21.75" customHeight="1">
      <c r="B22" s="42" t="s">
        <v>100</v>
      </c>
      <c r="C22" s="43" t="s">
        <v>101</v>
      </c>
      <c r="D22" s="57"/>
      <c r="E22" s="57"/>
      <c r="F22" s="51"/>
      <c r="G22" s="51">
        <v>0.0</v>
      </c>
      <c r="H22" s="51">
        <f t="shared" si="3"/>
        <v>8</v>
      </c>
      <c r="J22" s="53">
        <v>46508.0</v>
      </c>
      <c r="K22" s="43" t="s">
        <v>92</v>
      </c>
    </row>
    <row r="23" ht="21.75" customHeight="1">
      <c r="B23" s="42" t="s">
        <v>102</v>
      </c>
      <c r="C23" s="43" t="s">
        <v>103</v>
      </c>
      <c r="D23" s="57"/>
      <c r="E23" s="57"/>
      <c r="F23" s="51"/>
      <c r="G23" s="51">
        <v>0.0</v>
      </c>
      <c r="H23" s="47">
        <v>0.0</v>
      </c>
      <c r="J23" s="53">
        <v>46632.0</v>
      </c>
      <c r="K23" s="43" t="s">
        <v>95</v>
      </c>
    </row>
    <row r="24" ht="21.75" customHeight="1">
      <c r="B24" s="42" t="s">
        <v>104</v>
      </c>
      <c r="C24" s="43" t="s">
        <v>105</v>
      </c>
      <c r="D24" s="57"/>
      <c r="E24" s="57"/>
      <c r="F24" s="51"/>
      <c r="G24" s="51">
        <v>0.0</v>
      </c>
      <c r="H24" s="47">
        <v>0.0</v>
      </c>
      <c r="J24" s="53"/>
      <c r="K24" s="43"/>
    </row>
    <row r="25" ht="21.75" customHeight="1">
      <c r="B25" s="42" t="s">
        <v>106</v>
      </c>
      <c r="C25" s="43" t="s">
        <v>107</v>
      </c>
      <c r="D25" s="57"/>
      <c r="E25" s="57"/>
      <c r="F25" s="51"/>
      <c r="G25" s="51">
        <v>0.0</v>
      </c>
      <c r="H25" s="47">
        <v>0.0</v>
      </c>
      <c r="J25" s="53"/>
      <c r="K25" s="43"/>
    </row>
    <row r="26" ht="15.75" customHeight="1">
      <c r="J26" s="53"/>
      <c r="K26" s="43"/>
    </row>
    <row r="27" ht="15.0" customHeight="1">
      <c r="B27" s="58" t="s">
        <v>108</v>
      </c>
      <c r="J27" s="53"/>
      <c r="K27" s="43"/>
    </row>
    <row r="28" ht="15.75" customHeight="1">
      <c r="J28" s="53"/>
      <c r="K28" s="43"/>
    </row>
    <row r="29" ht="15.75" customHeight="1">
      <c r="J29" s="53"/>
      <c r="K29" s="43"/>
    </row>
    <row r="30" ht="15.75" customHeight="1">
      <c r="J30" s="53"/>
      <c r="K30" s="43"/>
    </row>
    <row r="31" ht="15.0" customHeight="1">
      <c r="B31" s="7" t="s">
        <v>109</v>
      </c>
      <c r="C31" s="2"/>
      <c r="D31" s="2"/>
      <c r="E31" s="2"/>
      <c r="F31" s="2"/>
      <c r="G31" s="2"/>
      <c r="H31" s="4"/>
      <c r="J31" s="58" t="s">
        <v>110</v>
      </c>
    </row>
    <row r="32" ht="21.75" customHeight="1">
      <c r="B32" s="11" t="s">
        <v>111</v>
      </c>
      <c r="C32" s="12"/>
      <c r="D32" s="61">
        <v>250000.0</v>
      </c>
      <c r="E32" s="17"/>
      <c r="F32" s="33" t="s">
        <v>112</v>
      </c>
    </row>
    <row r="33" ht="21.75" customHeight="1">
      <c r="B33" s="11" t="s">
        <v>113</v>
      </c>
      <c r="C33" s="12"/>
      <c r="D33" s="65">
        <v>1.5</v>
      </c>
      <c r="E33" s="17"/>
      <c r="F33" s="33" t="s">
        <v>114</v>
      </c>
    </row>
    <row r="34" ht="21.75" customHeight="1">
      <c r="B34" s="11" t="s">
        <v>115</v>
      </c>
      <c r="C34" s="12"/>
      <c r="D34" s="65">
        <v>2.0</v>
      </c>
      <c r="E34" s="17"/>
      <c r="F34" s="33" t="s">
        <v>118</v>
      </c>
    </row>
    <row r="35" ht="21.75" customHeight="1">
      <c r="B35" s="11" t="s">
        <v>119</v>
      </c>
      <c r="C35" s="12"/>
      <c r="D35" s="65">
        <v>3.0</v>
      </c>
      <c r="E35" s="17"/>
      <c r="F35" s="33" t="s">
        <v>120</v>
      </c>
    </row>
    <row r="36" ht="21.75" customHeight="1">
      <c r="B36" s="11" t="s">
        <v>121</v>
      </c>
      <c r="C36" s="12"/>
      <c r="D36" s="61">
        <v>30000.0</v>
      </c>
      <c r="E36" s="17"/>
      <c r="F36" s="33" t="s">
        <v>122</v>
      </c>
    </row>
    <row r="37" ht="21.75" customHeight="1">
      <c r="B37" s="11" t="s">
        <v>123</v>
      </c>
      <c r="C37" s="12"/>
      <c r="D37" s="61">
        <v>300000.0</v>
      </c>
      <c r="E37" s="17"/>
      <c r="F37" s="33" t="s">
        <v>124</v>
      </c>
    </row>
    <row r="38" ht="21.75" customHeight="1">
      <c r="B38" s="11" t="s">
        <v>125</v>
      </c>
      <c r="C38" s="12"/>
      <c r="D38" s="69">
        <v>0.105</v>
      </c>
      <c r="E38" s="17"/>
      <c r="F38" s="33" t="s">
        <v>126</v>
      </c>
    </row>
    <row r="39" ht="15.0" customHeight="1">
      <c r="B39" s="58" t="s">
        <v>128</v>
      </c>
    </row>
    <row r="40" ht="15.75" customHeight="1"/>
    <row r="41" ht="15.75" customHeight="1"/>
    <row r="42" ht="15.75" customHeight="1">
      <c r="B42" s="7" t="s">
        <v>130</v>
      </c>
      <c r="C42" s="2"/>
      <c r="D42" s="2"/>
      <c r="E42" s="2"/>
      <c r="F42" s="2"/>
      <c r="G42" s="2"/>
      <c r="H42" s="4"/>
    </row>
    <row r="43" ht="21.75" customHeight="1">
      <c r="B43" s="11" t="s">
        <v>133</v>
      </c>
      <c r="C43" s="12"/>
      <c r="D43" s="70">
        <v>0.9</v>
      </c>
      <c r="E43" s="17"/>
      <c r="F43" s="71" t="s">
        <v>134</v>
      </c>
    </row>
    <row r="44" ht="21.75" customHeight="1">
      <c r="B44" s="11" t="s">
        <v>135</v>
      </c>
      <c r="C44" s="12"/>
      <c r="D44" s="70">
        <v>0.75</v>
      </c>
      <c r="E44" s="17"/>
      <c r="F44" s="71" t="s">
        <v>134</v>
      </c>
    </row>
    <row r="45" ht="21.75" customHeight="1">
      <c r="B45" s="11" t="s">
        <v>136</v>
      </c>
      <c r="C45" s="12"/>
      <c r="D45" s="70">
        <v>0.6</v>
      </c>
      <c r="E45" s="17"/>
      <c r="F45" s="71" t="s">
        <v>134</v>
      </c>
    </row>
    <row r="46" ht="15.0" customHeight="1">
      <c r="B46" s="58" t="s">
        <v>137</v>
      </c>
    </row>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2">
    <mergeCell ref="J4:K13"/>
    <mergeCell ref="J14:K14"/>
    <mergeCell ref="B1:K1"/>
    <mergeCell ref="J3:K3"/>
    <mergeCell ref="B4:H4"/>
    <mergeCell ref="D5:H5"/>
    <mergeCell ref="D6:H6"/>
    <mergeCell ref="F9:H9"/>
    <mergeCell ref="B14:H14"/>
    <mergeCell ref="F11:H11"/>
    <mergeCell ref="B12:C12"/>
    <mergeCell ref="D12:E12"/>
    <mergeCell ref="F12:H12"/>
    <mergeCell ref="B27:H29"/>
    <mergeCell ref="B31:H31"/>
    <mergeCell ref="J31:K33"/>
    <mergeCell ref="F32:H32"/>
    <mergeCell ref="B33:C33"/>
    <mergeCell ref="D33:E33"/>
    <mergeCell ref="F33:H33"/>
    <mergeCell ref="B34:C34"/>
    <mergeCell ref="D34:E34"/>
    <mergeCell ref="F34:H34"/>
    <mergeCell ref="D37:E37"/>
    <mergeCell ref="F37:H37"/>
    <mergeCell ref="B35:C35"/>
    <mergeCell ref="D35:E35"/>
    <mergeCell ref="F35:H35"/>
    <mergeCell ref="B36:C36"/>
    <mergeCell ref="D36:E36"/>
    <mergeCell ref="F36:H36"/>
    <mergeCell ref="B37:C37"/>
    <mergeCell ref="B43:C43"/>
    <mergeCell ref="B44:C44"/>
    <mergeCell ref="D44:E44"/>
    <mergeCell ref="F44:H44"/>
    <mergeCell ref="B45:C45"/>
    <mergeCell ref="D45:E45"/>
    <mergeCell ref="F45:H45"/>
    <mergeCell ref="B46:H47"/>
    <mergeCell ref="B38:C38"/>
    <mergeCell ref="D38:E38"/>
    <mergeCell ref="F38:H38"/>
    <mergeCell ref="B39:H40"/>
    <mergeCell ref="B42:H42"/>
    <mergeCell ref="D43:E43"/>
    <mergeCell ref="F43:H43"/>
    <mergeCell ref="B6:C6"/>
    <mergeCell ref="B7:C7"/>
    <mergeCell ref="D7:E7"/>
    <mergeCell ref="B8:C8"/>
    <mergeCell ref="D8:E8"/>
    <mergeCell ref="B9:C9"/>
    <mergeCell ref="D9:E9"/>
    <mergeCell ref="B5:C5"/>
    <mergeCell ref="B10:C10"/>
    <mergeCell ref="D10:E10"/>
    <mergeCell ref="F10:H10"/>
    <mergeCell ref="B11:C11"/>
    <mergeCell ref="D11:E11"/>
    <mergeCell ref="B32:C32"/>
    <mergeCell ref="D32:E32"/>
  </mergeCells>
  <dataValidations>
    <dataValidation type="list" allowBlank="1" showInputMessage="1" showErrorMessage="1" prompt="Tháng không hợp lệ - Chọn tháng từ 1 đến 12." sqref="D7">
      <formula1>"1,2,3,4,5,6,7,8,9,10,11,12"</formula1>
    </dataValidation>
    <dataValidation type="decimal" allowBlank="1" showInputMessage="1" showErrorMessage="1" prompt="Năm không hợp lệ - Nhập năm từ 2000 đến 2100." sqref="D8">
      <formula1>2000.0</formula1>
      <formula2>2100.0</formula2>
    </dataValidation>
  </dataValidations>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2026-10-26T07:46:17Z</dcterms:created>
  <dc:creator>openpyxl</dc:creator>
</cp:coreProperties>
</file>

<file path=docProps/custom.xml><?xml version="1.0" encoding="utf-8"?>
<Properties xmlns="http://schemas.openxmlformats.org/officeDocument/2006/custom-properties" xmlns:vt="http://schemas.openxmlformats.org/officeDocument/2006/docPropsVTypes"/>
</file>