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hấm công" sheetId="1" r:id="rId4"/>
    <sheet state="visible" name="Tổng hợp lương" sheetId="2" r:id="rId5"/>
    <sheet state="visible" name="Nhật ký hành trình" sheetId="3" r:id="rId6"/>
    <sheet state="visible" name="Cài đặt" sheetId="4" r:id="rId7"/>
  </sheets>
  <definedNames/>
  <calcPr/>
  <extLst>
    <ext uri="GoogleSheetsCustomDataVersion2">
      <go:sheetsCustomData xmlns:go="http://customooxmlschemas.google.com/" r:id="rId8" roundtripDataChecksum="YWat/LGiU0sg+8k9s/NogJC7itVoBFjZ2MHdhs9X+iQ="/>
    </ext>
  </extLst>
</workbook>
</file>

<file path=xl/sharedStrings.xml><?xml version="1.0" encoding="utf-8"?>
<sst xmlns="http://schemas.openxmlformats.org/spreadsheetml/2006/main" count="495" uniqueCount="194">
  <si>
    <t>BẢNG CHẤM CÔNG LÁI XE</t>
  </si>
  <si>
    <t>STT</t>
  </si>
  <si>
    <t>Mã NV</t>
  </si>
  <si>
    <t>Họ và tên lái xe</t>
  </si>
  <si>
    <t>Biển số xe</t>
  </si>
  <si>
    <t>NGÀY TRONG THÁNG</t>
  </si>
  <si>
    <t>TỔNG HỢP SỐ CA / NGÀY</t>
  </si>
  <si>
    <t>TỔNG HỢP GIỜ &amp; CÔNG</t>
  </si>
  <si>
    <t>Ghi chú</t>
  </si>
  <si>
    <t>Tổng giờ làm thực tế</t>
  </si>
  <si>
    <t>Giờ làm Chủ nhật</t>
  </si>
  <si>
    <t>Giờ làm ngày lễ</t>
  </si>
  <si>
    <t>Tổng công hưởng lương</t>
  </si>
  <si>
    <t>Giờ tăng ca</t>
  </si>
  <si>
    <t>LX001</t>
  </si>
  <si>
    <t>Nguyễn Văn Thành</t>
  </si>
  <si>
    <t>30K-555.12</t>
  </si>
  <si>
    <t>H</t>
  </si>
  <si>
    <t>OFF</t>
  </si>
  <si>
    <t>LX002</t>
  </si>
  <si>
    <t>Trần Quốc Việt</t>
  </si>
  <si>
    <t>K</t>
  </si>
  <si>
    <t>LX003</t>
  </si>
  <si>
    <t>Phạm Văn Cường</t>
  </si>
  <si>
    <t>30A-123.45</t>
  </si>
  <si>
    <t>S</t>
  </si>
  <si>
    <t>C</t>
  </si>
  <si>
    <t>P</t>
  </si>
  <si>
    <t>LX004</t>
  </si>
  <si>
    <t>Hoàng Văn Tùng</t>
  </si>
  <si>
    <t>LX005</t>
  </si>
  <si>
    <t>Đỗ Minh Hải</t>
  </si>
  <si>
    <t>30F-678.90</t>
  </si>
  <si>
    <t>T</t>
  </si>
  <si>
    <t>Ô</t>
  </si>
  <si>
    <t>LX006</t>
  </si>
  <si>
    <t>Lê Hữu Phước</t>
  </si>
  <si>
    <t>29B-234.56</t>
  </si>
  <si>
    <t>Đ</t>
  </si>
  <si>
    <t>LX007</t>
  </si>
  <si>
    <t>Vũ Đình Khoa</t>
  </si>
  <si>
    <t>29C-777.88</t>
  </si>
  <si>
    <t>LX008</t>
  </si>
  <si>
    <t>Bùi Xuân Trường</t>
  </si>
  <si>
    <t>TỔNG CỘNG</t>
  </si>
  <si>
    <t>Số lái xe làm trong ngày</t>
  </si>
  <si>
    <t>Lưu ý: 8 dòng đầu là DỮ LIỆU MẪU – xóa họ tên, biển số và ký hiệu rồi nhập thông tin thật. Nhập liệu ở cột A–D, lưới ngày và Ghi chú (nền trắng); các ô nền xám tự tính. Tăng ca = Tổng giờ làm − Công chuẩn × 8 giờ (nếu &gt; 0).</t>
  </si>
  <si>
    <t>KÝ HIỆU CHẤM CÔNG</t>
  </si>
  <si>
    <t>NGƯỜI LẬP BẢNG</t>
  </si>
  <si>
    <t>TRƯỞNG ĐỘI XE</t>
  </si>
  <si>
    <t>XÁC NHẬN CỦA ĐƠN VỊ</t>
  </si>
  <si>
    <t>(Ký, ghi rõ họ tên)</t>
  </si>
  <si>
    <t>BẢNG TỔNG HỢP CÔNG VÀ LƯƠNG LÁI XE</t>
  </si>
  <si>
    <t>NGÀY CÔNG</t>
  </si>
  <si>
    <t>CÔNG &amp; GIỜ</t>
  </si>
  <si>
    <t>HÀNH TRÌNH (từ nhật ký)</t>
  </si>
  <si>
    <t>THU NHẬP (VNĐ)</t>
  </si>
  <si>
    <t>KHẤU TRỪ &amp; THỰC LĨNH</t>
  </si>
  <si>
    <t>Ký nhận</t>
  </si>
  <si>
    <t>Ngày làm thực tế</t>
  </si>
  <si>
    <t>Nghỉ hưởng lương (P+L)</t>
  </si>
  <si>
    <t>Nghỉ ốm / không lương</t>
  </si>
  <si>
    <t>Công hưởng lương</t>
  </si>
  <si>
    <t>Km chạy</t>
  </si>
  <si>
    <t>Số chuyến</t>
  </si>
  <si>
    <t>Đêm ngủ lại</t>
  </si>
  <si>
    <t>Tiết kiệm (+) / vượt (−) lít NL</t>
  </si>
  <si>
    <t>Lương theo công</t>
  </si>
  <si>
    <t>PC tăng ca</t>
  </si>
  <si>
    <t>PC Chủ nhật</t>
  </si>
  <si>
    <t>PC ngày lễ</t>
  </si>
  <si>
    <t>PC ăn ca</t>
  </si>
  <si>
    <t>PC chuyên cần</t>
  </si>
  <si>
    <t>PC theo km</t>
  </si>
  <si>
    <t>PC ngủ lại</t>
  </si>
  <si>
    <t>Thưởng / phạt nhiên liệu</t>
  </si>
  <si>
    <t>Tổng thu nhập</t>
  </si>
  <si>
    <t>Khấu trừ bảo hiểm</t>
  </si>
  <si>
    <t>Tạm ứng / khấu trừ khác</t>
  </si>
  <si>
    <t>THỰC LĨNH</t>
  </si>
  <si>
    <t>Công, giờ lấy từ sheet 'Chấm công'; km, chuyến, đêm ngủ lại, chênh lệch nhiên liệu cộng từ 'Nhật ký hành trình' theo tên lái xe và đúng tháng/năm đã chọn (tên phải trùng khớp). Đơn giá, hệ số, phụ cấp lấy từ mục 4 sheet 'Cài đặt'. Chỉ nhập tay cột 'Tạm ứng / khấu trừ khác'.</t>
  </si>
  <si>
    <t>KẾ TOÁN</t>
  </si>
  <si>
    <t>GIÁM ĐỐC / QUẢN LÝ</t>
  </si>
  <si>
    <t>NHẬT KÝ HÀNH TRÌNH XE</t>
  </si>
  <si>
    <t>Tổng km chạy trong tháng</t>
  </si>
  <si>
    <t>Tổng số chuyến</t>
  </si>
  <si>
    <t>Tiêu hao TB (lít/100 km)</t>
  </si>
  <si>
    <t>Xe cần bảo dưỡng / sự cố</t>
  </si>
  <si>
    <t>Ngày</t>
  </si>
  <si>
    <t>Thứ</t>
  </si>
  <si>
    <t>Lái xe</t>
  </si>
  <si>
    <t>Tuyến đường / điểm đi – điểm đến</t>
  </si>
  <si>
    <t>Km đầu</t>
  </si>
  <si>
    <t>Km cuối</t>
  </si>
  <si>
    <t>Nhiên liệu thực tế (lít)</t>
  </si>
  <si>
    <t>Định mức (lít)</t>
  </si>
  <si>
    <t>Tiết kiệm (+) / Vượt (−) lít</t>
  </si>
  <si>
    <t>Số đêm ngủ lại</t>
  </si>
  <si>
    <t>Phí cầu đường, bến bãi (đ)</t>
  </si>
  <si>
    <t>Tình trạng xe</t>
  </si>
  <si>
    <t>Hà Nội – Nội Bài – Hà Nội (đưa đón lãnh đạo)</t>
  </si>
  <si>
    <t>Bình thường</t>
  </si>
  <si>
    <t>Hà Nội – Hải Phòng – Hà Nội</t>
  </si>
  <si>
    <t>Hà Nội – Sa Pa (đoàn khách)</t>
  </si>
  <si>
    <t>Đón khách sân bay – nội thành</t>
  </si>
  <si>
    <t>Kho Long Biên – Bắc Ninh – Hà Nội</t>
  </si>
  <si>
    <t>Hà Nội – Ninh Bình – Hà Nội</t>
  </si>
  <si>
    <t>Hà Nội – Hạ Long (công tác lãnh đạo)</t>
  </si>
  <si>
    <t>Cần bảo dưỡng</t>
  </si>
  <si>
    <t>Đến hạn bảo dưỡng 45.500 km</t>
  </si>
  <si>
    <t>Kho Long Biên – Hải Dương – Hà Nội</t>
  </si>
  <si>
    <t>Lưu ý: 8 dòng đầu là DỮ LIỆU MẪU – xóa nội dung rồi nhập thật. Nhập ở ô nền trắng; ô nền xám (Thứ, Km chạy, Định mức, Tiết kiệm/Vượt) tự tính. Km chạy = Km cuối − Km đầu ('Lỗi' nếu km cuối nhỏ hơn km đầu). Định mức lấy theo biển số xe ở mục 5 sheet 'Cài đặt'. Sheet 'Tổng hợp lương' tự cộng km, chuyến, đêm ngủ lại và nhiên liệu theo từng lái xe.</t>
  </si>
  <si>
    <t>NGƯỜI LẬP NHẬT KÝ</t>
  </si>
  <si>
    <t>CÀI ĐẶT BẢNG CHẤM CÔNG LÁI XE</t>
  </si>
  <si>
    <t>HƯỚNG DẪN SỬ DỤNG</t>
  </si>
  <si>
    <t>1. THÔNG TIN CHUNG</t>
  </si>
  <si>
    <t>1) Nhập tên đơn vị, bộ phận, tháng và năm ở mục 1.
2) Kiểm tra bảng ký hiệu ca (mục 2): sửa giờ vào/ra và giờ nghỉ nếu khác thực tế.
3) Nhập ngày lễ của năm vào mục 3.
4) Mục 4: nhập đơn giá công, đơn giá km, phụ cấp, giá nhiên liệu cho sheet 'Tổng hợp lương'.
5) Mục 5: khai báo danh sách xe và định mức nhiên liệu (lít/100 km).
6) Sheet 'Chấm công': nhập tên lái xe, biển số, chọn ký hiệu từng ngày.
7) Sheet 'Nhật ký hành trình': ghi km đầu/cuối, chuyến, nhiên liệu mỗi lượt chạy – km và nhiên liệu tự tính.
Ô nền cam nhạt = ô cần nhập. Ô nền xám = ô tự tính.</t>
  </si>
  <si>
    <t>Tên đơn vị / công ty</t>
  </si>
  <si>
    <t>CÔNG TY TNHH VẬN TẢI &amp; DỊCH VỤ MẪU</t>
  </si>
  <si>
    <t>Bộ phận quản lý xe</t>
  </si>
  <si>
    <t>Đội xe – Phòng Hành chính, Hà Nội</t>
  </si>
  <si>
    <t>Tháng chấm công</t>
  </si>
  <si>
    <t>Năm chấm công</t>
  </si>
  <si>
    <t>Số ngày trong tháng</t>
  </si>
  <si>
    <t>Tự tính theo tháng/năm</t>
  </si>
  <si>
    <t>Số ngày Chủ nhật</t>
  </si>
  <si>
    <t>Tự đếm trên bảng chấm công</t>
  </si>
  <si>
    <t>Công chuẩn trong tháng (ngày)</t>
  </si>
  <si>
    <t>Bằng số ngày − Chủ nhật (có thể nhập đè số khác)</t>
  </si>
  <si>
    <t>Số giờ tính 1 công</t>
  </si>
  <si>
    <t>Dùng quy đổi giờ → công và tính tăng ca</t>
  </si>
  <si>
    <t>2. BẢNG KÝ HIỆU CHẤM CÔNG</t>
  </si>
  <si>
    <t>3. NGÀY LỄ TRONG NĂM</t>
  </si>
  <si>
    <t>Ký hiệu</t>
  </si>
  <si>
    <t>Tên ca / loại nghỉ</t>
  </si>
  <si>
    <t>Giờ bắt đầu</t>
  </si>
  <si>
    <t>Giờ kết thúc</t>
  </si>
  <si>
    <t>Nghỉ giữa ca (giờ)</t>
  </si>
  <si>
    <t>Giờ làm thực tế</t>
  </si>
  <si>
    <t>Giờ hưởng lương</t>
  </si>
  <si>
    <t>Tên ngày lễ</t>
  </si>
  <si>
    <t>Ca hành chính</t>
  </si>
  <si>
    <t>Tết Dương lịch</t>
  </si>
  <si>
    <t>Ca sáng</t>
  </si>
  <si>
    <t>Ngày Giải phóng miền Nam</t>
  </si>
  <si>
    <t>Ca chiều</t>
  </si>
  <si>
    <t>Quốc tế Lao động</t>
  </si>
  <si>
    <t>Ca đêm</t>
  </si>
  <si>
    <t>Quốc khánh</t>
  </si>
  <si>
    <t>Chạy tuyến dài</t>
  </si>
  <si>
    <t>Nghỉ phép năm</t>
  </si>
  <si>
    <t>L</t>
  </si>
  <si>
    <t>Nghỉ lễ</t>
  </si>
  <si>
    <t>Nghỉ ốm (BHXH)</t>
  </si>
  <si>
    <t>Nghỉ không lương</t>
  </si>
  <si>
    <t>Nghỉ tuần</t>
  </si>
  <si>
    <t>Ghi chú: 'Giờ làm thực tế' = (giờ kết thúc − giờ bắt đầu) − nghỉ giữa ca (kể cả ca qua đêm), dùng tính tổng giờ và tăng ca; 'Giờ hưởng lương' dùng quy đổi ra công. Nghỉ phép/nghỉ lễ mặc định hưởng 1 công – sửa ở cột H nếu chính sách khác. Muốn thêm ký hiệu mới: chèn dòng vào GIỮA bảng để công thức tự mở rộng.</t>
  </si>
  <si>
    <t>4. THAM SỐ TÍNH LƯƠNG</t>
  </si>
  <si>
    <t>Cần tự bổ sung: Tết Âm lịch, Giỗ Tổ Hùng Vương và các ngày nghỉ bù theo thông báo hằng năm của Chính phủ.</t>
  </si>
  <si>
    <t>Đơn giá 1 công (VNĐ)</t>
  </si>
  <si>
    <t>Lương cho 1 công = 8 giờ</t>
  </si>
  <si>
    <t>Hệ số tăng ca ngày thường</t>
  </si>
  <si>
    <t>Phần giờ vượt công chuẩn</t>
  </si>
  <si>
    <t>Hệ số làm Chủ nhật</t>
  </si>
  <si>
    <t>Áp dụng cho giờ làm Chủ nhật</t>
  </si>
  <si>
    <t>Hệ số làm ngày lễ</t>
  </si>
  <si>
    <t>Áp dụng cho giờ làm ngày lễ</t>
  </si>
  <si>
    <t>Phụ cấp ăn ca (VNĐ/ngày làm)</t>
  </si>
  <si>
    <t>Mỗi ngày đi làm thực tế</t>
  </si>
  <si>
    <t>Phụ cấp chuyên cần (VNĐ/tháng)</t>
  </si>
  <si>
    <t>Chỉ nhận khi không nghỉ không lương</t>
  </si>
  <si>
    <t>Khấu trừ bảo hiểm (% lương công)</t>
  </si>
  <si>
    <t>BHXH+BHYT+BHTN NLĐ; nhập 0% nếu không trừ</t>
  </si>
  <si>
    <t>Phụ cấp theo km (VNĐ/km)</t>
  </si>
  <si>
    <t>Nhân với tổng km chạy trong tháng</t>
  </si>
  <si>
    <t>Phụ cấp ngủ lại (VNĐ/đêm)</t>
  </si>
  <si>
    <t>Công tác xa, ngủ lại qua đêm</t>
  </si>
  <si>
    <t>Giá nhiên liệu (VNĐ/lít)</t>
  </si>
  <si>
    <t>Dùng tính thưởng/phạt nhiên liệu</t>
  </si>
  <si>
    <t>Tỷ lệ thưởng/phạt chênh lệch NL</t>
  </si>
  <si>
    <t>% giá trị lít tiết kiệm (+) hoặc vượt (−)</t>
  </si>
  <si>
    <t>Cách tính: mọi giờ làm đều được trả 1× qua 'công hưởng lương'; tăng ca, Chủ nhật, ngày lễ chỉ cộng THÊM phần chênh (hệ số − 1) × đơn giá giờ (= đơn giá công ÷ giờ tính 1 công). Thưởng/phạt nhiên liệu = (định mức − thực tế) × giá × tỷ lệ. Các số liệu trên là giá trị mẫu – hãy sửa theo hợp đồng/quy chế của đơn vị.</t>
  </si>
  <si>
    <t>5. DANH SÁCH XE &amp; ĐỊNH MỨC NHIÊN LIỆU</t>
  </si>
  <si>
    <t>Loại xe</t>
  </si>
  <si>
    <t>Định mức (lít/100 km)</t>
  </si>
  <si>
    <t>Toyota Camry 2.5</t>
  </si>
  <si>
    <t>Xe lãnh đạo</t>
  </si>
  <si>
    <t>Toyota Innova 7 chỗ</t>
  </si>
  <si>
    <t>Ford Transit 16 chỗ</t>
  </si>
  <si>
    <t>Xe đưa đón khách</t>
  </si>
  <si>
    <t>Hyundai Solati 16 chỗ</t>
  </si>
  <si>
    <t>Xe tải 1,5 tấn</t>
  </si>
  <si>
    <t>Chở hàng nội thành</t>
  </si>
  <si>
    <t>Định mức nhiên liệu là số lít tiêu hao tiêu chuẩn cho 100 km của từng xe – lấy theo thông số nhà sản xuất hoặc quy định nội bộ. 5 xe và định mức ở trên là dữ liệu mẫu.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</si>
</sst>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9">
    <numFmt numFmtId="164" formatCode="0;\-0;\-"/>
    <numFmt numFmtId="165" formatCode="0.0;\-0.0;\-"/>
    <numFmt numFmtId="166" formatCode="#,##0;\-#,##0;\-"/>
    <numFmt numFmtId="167" formatCode="\+0.0;\-0.0;\-"/>
    <numFmt numFmtId="168" formatCode="0.0"/>
    <numFmt numFmtId="169" formatCode="dd/mm/yyyy"/>
    <numFmt numFmtId="170" formatCode="\+0.0;\-0.0;0.0"/>
    <numFmt numFmtId="171" formatCode="hh:mm"/>
    <numFmt numFmtId="172" formatCode="0.0%"/>
  </numFmts>
  <fonts count="24">
    <font>
      <sz val="11.0"/>
      <color theme="1"/>
      <name val="Calibri"/>
      <scheme val="minor"/>
    </font>
    <font>
      <b/>
      <sz val="11.0"/>
      <color rgb="FFFFFFFF"/>
      <name val="Inter Tight"/>
    </font>
    <font/>
    <font>
      <b/>
      <sz val="24.0"/>
      <color rgb="FFF97316"/>
      <name val="Inter Tight"/>
    </font>
    <font>
      <sz val="11.0"/>
      <color rgb="FF3F3F46"/>
      <name val="Inter Tight"/>
    </font>
    <font>
      <b/>
      <sz val="10.0"/>
      <color rgb="FFFFFFFF"/>
      <name val="Inter Tight"/>
    </font>
    <font>
      <b/>
      <sz val="8.0"/>
      <color rgb="FF71717A"/>
      <name val="Inter Tight"/>
    </font>
    <font>
      <b/>
      <sz val="9.0"/>
      <color rgb="FFFFFFFF"/>
      <name val="Inter Tight"/>
    </font>
    <font>
      <b/>
      <sz val="9.0"/>
      <color rgb="FF3F3F46"/>
      <name val="Inter Tight"/>
    </font>
    <font>
      <sz val="10.0"/>
      <color rgb="FF71717A"/>
      <name val="Inter Tight"/>
    </font>
    <font>
      <sz val="10.0"/>
      <color rgb="FF27272A"/>
      <name val="Inter Tight"/>
    </font>
    <font>
      <sz val="9.0"/>
      <color rgb="FF27272A"/>
      <name val="Inter Tight"/>
    </font>
    <font>
      <b/>
      <sz val="9.0"/>
      <color rgb="FF27272A"/>
      <name val="Inter Tight"/>
    </font>
    <font>
      <b/>
      <sz val="10.0"/>
      <color rgb="FF27272A"/>
      <name val="Inter Tight"/>
    </font>
    <font>
      <b/>
      <sz val="10.0"/>
      <color rgb="FF9A3412"/>
      <name val="Inter Tight"/>
    </font>
    <font>
      <b/>
      <sz val="10.0"/>
      <color rgb="FF3F3F46"/>
      <name val="Inter Tight"/>
    </font>
    <font>
      <b/>
      <sz val="9.0"/>
      <color rgb="FF9A3412"/>
      <name val="Inter Tight"/>
    </font>
    <font>
      <sz val="9.0"/>
      <color rgb="FF3F3F46"/>
      <name val="Inter Tight"/>
    </font>
    <font>
      <i/>
      <sz val="9.0"/>
      <color rgb="FF71717A"/>
      <name val="Inter Tight"/>
    </font>
    <font>
      <b/>
      <sz val="9.0"/>
      <color rgb="FF7C2D12"/>
      <name val="Inter Tight"/>
    </font>
    <font>
      <b/>
      <sz val="9.0"/>
      <color rgb="FFA1A1AA"/>
      <name val="Inter Tight"/>
    </font>
    <font>
      <b/>
      <sz val="16.0"/>
      <color rgb="FFF97316"/>
      <name val="Inter Tight"/>
    </font>
    <font>
      <b/>
      <sz val="14.0"/>
      <color rgb="FFFFFFFF"/>
      <name val="Inter Tight"/>
    </font>
    <font>
      <i/>
      <sz val="8.0"/>
      <color rgb="FF71717A"/>
      <name val="Inter Tight"/>
    </font>
  </fonts>
  <fills count="14">
    <fill>
      <patternFill patternType="none"/>
    </fill>
    <fill>
      <patternFill patternType="lightGray"/>
    </fill>
    <fill>
      <patternFill patternType="solid">
        <fgColor rgb="FFF97316"/>
        <bgColor rgb="FFF97316"/>
      </patternFill>
    </fill>
    <fill>
      <patternFill patternType="solid">
        <fgColor rgb="FF3F3F46"/>
        <bgColor rgb="FF3F3F46"/>
      </patternFill>
    </fill>
    <fill>
      <patternFill patternType="solid">
        <fgColor rgb="FF71717A"/>
        <bgColor rgb="FF71717A"/>
      </patternFill>
    </fill>
    <fill>
      <patternFill patternType="solid">
        <fgColor rgb="FFF4F4F5"/>
        <bgColor rgb="FFF4F4F5"/>
      </patternFill>
    </fill>
    <fill>
      <patternFill patternType="solid">
        <fgColor rgb="FFE4E4E7"/>
        <bgColor rgb="FFE4E4E7"/>
      </patternFill>
    </fill>
    <fill>
      <patternFill patternType="solid">
        <fgColor rgb="FFFFFFFF"/>
        <bgColor rgb="FFFFFFFF"/>
      </patternFill>
    </fill>
    <fill>
      <patternFill patternType="solid">
        <fgColor rgb="FFFFEDD5"/>
        <bgColor rgb="FFFFEDD5"/>
      </patternFill>
    </fill>
    <fill>
      <patternFill patternType="solid">
        <fgColor rgb="FFFDBA74"/>
        <bgColor rgb="FFFDBA74"/>
      </patternFill>
    </fill>
    <fill>
      <patternFill patternType="solid">
        <fgColor rgb="FFFED7AA"/>
        <bgColor rgb="FFFED7AA"/>
      </patternFill>
    </fill>
    <fill>
      <patternFill patternType="solid">
        <fgColor rgb="FF9A3412"/>
        <bgColor rgb="FF9A3412"/>
      </patternFill>
    </fill>
    <fill>
      <patternFill patternType="solid">
        <fgColor rgb="FFD4D4D8"/>
        <bgColor rgb="FFD4D4D8"/>
      </patternFill>
    </fill>
    <fill>
      <patternFill patternType="solid">
        <fgColor rgb="FFFFF7ED"/>
        <bgColor rgb="FFFFF7ED"/>
      </patternFill>
    </fill>
  </fills>
  <borders count="21">
    <border/>
    <border>
      <left/>
      <top/>
      <bottom/>
    </border>
    <border>
      <top/>
      <bottom/>
    </border>
    <border>
      <right/>
      <top/>
      <bottom/>
    </border>
    <border>
      <left style="thin">
        <color rgb="FFD4D4D8"/>
      </left>
      <right style="thin">
        <color rgb="FFD4D4D8"/>
      </right>
      <top style="thin">
        <color rgb="FFD4D4D8"/>
      </top>
    </border>
    <border>
      <left style="thin">
        <color rgb="FFD4D4D8"/>
      </left>
      <top style="thin">
        <color rgb="FFD4D4D8"/>
      </top>
      <bottom style="thin">
        <color rgb="FFD4D4D8"/>
      </bottom>
    </border>
    <border>
      <top style="thin">
        <color rgb="FFD4D4D8"/>
      </top>
      <bottom style="thin">
        <color rgb="FFD4D4D8"/>
      </bottom>
    </border>
    <border>
      <right style="thin">
        <color rgb="FFD4D4D8"/>
      </right>
      <top style="thin">
        <color rgb="FFD4D4D8"/>
      </top>
      <bottom style="thin">
        <color rgb="FFD4D4D8"/>
      </bottom>
    </border>
    <border>
      <left style="thin">
        <color rgb="FFD4D4D8"/>
      </left>
      <right style="thin">
        <color rgb="FFD4D4D8"/>
      </right>
    </border>
    <border>
      <left style="thin">
        <color rgb="FFD4D4D8"/>
      </left>
      <right style="thin">
        <color rgb="FFD4D4D8"/>
      </right>
      <top style="thin">
        <color rgb="FFD4D4D8"/>
      </top>
      <bottom style="thin">
        <color rgb="FFD4D4D8"/>
      </bottom>
    </border>
    <border>
      <left style="thin">
        <color rgb="FFD4D4D8"/>
      </left>
      <right style="thin">
        <color rgb="FFD4D4D8"/>
      </right>
      <bottom style="thin">
        <color rgb="FFD4D4D8"/>
      </bottom>
    </border>
    <border>
      <left style="thin">
        <color rgb="FFD4D4D8"/>
      </left>
      <top style="thin">
        <color rgb="FFD4D4D8"/>
      </top>
    </border>
    <border>
      <right style="thin">
        <color rgb="FFD4D4D8"/>
      </right>
      <top style="thin">
        <color rgb="FFD4D4D8"/>
      </top>
    </border>
    <border>
      <left style="thin">
        <color rgb="FFF97316"/>
      </left>
      <top style="thin">
        <color rgb="FFF97316"/>
      </top>
      <bottom style="thin">
        <color rgb="FFF97316"/>
      </bottom>
    </border>
    <border>
      <top style="thin">
        <color rgb="FFF97316"/>
      </top>
      <bottom style="thin">
        <color rgb="FFF97316"/>
      </bottom>
    </border>
    <border>
      <right style="thin">
        <color rgb="FFF97316"/>
      </right>
      <top style="thin">
        <color rgb="FFF97316"/>
      </top>
      <bottom style="thin">
        <color rgb="FFF97316"/>
      </bottom>
    </border>
    <border>
      <left style="thin">
        <color rgb="FFD4D4D8"/>
      </left>
    </border>
    <border>
      <right style="thin">
        <color rgb="FFD4D4D8"/>
      </right>
    </border>
    <border>
      <left style="thin">
        <color rgb="FFD4D4D8"/>
      </left>
      <bottom style="thin">
        <color rgb="FFD4D4D8"/>
      </bottom>
    </border>
    <border>
      <right style="thin">
        <color rgb="FFD4D4D8"/>
      </right>
      <bottom style="thin">
        <color rgb="FFD4D4D8"/>
      </bottom>
    </border>
    <border>
      <left style="thin">
        <color rgb="FFF97316"/>
      </left>
      <right style="thin">
        <color rgb="FFF97316"/>
      </right>
      <top style="thin">
        <color rgb="FFF97316"/>
      </top>
      <bottom style="thin">
        <color rgb="FFF97316"/>
      </bottom>
    </border>
  </borders>
  <cellStyleXfs count="1">
    <xf borderId="0" fillId="0" fontId="0" numFmtId="0" applyAlignment="1" applyFont="1"/>
  </cellStyleXfs>
  <cellXfs count="10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horizontal="left" shrinkToFit="0" vertical="center" wrapText="0"/>
    </xf>
    <xf borderId="0" fillId="0" fontId="4" numFmtId="0" xfId="0" applyAlignment="1" applyFont="1">
      <alignment horizontal="left" shrinkToFit="0" vertical="center" wrapText="0"/>
    </xf>
    <xf borderId="4" fillId="3" fontId="5" numFmtId="0" xfId="0" applyAlignment="1" applyBorder="1" applyFill="1" applyFont="1">
      <alignment horizontal="center" shrinkToFit="0" vertical="center" wrapText="1"/>
    </xf>
    <xf borderId="5" fillId="2" fontId="5" numFmtId="0" xfId="0" applyAlignment="1" applyBorder="1" applyFill="1" applyFont="1">
      <alignment horizontal="center" shrinkToFit="0" vertical="center" wrapText="0"/>
    </xf>
    <xf borderId="6" fillId="0" fontId="2" numFmtId="0" xfId="0" applyBorder="1" applyFont="1"/>
    <xf borderId="7" fillId="0" fontId="2" numFmtId="0" xfId="0" applyBorder="1" applyFont="1"/>
    <xf borderId="5" fillId="4" fontId="5" numFmtId="0" xfId="0" applyAlignment="1" applyBorder="1" applyFill="1" applyFont="1">
      <alignment horizontal="center" shrinkToFit="0" vertical="center" wrapText="0"/>
    </xf>
    <xf borderId="4" fillId="3" fontId="5" numFmtId="0" xfId="0" applyAlignment="1" applyBorder="1" applyFill="1" applyFont="1">
      <alignment horizontal="center" shrinkToFit="0" vertical="center" wrapText="0"/>
    </xf>
    <xf borderId="8" fillId="0" fontId="2" numFmtId="0" xfId="0" applyBorder="1" applyFont="1"/>
    <xf borderId="9" fillId="5" fontId="6" numFmtId="0" xfId="0" applyAlignment="1" applyBorder="1" applyFill="1" applyFont="1">
      <alignment horizontal="center" shrinkToFit="0" vertical="center" wrapText="0"/>
    </xf>
    <xf borderId="4" fillId="3" fontId="7" numFmtId="0" xfId="0" applyAlignment="1" applyBorder="1" applyFill="1" applyFont="1">
      <alignment horizontal="center" shrinkToFit="0" vertical="center" wrapText="1"/>
    </xf>
    <xf borderId="9" fillId="3" fontId="5" numFmtId="0" xfId="0" applyAlignment="1" applyBorder="1" applyFill="1" applyFont="1">
      <alignment horizontal="center" shrinkToFit="0" vertical="center" wrapText="0"/>
    </xf>
    <xf borderId="10" fillId="0" fontId="2" numFmtId="0" xfId="0" applyBorder="1" applyFont="1"/>
    <xf borderId="9" fillId="6" fontId="8" numFmtId="0" xfId="0" applyAlignment="1" applyBorder="1" applyFill="1" applyFont="1">
      <alignment horizontal="center" shrinkToFit="0" vertical="center" wrapText="0"/>
    </xf>
    <xf borderId="9" fillId="7" fontId="9" numFmtId="0" xfId="0" applyAlignment="1" applyBorder="1" applyFill="1" applyFont="1">
      <alignment horizontal="center" shrinkToFit="0" vertical="center" wrapText="0"/>
    </xf>
    <xf borderId="9" fillId="7" fontId="10" numFmtId="0" xfId="0" applyAlignment="1" applyBorder="1" applyFill="1" applyFont="1">
      <alignment horizontal="center" shrinkToFit="0" vertical="center" wrapText="0"/>
    </xf>
    <xf borderId="9" fillId="7" fontId="10" numFmtId="0" xfId="0" applyAlignment="1" applyBorder="1" applyFill="1" applyFont="1">
      <alignment horizontal="left" shrinkToFit="0" vertical="center" wrapText="0"/>
    </xf>
    <xf borderId="9" fillId="7" fontId="11" numFmtId="0" xfId="0" applyAlignment="1" applyBorder="1" applyFill="1" applyFont="1">
      <alignment horizontal="center" shrinkToFit="0" vertical="center" wrapText="0"/>
    </xf>
    <xf borderId="9" fillId="7" fontId="12" numFmtId="0" xfId="0" applyAlignment="1" applyBorder="1" applyFill="1" applyFont="1">
      <alignment horizontal="center" shrinkToFit="0" vertical="center" wrapText="0"/>
    </xf>
    <xf borderId="9" fillId="5" fontId="10" numFmtId="164" xfId="0" applyAlignment="1" applyBorder="1" applyFill="1" applyFont="1" applyNumberFormat="1">
      <alignment horizontal="center" shrinkToFit="0" vertical="center" wrapText="0"/>
    </xf>
    <xf borderId="9" fillId="5" fontId="13" numFmtId="165" xfId="0" applyAlignment="1" applyBorder="1" applyFill="1" applyFont="1" applyNumberFormat="1">
      <alignment horizontal="center" shrinkToFit="0" vertical="center" wrapText="0"/>
    </xf>
    <xf borderId="9" fillId="5" fontId="10" numFmtId="165" xfId="0" applyAlignment="1" applyBorder="1" applyFill="1" applyFont="1" applyNumberFormat="1">
      <alignment horizontal="center" shrinkToFit="0" vertical="center" wrapText="0"/>
    </xf>
    <xf borderId="9" fillId="5" fontId="14" numFmtId="165" xfId="0" applyAlignment="1" applyBorder="1" applyFill="1" applyFont="1" applyNumberFormat="1">
      <alignment horizontal="center" shrinkToFit="0" vertical="center" wrapText="0"/>
    </xf>
    <xf borderId="9" fillId="7" fontId="11" numFmtId="0" xfId="0" applyAlignment="1" applyBorder="1" applyFill="1" applyFont="1">
      <alignment horizontal="left" shrinkToFit="0" vertical="center" wrapText="0"/>
    </xf>
    <xf borderId="5" fillId="3" fontId="5" numFmtId="0" xfId="0" applyAlignment="1" applyBorder="1" applyFill="1" applyFont="1">
      <alignment horizontal="left" shrinkToFit="0" vertical="center" wrapText="0"/>
    </xf>
    <xf borderId="5" fillId="5" fontId="10" numFmtId="0" xfId="0" applyAlignment="1" applyBorder="1" applyFill="1" applyFont="1">
      <alignment horizontal="center" shrinkToFit="0" vertical="center" wrapText="0"/>
    </xf>
    <xf borderId="9" fillId="8" fontId="14" numFmtId="164" xfId="0" applyAlignment="1" applyBorder="1" applyFill="1" applyFont="1" applyNumberFormat="1">
      <alignment horizontal="center" shrinkToFit="0" vertical="center" wrapText="0"/>
    </xf>
    <xf borderId="9" fillId="8" fontId="14" numFmtId="165" xfId="0" applyAlignment="1" applyBorder="1" applyFill="1" applyFont="1" applyNumberFormat="1">
      <alignment horizontal="center" shrinkToFit="0" vertical="center" wrapText="0"/>
    </xf>
    <xf borderId="9" fillId="5" fontId="10" numFmtId="0" xfId="0" applyAlignment="1" applyBorder="1" applyFill="1" applyFont="1">
      <alignment horizontal="center" shrinkToFit="0" vertical="center" wrapText="0"/>
    </xf>
    <xf borderId="5" fillId="5" fontId="15" numFmtId="0" xfId="0" applyAlignment="1" applyBorder="1" applyFill="1" applyFont="1">
      <alignment horizontal="left" shrinkToFit="0" vertical="center" wrapText="0"/>
    </xf>
    <xf borderId="9" fillId="8" fontId="16" numFmtId="164" xfId="0" applyAlignment="1" applyBorder="1" applyFill="1" applyFont="1" applyNumberFormat="1">
      <alignment horizontal="center" shrinkToFit="0" vertical="center" wrapText="0"/>
    </xf>
    <xf borderId="5" fillId="5" fontId="17" numFmtId="0" xfId="0" applyAlignment="1" applyBorder="1" applyFill="1" applyFont="1">
      <alignment horizontal="left" shrinkToFit="0" vertical="center" wrapText="0"/>
    </xf>
    <xf borderId="9" fillId="5" fontId="17" numFmtId="164" xfId="0" applyAlignment="1" applyBorder="1" applyFill="1" applyFont="1" applyNumberFormat="1">
      <alignment horizontal="center" shrinkToFit="0" vertical="center" wrapText="0"/>
    </xf>
    <xf borderId="0" fillId="0" fontId="18" numFmtId="0" xfId="0" applyAlignment="1" applyFont="1">
      <alignment horizontal="left" shrinkToFit="0" vertical="center" wrapText="0"/>
    </xf>
    <xf borderId="5" fillId="3" fontId="5" numFmtId="0" xfId="0" applyAlignment="1" applyBorder="1" applyFill="1" applyFont="1">
      <alignment horizontal="center" shrinkToFit="0" vertical="center" wrapText="0"/>
    </xf>
    <xf borderId="0" fillId="0" fontId="15" numFmtId="0" xfId="0" applyAlignment="1" applyFont="1">
      <alignment horizontal="center" shrinkToFit="0" vertical="center" wrapText="0"/>
    </xf>
    <xf borderId="9" fillId="9" fontId="19" numFmtId="0" xfId="0" applyAlignment="1" applyBorder="1" applyFill="1" applyFont="1">
      <alignment horizontal="center" shrinkToFit="0" vertical="center" wrapText="0"/>
    </xf>
    <xf borderId="5" fillId="0" fontId="11" numFmtId="0" xfId="0" applyAlignment="1" applyBorder="1" applyFont="1">
      <alignment horizontal="left" shrinkToFit="0" vertical="center" wrapText="0"/>
    </xf>
    <xf borderId="0" fillId="0" fontId="18" numFmtId="0" xfId="0" applyAlignment="1" applyFont="1">
      <alignment horizontal="center" shrinkToFit="0" vertical="center" wrapText="0"/>
    </xf>
    <xf borderId="9" fillId="8" fontId="16" numFmtId="0" xfId="0" applyAlignment="1" applyBorder="1" applyFill="1" applyFont="1">
      <alignment horizontal="center" shrinkToFit="0" vertical="center" wrapText="0"/>
    </xf>
    <xf borderId="9" fillId="10" fontId="16" numFmtId="0" xfId="0" applyAlignment="1" applyBorder="1" applyFill="1" applyFont="1">
      <alignment horizontal="center" shrinkToFit="0" vertical="center" wrapText="0"/>
    </xf>
    <xf borderId="9" fillId="11" fontId="7" numFmtId="0" xfId="0" applyAlignment="1" applyBorder="1" applyFill="1" applyFont="1">
      <alignment horizontal="center" shrinkToFit="0" vertical="center" wrapText="0"/>
    </xf>
    <xf borderId="9" fillId="2" fontId="7" numFmtId="0" xfId="0" applyAlignment="1" applyBorder="1" applyFill="1" applyFont="1">
      <alignment horizontal="center" shrinkToFit="0" vertical="center" wrapText="0"/>
    </xf>
    <xf borderId="9" fillId="12" fontId="8" numFmtId="0" xfId="0" applyAlignment="1" applyBorder="1" applyFill="1" applyFont="1">
      <alignment horizontal="center" shrinkToFit="0" vertical="center" wrapText="0"/>
    </xf>
    <xf borderId="9" fillId="4" fontId="7" numFmtId="0" xfId="0" applyAlignment="1" applyBorder="1" applyFill="1" applyFont="1">
      <alignment horizontal="center" shrinkToFit="0" vertical="center" wrapText="0"/>
    </xf>
    <xf borderId="9" fillId="3" fontId="7" numFmtId="0" xfId="0" applyAlignment="1" applyBorder="1" applyFill="1" applyFont="1">
      <alignment horizontal="center" shrinkToFit="0" vertical="center" wrapText="0"/>
    </xf>
    <xf borderId="9" fillId="5" fontId="20" numFmtId="0" xfId="0" applyAlignment="1" applyBorder="1" applyFill="1" applyFont="1">
      <alignment horizontal="center" shrinkToFit="0" vertical="center" wrapText="0"/>
    </xf>
    <xf borderId="9" fillId="3" fontId="7" numFmtId="0" xfId="0" applyAlignment="1" applyBorder="1" applyFill="1" applyFont="1">
      <alignment horizontal="center" shrinkToFit="0" vertical="center" wrapText="1"/>
    </xf>
    <xf borderId="9" fillId="5" fontId="9" numFmtId="0" xfId="0" applyAlignment="1" applyBorder="1" applyFill="1" applyFont="1">
      <alignment horizontal="center" shrinkToFit="0" vertical="center" wrapText="0"/>
    </xf>
    <xf borderId="9" fillId="5" fontId="13" numFmtId="0" xfId="0" applyAlignment="1" applyBorder="1" applyFill="1" applyFont="1">
      <alignment horizontal="left" shrinkToFit="0" vertical="center" wrapText="0"/>
    </xf>
    <xf borderId="9" fillId="5" fontId="11" numFmtId="0" xfId="0" applyAlignment="1" applyBorder="1" applyFill="1" applyFont="1">
      <alignment horizontal="center" shrinkToFit="0" vertical="center" wrapText="0"/>
    </xf>
    <xf borderId="9" fillId="5" fontId="10" numFmtId="166" xfId="0" applyAlignment="1" applyBorder="1" applyFill="1" applyFont="1" applyNumberFormat="1">
      <alignment horizontal="center" shrinkToFit="0" vertical="center" wrapText="0"/>
    </xf>
    <xf borderId="9" fillId="5" fontId="10" numFmtId="167" xfId="0" applyAlignment="1" applyBorder="1" applyFill="1" applyFont="1" applyNumberFormat="1">
      <alignment horizontal="center" shrinkToFit="0" vertical="center" wrapText="0"/>
    </xf>
    <xf borderId="9" fillId="8" fontId="13" numFmtId="166" xfId="0" applyAlignment="1" applyBorder="1" applyFill="1" applyFont="1" applyNumberFormat="1">
      <alignment horizontal="center" shrinkToFit="0" vertical="center" wrapText="0"/>
    </xf>
    <xf borderId="9" fillId="7" fontId="10" numFmtId="166" xfId="0" applyAlignment="1" applyBorder="1" applyFill="1" applyFont="1" applyNumberFormat="1">
      <alignment horizontal="center" shrinkToFit="0" vertical="center" wrapText="0"/>
    </xf>
    <xf borderId="9" fillId="8" fontId="14" numFmtId="166" xfId="0" applyAlignment="1" applyBorder="1" applyFill="1" applyFont="1" applyNumberFormat="1">
      <alignment horizontal="center" shrinkToFit="0" vertical="center" wrapText="0"/>
    </xf>
    <xf borderId="9" fillId="8" fontId="14" numFmtId="167" xfId="0" applyAlignment="1" applyBorder="1" applyFill="1" applyFont="1" applyNumberFormat="1">
      <alignment horizontal="center" shrinkToFit="0" vertical="center" wrapText="0"/>
    </xf>
    <xf borderId="1" fillId="3" fontId="7" numFmtId="0" xfId="0" applyAlignment="1" applyBorder="1" applyFill="1" applyFont="1">
      <alignment horizontal="center" shrinkToFit="0" vertical="center" wrapText="0"/>
    </xf>
    <xf borderId="5" fillId="5" fontId="21" numFmtId="3" xfId="0" applyAlignment="1" applyBorder="1" applyFill="1" applyFont="1" applyNumberFormat="1">
      <alignment horizontal="center" shrinkToFit="0" vertical="center" wrapText="0"/>
    </xf>
    <xf borderId="5" fillId="5" fontId="21" numFmtId="1" xfId="0" applyAlignment="1" applyBorder="1" applyFill="1" applyFont="1" applyNumberFormat="1">
      <alignment horizontal="center" shrinkToFit="0" vertical="center" wrapText="0"/>
    </xf>
    <xf borderId="5" fillId="5" fontId="21" numFmtId="168" xfId="0" applyAlignment="1" applyBorder="1" applyFill="1" applyFont="1" applyNumberFormat="1">
      <alignment horizontal="center" shrinkToFit="0" vertical="center" wrapText="0"/>
    </xf>
    <xf borderId="9" fillId="2" fontId="7" numFmtId="0" xfId="0" applyAlignment="1" applyBorder="1" applyFill="1" applyFont="1">
      <alignment horizontal="center" shrinkToFit="0" vertical="center" wrapText="1"/>
    </xf>
    <xf borderId="9" fillId="4" fontId="7" numFmtId="0" xfId="0" applyAlignment="1" applyBorder="1" applyFill="1" applyFont="1">
      <alignment horizontal="center" shrinkToFit="0" vertical="center" wrapText="1"/>
    </xf>
    <xf borderId="9" fillId="0" fontId="9" numFmtId="0" xfId="0" applyAlignment="1" applyBorder="1" applyFont="1">
      <alignment horizontal="center" shrinkToFit="0" vertical="center" wrapText="0"/>
    </xf>
    <xf borderId="9" fillId="7" fontId="10" numFmtId="169" xfId="0" applyAlignment="1" applyBorder="1" applyFill="1" applyFont="1" applyNumberFormat="1">
      <alignment horizontal="center" shrinkToFit="0" vertical="center" wrapText="0"/>
    </xf>
    <xf borderId="9" fillId="7" fontId="11" numFmtId="0" xfId="0" applyAlignment="1" applyBorder="1" applyFill="1" applyFont="1">
      <alignment horizontal="left" shrinkToFit="0" vertical="center" wrapText="1"/>
    </xf>
    <xf borderId="9" fillId="7" fontId="11" numFmtId="3" xfId="0" applyAlignment="1" applyBorder="1" applyFill="1" applyFont="1" applyNumberFormat="1">
      <alignment horizontal="center" shrinkToFit="0" vertical="center" wrapText="0"/>
    </xf>
    <xf borderId="9" fillId="5" fontId="13" numFmtId="3" xfId="0" applyAlignment="1" applyBorder="1" applyFill="1" applyFont="1" applyNumberFormat="1">
      <alignment horizontal="center" shrinkToFit="0" vertical="center" wrapText="0"/>
    </xf>
    <xf borderId="9" fillId="7" fontId="10" numFmtId="168" xfId="0" applyAlignment="1" applyBorder="1" applyFill="1" applyFont="1" applyNumberFormat="1">
      <alignment horizontal="center" shrinkToFit="0" vertical="center" wrapText="0"/>
    </xf>
    <xf borderId="9" fillId="5" fontId="10" numFmtId="168" xfId="0" applyAlignment="1" applyBorder="1" applyFill="1" applyFont="1" applyNumberFormat="1">
      <alignment horizontal="center" shrinkToFit="0" vertical="center" wrapText="0"/>
    </xf>
    <xf borderId="9" fillId="5" fontId="13" numFmtId="170" xfId="0" applyAlignment="1" applyBorder="1" applyFill="1" applyFont="1" applyNumberFormat="1">
      <alignment horizontal="center" shrinkToFit="0" vertical="center" wrapText="0"/>
    </xf>
    <xf borderId="9" fillId="7" fontId="11" numFmtId="166" xfId="0" applyAlignment="1" applyBorder="1" applyFill="1" applyFont="1" applyNumberFormat="1">
      <alignment horizontal="center" shrinkToFit="0" vertical="center" wrapText="0"/>
    </xf>
    <xf borderId="1" fillId="2" fontId="22" numFmtId="0" xfId="0" applyAlignment="1" applyBorder="1" applyFill="1" applyFont="1">
      <alignment horizontal="left" shrinkToFit="0" vertical="center" wrapText="0"/>
    </xf>
    <xf borderId="1" fillId="3" fontId="5" numFmtId="0" xfId="0" applyAlignment="1" applyBorder="1" applyFill="1" applyFont="1">
      <alignment horizontal="left" shrinkToFit="0" vertical="center" wrapText="0"/>
    </xf>
    <xf borderId="11" fillId="5" fontId="11" numFmtId="0" xfId="0" applyAlignment="1" applyBorder="1" applyFill="1" applyFont="1">
      <alignment horizontal="left" shrinkToFit="0" vertical="top" wrapText="1"/>
    </xf>
    <xf borderId="12" fillId="0" fontId="2" numFmtId="0" xfId="0" applyBorder="1" applyFont="1"/>
    <xf borderId="13" fillId="13" fontId="14" numFmtId="0" xfId="0" applyAlignment="1" applyBorder="1" applyFill="1" applyFont="1">
      <alignment horizontal="left" shrinkToFit="0" vertical="center" wrapText="0"/>
    </xf>
    <xf borderId="14" fillId="0" fontId="2" numFmtId="0" xfId="0" applyBorder="1" applyFont="1"/>
    <xf borderId="15" fillId="0" fontId="2" numFmtId="0" xfId="0" applyBorder="1" applyFont="1"/>
    <xf borderId="16" fillId="0" fontId="2" numFmtId="0" xfId="0" applyBorder="1" applyFont="1"/>
    <xf borderId="17" fillId="0" fontId="2" numFmtId="0" xfId="0" applyBorder="1" applyFont="1"/>
    <xf borderId="13" fillId="13" fontId="14" numFmtId="1" xfId="0" applyAlignment="1" applyBorder="1" applyFill="1" applyFont="1" applyNumberFormat="1">
      <alignment horizontal="center" shrinkToFit="0" vertical="center" wrapText="0"/>
    </xf>
    <xf borderId="5" fillId="5" fontId="10" numFmtId="1" xfId="0" applyAlignment="1" applyBorder="1" applyFill="1" applyFont="1" applyNumberFormat="1">
      <alignment horizontal="center" shrinkToFit="0" vertical="center" wrapText="0"/>
    </xf>
    <xf borderId="0" fillId="0" fontId="23" numFmtId="0" xfId="0" applyAlignment="1" applyFont="1">
      <alignment horizontal="left" shrinkToFit="0" vertical="center" wrapText="1"/>
    </xf>
    <xf borderId="18" fillId="0" fontId="2" numFmtId="0" xfId="0" applyBorder="1" applyFont="1"/>
    <xf borderId="19" fillId="0" fontId="2" numFmtId="0" xfId="0" applyBorder="1" applyFont="1"/>
    <xf borderId="20" fillId="13" fontId="14" numFmtId="0" xfId="0" applyAlignment="1" applyBorder="1" applyFill="1" applyFont="1">
      <alignment horizontal="center" shrinkToFit="0" vertical="center" wrapText="0"/>
    </xf>
    <xf borderId="20" fillId="13" fontId="10" numFmtId="0" xfId="0" applyAlignment="1" applyBorder="1" applyFill="1" applyFont="1">
      <alignment horizontal="left" shrinkToFit="0" vertical="center" wrapText="0"/>
    </xf>
    <xf borderId="20" fillId="13" fontId="10" numFmtId="171" xfId="0" applyAlignment="1" applyBorder="1" applyFill="1" applyFont="1" applyNumberFormat="1">
      <alignment horizontal="center" shrinkToFit="0" vertical="center" wrapText="0"/>
    </xf>
    <xf borderId="20" fillId="13" fontId="10" numFmtId="168" xfId="0" applyAlignment="1" applyBorder="1" applyFill="1" applyFont="1" applyNumberFormat="1">
      <alignment horizontal="center" shrinkToFit="0" vertical="center" wrapText="0"/>
    </xf>
    <xf borderId="20" fillId="13" fontId="10" numFmtId="169" xfId="0" applyAlignment="1" applyBorder="1" applyFill="1" applyFont="1" applyNumberFormat="1">
      <alignment horizontal="center" shrinkToFit="0" vertical="center" wrapText="0"/>
    </xf>
    <xf borderId="9" fillId="5" fontId="10" numFmtId="171" xfId="0" applyAlignment="1" applyBorder="1" applyFill="1" applyFont="1" applyNumberFormat="1">
      <alignment horizontal="center" shrinkToFit="0" vertical="center" wrapText="0"/>
    </xf>
    <xf borderId="0" fillId="0" fontId="23" numFmtId="0" xfId="0" applyAlignment="1" applyFont="1">
      <alignment horizontal="left" shrinkToFit="0" vertical="top" wrapText="1"/>
    </xf>
    <xf borderId="13" fillId="13" fontId="14" numFmtId="3" xfId="0" applyAlignment="1" applyBorder="1" applyFill="1" applyFont="1" applyNumberFormat="1">
      <alignment horizontal="center" shrinkToFit="0" vertical="center" wrapText="0"/>
    </xf>
    <xf borderId="13" fillId="13" fontId="14" numFmtId="168" xfId="0" applyAlignment="1" applyBorder="1" applyFill="1" applyFont="1" applyNumberFormat="1">
      <alignment horizontal="center" shrinkToFit="0" vertical="center" wrapText="0"/>
    </xf>
    <xf borderId="13" fillId="13" fontId="14" numFmtId="172" xfId="0" applyAlignment="1" applyBorder="1" applyFill="1" applyFont="1" applyNumberFormat="1">
      <alignment horizontal="center" shrinkToFit="0" vertical="center" wrapText="0"/>
    </xf>
    <xf borderId="13" fillId="13" fontId="14" numFmtId="9" xfId="0" applyAlignment="1" applyBorder="1" applyFill="1" applyFont="1" applyNumberFormat="1">
      <alignment horizontal="center" shrinkToFit="0" vertical="center" wrapText="0"/>
    </xf>
    <xf borderId="5" fillId="2" fontId="7" numFmtId="0" xfId="0" applyAlignment="1" applyBorder="1" applyFill="1" applyFont="1">
      <alignment horizontal="center" shrinkToFit="0" vertical="center" wrapText="0"/>
    </xf>
    <xf borderId="20" fillId="13" fontId="16" numFmtId="0" xfId="0" applyAlignment="1" applyBorder="1" applyFill="1" applyFont="1">
      <alignment horizontal="center" shrinkToFit="0" vertical="center" wrapText="0"/>
    </xf>
    <xf borderId="20" fillId="13" fontId="11" numFmtId="0" xfId="0" applyAlignment="1" applyBorder="1" applyFill="1" applyFont="1">
      <alignment horizontal="left" shrinkToFit="0" vertical="center" wrapText="0"/>
    </xf>
    <xf borderId="13" fillId="13" fontId="11" numFmtId="0" xfId="0" applyAlignment="1" applyBorder="1" applyFill="1" applyFont="1">
      <alignment horizontal="left" shrinkToFit="0" vertical="center" wrapText="0"/>
    </xf>
  </cellXfs>
  <cellStyles count="1">
    <cellStyle xfId="0" name="Normal" builtinId="0"/>
  </cellStyles>
  <dxfs count="9">
    <dxf>
      <font/>
      <fill>
        <patternFill patternType="solid">
          <fgColor rgb="FFD4D4D8"/>
          <bgColor rgb="FFD4D4D8"/>
        </patternFill>
      </fill>
      <border/>
    </dxf>
    <dxf>
      <font/>
      <fill>
        <patternFill patternType="solid">
          <fgColor rgb="FFFFEDD5"/>
          <bgColor rgb="FFFFEDD5"/>
        </patternFill>
      </fill>
      <border/>
    </dxf>
    <dxf>
      <font/>
      <fill>
        <patternFill patternType="solid">
          <fgColor rgb="FFFFF7ED"/>
          <bgColor rgb="FFFFF7ED"/>
        </patternFill>
      </fill>
      <border/>
    </dxf>
    <dxf>
      <font>
        <b/>
        <color rgb="FFFFFFFF"/>
      </font>
      <fill>
        <patternFill patternType="solid">
          <fgColor rgb="FF9A3412"/>
          <bgColor rgb="FF9A3412"/>
        </patternFill>
      </fill>
      <border/>
    </dxf>
    <dxf>
      <font>
        <b/>
        <color rgb="FFFFFFFF"/>
      </font>
      <fill>
        <patternFill patternType="solid">
          <fgColor rgb="FFF97316"/>
          <bgColor rgb="FFF97316"/>
        </patternFill>
      </fill>
      <border/>
    </dxf>
    <dxf>
      <font>
        <b/>
        <color rgb="FF9A3412"/>
      </font>
      <fill>
        <patternFill patternType="solid">
          <fgColor rgb="FFFFEDD5"/>
          <bgColor rgb="FFFFEDD5"/>
        </patternFill>
      </fill>
      <border/>
    </dxf>
    <dxf>
      <font>
        <b/>
        <color rgb="FF3F3F46"/>
      </font>
      <fill>
        <patternFill patternType="solid">
          <fgColor rgb="FFE4E4E7"/>
          <bgColor rgb="FFE4E4E7"/>
        </patternFill>
      </fill>
      <border/>
    </dxf>
    <dxf>
      <font>
        <b/>
        <color rgb="FF9A3412"/>
      </font>
      <fill>
        <patternFill patternType="solid">
          <fgColor rgb="FFFED7AA"/>
          <bgColor rgb="FFFED7AA"/>
        </patternFill>
      </fill>
      <border/>
    </dxf>
    <dxf>
      <font>
        <b/>
        <color rgb="FFFFFFFF"/>
      </font>
      <fill>
        <patternFill patternType="solid">
          <fgColor rgb="FF3F3F46"/>
          <bgColor rgb="FF3F3F46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97316"/>
    <pageSetUpPr fitToPage="1"/>
  </sheetPr>
  <sheetViews>
    <sheetView showGridLines="0" workbookViewId="0">
      <pane xSplit="4.0" ySplit="7.0" topLeftCell="E8" activePane="bottomRight" state="frozen"/>
      <selection activeCell="E1" sqref="E1" pane="topRight"/>
      <selection activeCell="A8" sqref="A8" pane="bottomLeft"/>
      <selection activeCell="E8" sqref="E8" pane="bottomRight"/>
    </sheetView>
  </sheetViews>
  <sheetFormatPr customHeight="1" defaultColWidth="14.43" defaultRowHeight="15.0"/>
  <cols>
    <col customWidth="1" min="1" max="1" width="5.0"/>
    <col customWidth="1" min="2" max="2" width="10.0"/>
    <col customWidth="1" min="3" max="3" width="24.0"/>
    <col customWidth="1" min="4" max="4" width="15.0"/>
    <col customWidth="1" min="5" max="35" width="4.86"/>
    <col customWidth="1" min="36" max="44" width="7.43"/>
    <col customWidth="1" min="45" max="49" width="10.57"/>
    <col customWidth="1" min="50" max="50" width="24.0"/>
  </cols>
  <sheetData>
    <row r="1" ht="24.0" customHeight="1">
      <c r="A1" s="1" t="str">
        <f>'Cài đặt'!D5</f>
        <v>CÔNG TY TNHH VẬN TẢI &amp; DỊCH VỤ MẪU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3"/>
    </row>
    <row r="2" ht="39.75" customHeight="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ht="21.75" customHeight="1">
      <c r="A3" s="5" t="str">
        <f>"Tháng "&amp;'Cài đặt'!D7&amp;" năm "&amp;'Cài đặt'!D8&amp;"   |   Bộ phận: "&amp;'Cài đặt'!D6&amp;"   |   Công chuẩn: "&amp;'Cài đặt'!D11&amp;" ngày"</f>
        <v>Tháng 11 năm 2026   |   Bộ phận: Đội xe – Phòng Hành chính, Hà Nội   |   Công chuẩn: 25 ngày</v>
      </c>
    </row>
    <row r="4" ht="19.5" customHeight="1">
      <c r="A4" s="6" t="s">
        <v>1</v>
      </c>
      <c r="B4" s="6" t="s">
        <v>2</v>
      </c>
      <c r="C4" s="6" t="s">
        <v>3</v>
      </c>
      <c r="D4" s="6" t="s">
        <v>4</v>
      </c>
      <c r="E4" s="7" t="s">
        <v>5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9"/>
      <c r="AJ4" s="10" t="s">
        <v>6</v>
      </c>
      <c r="AK4" s="8"/>
      <c r="AL4" s="8"/>
      <c r="AM4" s="8"/>
      <c r="AN4" s="8"/>
      <c r="AO4" s="8"/>
      <c r="AP4" s="8"/>
      <c r="AQ4" s="8"/>
      <c r="AR4" s="9"/>
      <c r="AS4" s="7" t="s">
        <v>7</v>
      </c>
      <c r="AT4" s="8"/>
      <c r="AU4" s="8"/>
      <c r="AV4" s="8"/>
      <c r="AW4" s="9"/>
      <c r="AX4" s="11" t="s">
        <v>8</v>
      </c>
    </row>
    <row r="5" ht="15.75" customHeight="1">
      <c r="A5" s="12"/>
      <c r="B5" s="12"/>
      <c r="C5" s="12"/>
      <c r="D5" s="12"/>
      <c r="E5" s="13" t="str">
        <f>IF(E$6="","",IF(COUNTIF('Cài đặt'!$J$16:$J$30,DATE('Cài đặt'!$D$8,'Cài đặt'!$D$7,E$6))&gt;0,"Lễ",""))</f>
        <v/>
      </c>
      <c r="F5" s="13" t="str">
        <f>IF(F$6="","",IF(COUNTIF('Cài đặt'!$J$16:$J$30,DATE('Cài đặt'!$D$8,'Cài đặt'!$D$7,F$6))&gt;0,"Lễ",""))</f>
        <v/>
      </c>
      <c r="G5" s="13" t="str">
        <f>IF(G$6="","",IF(COUNTIF('Cài đặt'!$J$16:$J$30,DATE('Cài đặt'!$D$8,'Cài đặt'!$D$7,G$6))&gt;0,"Lễ",""))</f>
        <v/>
      </c>
      <c r="H5" s="13" t="str">
        <f>IF(H$6="","",IF(COUNTIF('Cài đặt'!$J$16:$J$30,DATE('Cài đặt'!$D$8,'Cài đặt'!$D$7,H$6))&gt;0,"Lễ",""))</f>
        <v/>
      </c>
      <c r="I5" s="13" t="str">
        <f>IF(I$6="","",IF(COUNTIF('Cài đặt'!$J$16:$J$30,DATE('Cài đặt'!$D$8,'Cài đặt'!$D$7,I$6))&gt;0,"Lễ",""))</f>
        <v/>
      </c>
      <c r="J5" s="13" t="str">
        <f>IF(J$6="","",IF(COUNTIF('Cài đặt'!$J$16:$J$30,DATE('Cài đặt'!$D$8,'Cài đặt'!$D$7,J$6))&gt;0,"Lễ",""))</f>
        <v/>
      </c>
      <c r="K5" s="13" t="str">
        <f>IF(K$6="","",IF(COUNTIF('Cài đặt'!$J$16:$J$30,DATE('Cài đặt'!$D$8,'Cài đặt'!$D$7,K$6))&gt;0,"Lễ",""))</f>
        <v/>
      </c>
      <c r="L5" s="13" t="str">
        <f>IF(L$6="","",IF(COUNTIF('Cài đặt'!$J$16:$J$30,DATE('Cài đặt'!$D$8,'Cài đặt'!$D$7,L$6))&gt;0,"Lễ",""))</f>
        <v/>
      </c>
      <c r="M5" s="13" t="str">
        <f>IF(M$6="","",IF(COUNTIF('Cài đặt'!$J$16:$J$30,DATE('Cài đặt'!$D$8,'Cài đặt'!$D$7,M$6))&gt;0,"Lễ",""))</f>
        <v/>
      </c>
      <c r="N5" s="13" t="str">
        <f>IF(N$6="","",IF(COUNTIF('Cài đặt'!$J$16:$J$30,DATE('Cài đặt'!$D$8,'Cài đặt'!$D$7,N$6))&gt;0,"Lễ",""))</f>
        <v/>
      </c>
      <c r="O5" s="13" t="str">
        <f>IF(O$6="","",IF(COUNTIF('Cài đặt'!$J$16:$J$30,DATE('Cài đặt'!$D$8,'Cài đặt'!$D$7,O$6))&gt;0,"Lễ",""))</f>
        <v/>
      </c>
      <c r="P5" s="13" t="str">
        <f>IF(P$6="","",IF(COUNTIF('Cài đặt'!$J$16:$J$30,DATE('Cài đặt'!$D$8,'Cài đặt'!$D$7,P$6))&gt;0,"Lễ",""))</f>
        <v/>
      </c>
      <c r="Q5" s="13" t="str">
        <f>IF(Q$6="","",IF(COUNTIF('Cài đặt'!$J$16:$J$30,DATE('Cài đặt'!$D$8,'Cài đặt'!$D$7,Q$6))&gt;0,"Lễ",""))</f>
        <v/>
      </c>
      <c r="R5" s="13" t="str">
        <f>IF(R$6="","",IF(COUNTIF('Cài đặt'!$J$16:$J$30,DATE('Cài đặt'!$D$8,'Cài đặt'!$D$7,R$6))&gt;0,"Lễ",""))</f>
        <v/>
      </c>
      <c r="S5" s="13" t="str">
        <f>IF(S$6="","",IF(COUNTIF('Cài đặt'!$J$16:$J$30,DATE('Cài đặt'!$D$8,'Cài đặt'!$D$7,S$6))&gt;0,"Lễ",""))</f>
        <v/>
      </c>
      <c r="T5" s="13" t="str">
        <f>IF(T$6="","",IF(COUNTIF('Cài đặt'!$J$16:$J$30,DATE('Cài đặt'!$D$8,'Cài đặt'!$D$7,T$6))&gt;0,"Lễ",""))</f>
        <v/>
      </c>
      <c r="U5" s="13" t="str">
        <f>IF(U$6="","",IF(COUNTIF('Cài đặt'!$J$16:$J$30,DATE('Cài đặt'!$D$8,'Cài đặt'!$D$7,U$6))&gt;0,"Lễ",""))</f>
        <v/>
      </c>
      <c r="V5" s="13" t="str">
        <f>IF(V$6="","",IF(COUNTIF('Cài đặt'!$J$16:$J$30,DATE('Cài đặt'!$D$8,'Cài đặt'!$D$7,V$6))&gt;0,"Lễ",""))</f>
        <v/>
      </c>
      <c r="W5" s="13" t="str">
        <f>IF(W$6="","",IF(COUNTIF('Cài đặt'!$J$16:$J$30,DATE('Cài đặt'!$D$8,'Cài đặt'!$D$7,W$6))&gt;0,"Lễ",""))</f>
        <v/>
      </c>
      <c r="X5" s="13" t="str">
        <f>IF(X$6="","",IF(COUNTIF('Cài đặt'!$J$16:$J$30,DATE('Cài đặt'!$D$8,'Cài đặt'!$D$7,X$6))&gt;0,"Lễ",""))</f>
        <v/>
      </c>
      <c r="Y5" s="13" t="str">
        <f>IF(Y$6="","",IF(COUNTIF('Cài đặt'!$J$16:$J$30,DATE('Cài đặt'!$D$8,'Cài đặt'!$D$7,Y$6))&gt;0,"Lễ",""))</f>
        <v/>
      </c>
      <c r="Z5" s="13" t="str">
        <f>IF(Z$6="","",IF(COUNTIF('Cài đặt'!$J$16:$J$30,DATE('Cài đặt'!$D$8,'Cài đặt'!$D$7,Z$6))&gt;0,"Lễ",""))</f>
        <v/>
      </c>
      <c r="AA5" s="13" t="str">
        <f>IF(AA$6="","",IF(COUNTIF('Cài đặt'!$J$16:$J$30,DATE('Cài đặt'!$D$8,'Cài đặt'!$D$7,AA$6))&gt;0,"Lễ",""))</f>
        <v/>
      </c>
      <c r="AB5" s="13" t="str">
        <f>IF(AB$6="","",IF(COUNTIF('Cài đặt'!$J$16:$J$30,DATE('Cài đặt'!$D$8,'Cài đặt'!$D$7,AB$6))&gt;0,"Lễ",""))</f>
        <v/>
      </c>
      <c r="AC5" s="13" t="str">
        <f>IF(AC$6="","",IF(COUNTIF('Cài đặt'!$J$16:$J$30,DATE('Cài đặt'!$D$8,'Cài đặt'!$D$7,AC$6))&gt;0,"Lễ",""))</f>
        <v/>
      </c>
      <c r="AD5" s="13" t="str">
        <f>IF(AD$6="","",IF(COUNTIF('Cài đặt'!$J$16:$J$30,DATE('Cài đặt'!$D$8,'Cài đặt'!$D$7,AD$6))&gt;0,"Lễ",""))</f>
        <v/>
      </c>
      <c r="AE5" s="13" t="str">
        <f>IF(AE$6="","",IF(COUNTIF('Cài đặt'!$J$16:$J$30,DATE('Cài đặt'!$D$8,'Cài đặt'!$D$7,AE$6))&gt;0,"Lễ",""))</f>
        <v/>
      </c>
      <c r="AF5" s="13" t="str">
        <f>IF(AF$6="","",IF(COUNTIF('Cài đặt'!$J$16:$J$30,DATE('Cài đặt'!$D$8,'Cài đặt'!$D$7,AF$6))&gt;0,"Lễ",""))</f>
        <v/>
      </c>
      <c r="AG5" s="13" t="str">
        <f>IF(AG$6="","",IF(COUNTIF('Cài đặt'!$J$16:$J$30,DATE('Cài đặt'!$D$8,'Cài đặt'!$D$7,AG$6))&gt;0,"Lễ",""))</f>
        <v/>
      </c>
      <c r="AH5" s="13" t="str">
        <f>IF(AH$6="","",IF(COUNTIF('Cài đặt'!$J$16:$J$30,DATE('Cài đặt'!$D$8,'Cài đặt'!$D$7,AH$6))&gt;0,"Lễ",""))</f>
        <v/>
      </c>
      <c r="AI5" s="13" t="str">
        <f>IF(AI$6="","",IF(COUNTIF('Cài đặt'!$J$16:$J$30,DATE('Cài đặt'!$D$8,'Cài đặt'!$D$7,AI$6))&gt;0,"Lễ",""))</f>
        <v/>
      </c>
      <c r="AJ5" s="14" t="str">
        <f>'Cài đặt'!C16</f>
        <v>Ca hành chính</v>
      </c>
      <c r="AK5" s="14" t="str">
        <f>'Cài đặt'!C17</f>
        <v>Ca sáng</v>
      </c>
      <c r="AL5" s="14" t="str">
        <f>'Cài đặt'!C18</f>
        <v>Ca chiều</v>
      </c>
      <c r="AM5" s="14" t="str">
        <f>'Cài đặt'!C19</f>
        <v>Ca đêm</v>
      </c>
      <c r="AN5" s="14" t="str">
        <f>'Cài đặt'!C20</f>
        <v>Chạy tuyến dài</v>
      </c>
      <c r="AO5" s="14" t="str">
        <f>'Cài đặt'!C21</f>
        <v>Nghỉ phép năm</v>
      </c>
      <c r="AP5" s="14" t="str">
        <f>'Cài đặt'!C22</f>
        <v>Nghỉ lễ</v>
      </c>
      <c r="AQ5" s="14" t="str">
        <f>'Cài đặt'!C23</f>
        <v>Nghỉ ốm (BHXH)</v>
      </c>
      <c r="AR5" s="14" t="str">
        <f>'Cài đặt'!C24</f>
        <v>Nghỉ không lương</v>
      </c>
      <c r="AS5" s="14" t="s">
        <v>9</v>
      </c>
      <c r="AT5" s="14" t="s">
        <v>10</v>
      </c>
      <c r="AU5" s="14" t="s">
        <v>11</v>
      </c>
      <c r="AV5" s="14" t="s">
        <v>12</v>
      </c>
      <c r="AW5" s="14" t="s">
        <v>13</v>
      </c>
      <c r="AX5" s="12"/>
    </row>
    <row r="6" ht="19.5" customHeight="1">
      <c r="A6" s="12"/>
      <c r="B6" s="12"/>
      <c r="C6" s="12"/>
      <c r="D6" s="12"/>
      <c r="E6" s="15">
        <f>IF(COLUMN()-4&lt;='Cài đặt'!$D$9,COLUMN()-4,"")</f>
        <v>1</v>
      </c>
      <c r="F6" s="15">
        <f>IF(COLUMN()-4&lt;='Cài đặt'!$D$9,COLUMN()-4,"")</f>
        <v>2</v>
      </c>
      <c r="G6" s="15">
        <f>IF(COLUMN()-4&lt;='Cài đặt'!$D$9,COLUMN()-4,"")</f>
        <v>3</v>
      </c>
      <c r="H6" s="15">
        <f>IF(COLUMN()-4&lt;='Cài đặt'!$D$9,COLUMN()-4,"")</f>
        <v>4</v>
      </c>
      <c r="I6" s="15">
        <f>IF(COLUMN()-4&lt;='Cài đặt'!$D$9,COLUMN()-4,"")</f>
        <v>5</v>
      </c>
      <c r="J6" s="15">
        <f>IF(COLUMN()-4&lt;='Cài đặt'!$D$9,COLUMN()-4,"")</f>
        <v>6</v>
      </c>
      <c r="K6" s="15">
        <f>IF(COLUMN()-4&lt;='Cài đặt'!$D$9,COLUMN()-4,"")</f>
        <v>7</v>
      </c>
      <c r="L6" s="15">
        <f>IF(COLUMN()-4&lt;='Cài đặt'!$D$9,COLUMN()-4,"")</f>
        <v>8</v>
      </c>
      <c r="M6" s="15">
        <f>IF(COLUMN()-4&lt;='Cài đặt'!$D$9,COLUMN()-4,"")</f>
        <v>9</v>
      </c>
      <c r="N6" s="15">
        <f>IF(COLUMN()-4&lt;='Cài đặt'!$D$9,COLUMN()-4,"")</f>
        <v>10</v>
      </c>
      <c r="O6" s="15">
        <f>IF(COLUMN()-4&lt;='Cài đặt'!$D$9,COLUMN()-4,"")</f>
        <v>11</v>
      </c>
      <c r="P6" s="15">
        <f>IF(COLUMN()-4&lt;='Cài đặt'!$D$9,COLUMN()-4,"")</f>
        <v>12</v>
      </c>
      <c r="Q6" s="15">
        <f>IF(COLUMN()-4&lt;='Cài đặt'!$D$9,COLUMN()-4,"")</f>
        <v>13</v>
      </c>
      <c r="R6" s="15">
        <f>IF(COLUMN()-4&lt;='Cài đặt'!$D$9,COLUMN()-4,"")</f>
        <v>14</v>
      </c>
      <c r="S6" s="15">
        <f>IF(COLUMN()-4&lt;='Cài đặt'!$D$9,COLUMN()-4,"")</f>
        <v>15</v>
      </c>
      <c r="T6" s="15">
        <f>IF(COLUMN()-4&lt;='Cài đặt'!$D$9,COLUMN()-4,"")</f>
        <v>16</v>
      </c>
      <c r="U6" s="15">
        <f>IF(COLUMN()-4&lt;='Cài đặt'!$D$9,COLUMN()-4,"")</f>
        <v>17</v>
      </c>
      <c r="V6" s="15">
        <f>IF(COLUMN()-4&lt;='Cài đặt'!$D$9,COLUMN()-4,"")</f>
        <v>18</v>
      </c>
      <c r="W6" s="15">
        <f>IF(COLUMN()-4&lt;='Cài đặt'!$D$9,COLUMN()-4,"")</f>
        <v>19</v>
      </c>
      <c r="X6" s="15">
        <f>IF(COLUMN()-4&lt;='Cài đặt'!$D$9,COLUMN()-4,"")</f>
        <v>20</v>
      </c>
      <c r="Y6" s="15">
        <f>IF(COLUMN()-4&lt;='Cài đặt'!$D$9,COLUMN()-4,"")</f>
        <v>21</v>
      </c>
      <c r="Z6" s="15">
        <f>IF(COLUMN()-4&lt;='Cài đặt'!$D$9,COLUMN()-4,"")</f>
        <v>22</v>
      </c>
      <c r="AA6" s="15">
        <f>IF(COLUMN()-4&lt;='Cài đặt'!$D$9,COLUMN()-4,"")</f>
        <v>23</v>
      </c>
      <c r="AB6" s="15">
        <f>IF(COLUMN()-4&lt;='Cài đặt'!$D$9,COLUMN()-4,"")</f>
        <v>24</v>
      </c>
      <c r="AC6" s="15">
        <f>IF(COLUMN()-4&lt;='Cài đặt'!$D$9,COLUMN()-4,"")</f>
        <v>25</v>
      </c>
      <c r="AD6" s="15">
        <f>IF(COLUMN()-4&lt;='Cài đặt'!$D$9,COLUMN()-4,"")</f>
        <v>26</v>
      </c>
      <c r="AE6" s="15">
        <f>IF(COLUMN()-4&lt;='Cài đặt'!$D$9,COLUMN()-4,"")</f>
        <v>27</v>
      </c>
      <c r="AF6" s="15">
        <f>IF(COLUMN()-4&lt;='Cài đặt'!$D$9,COLUMN()-4,"")</f>
        <v>28</v>
      </c>
      <c r="AG6" s="15">
        <f>IF(COLUMN()-4&lt;='Cài đặt'!$D$9,COLUMN()-4,"")</f>
        <v>29</v>
      </c>
      <c r="AH6" s="15">
        <f>IF(COLUMN()-4&lt;='Cài đặt'!$D$9,COLUMN()-4,"")</f>
        <v>30</v>
      </c>
      <c r="AI6" s="15" t="str">
        <f>IF(COLUMN()-4&lt;='Cài đặt'!$D$9,COLUMN()-4,"")</f>
        <v/>
      </c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</row>
    <row r="7" ht="19.5" customHeight="1">
      <c r="A7" s="16"/>
      <c r="B7" s="16"/>
      <c r="C7" s="16"/>
      <c r="D7" s="16"/>
      <c r="E7" s="17" t="str">
        <f>IF(E$6="","",CHOOSE(WEEKDAY(DATE('Cài đặt'!$D$8,'Cài đặt'!$D$7,E$6),2),"T2","T3","T4","T5","T6","T7","CN"))</f>
        <v>CN</v>
      </c>
      <c r="F7" s="17" t="str">
        <f>IF(F$6="","",CHOOSE(WEEKDAY(DATE('Cài đặt'!$D$8,'Cài đặt'!$D$7,F$6),2),"T2","T3","T4","T5","T6","T7","CN"))</f>
        <v>T2</v>
      </c>
      <c r="G7" s="17" t="str">
        <f>IF(G$6="","",CHOOSE(WEEKDAY(DATE('Cài đặt'!$D$8,'Cài đặt'!$D$7,G$6),2),"T2","T3","T4","T5","T6","T7","CN"))</f>
        <v>T3</v>
      </c>
      <c r="H7" s="17" t="str">
        <f>IF(H$6="","",CHOOSE(WEEKDAY(DATE('Cài đặt'!$D$8,'Cài đặt'!$D$7,H$6),2),"T2","T3","T4","T5","T6","T7","CN"))</f>
        <v>T4</v>
      </c>
      <c r="I7" s="17" t="str">
        <f>IF(I$6="","",CHOOSE(WEEKDAY(DATE('Cài đặt'!$D$8,'Cài đặt'!$D$7,I$6),2),"T2","T3","T4","T5","T6","T7","CN"))</f>
        <v>T5</v>
      </c>
      <c r="J7" s="17" t="str">
        <f>IF(J$6="","",CHOOSE(WEEKDAY(DATE('Cài đặt'!$D$8,'Cài đặt'!$D$7,J$6),2),"T2","T3","T4","T5","T6","T7","CN"))</f>
        <v>T6</v>
      </c>
      <c r="K7" s="17" t="str">
        <f>IF(K$6="","",CHOOSE(WEEKDAY(DATE('Cài đặt'!$D$8,'Cài đặt'!$D$7,K$6),2),"T2","T3","T4","T5","T6","T7","CN"))</f>
        <v>T7</v>
      </c>
      <c r="L7" s="17" t="str">
        <f>IF(L$6="","",CHOOSE(WEEKDAY(DATE('Cài đặt'!$D$8,'Cài đặt'!$D$7,L$6),2),"T2","T3","T4","T5","T6","T7","CN"))</f>
        <v>CN</v>
      </c>
      <c r="M7" s="17" t="str">
        <f>IF(M$6="","",CHOOSE(WEEKDAY(DATE('Cài đặt'!$D$8,'Cài đặt'!$D$7,M$6),2),"T2","T3","T4","T5","T6","T7","CN"))</f>
        <v>T2</v>
      </c>
      <c r="N7" s="17" t="str">
        <f>IF(N$6="","",CHOOSE(WEEKDAY(DATE('Cài đặt'!$D$8,'Cài đặt'!$D$7,N$6),2),"T2","T3","T4","T5","T6","T7","CN"))</f>
        <v>T3</v>
      </c>
      <c r="O7" s="17" t="str">
        <f>IF(O$6="","",CHOOSE(WEEKDAY(DATE('Cài đặt'!$D$8,'Cài đặt'!$D$7,O$6),2),"T2","T3","T4","T5","T6","T7","CN"))</f>
        <v>T4</v>
      </c>
      <c r="P7" s="17" t="str">
        <f>IF(P$6="","",CHOOSE(WEEKDAY(DATE('Cài đặt'!$D$8,'Cài đặt'!$D$7,P$6),2),"T2","T3","T4","T5","T6","T7","CN"))</f>
        <v>T5</v>
      </c>
      <c r="Q7" s="17" t="str">
        <f>IF(Q$6="","",CHOOSE(WEEKDAY(DATE('Cài đặt'!$D$8,'Cài đặt'!$D$7,Q$6),2),"T2","T3","T4","T5","T6","T7","CN"))</f>
        <v>T6</v>
      </c>
      <c r="R7" s="17" t="str">
        <f>IF(R$6="","",CHOOSE(WEEKDAY(DATE('Cài đặt'!$D$8,'Cài đặt'!$D$7,R$6),2),"T2","T3","T4","T5","T6","T7","CN"))</f>
        <v>T7</v>
      </c>
      <c r="S7" s="17" t="str">
        <f>IF(S$6="","",CHOOSE(WEEKDAY(DATE('Cài đặt'!$D$8,'Cài đặt'!$D$7,S$6),2),"T2","T3","T4","T5","T6","T7","CN"))</f>
        <v>CN</v>
      </c>
      <c r="T7" s="17" t="str">
        <f>IF(T$6="","",CHOOSE(WEEKDAY(DATE('Cài đặt'!$D$8,'Cài đặt'!$D$7,T$6),2),"T2","T3","T4","T5","T6","T7","CN"))</f>
        <v>T2</v>
      </c>
      <c r="U7" s="17" t="str">
        <f>IF(U$6="","",CHOOSE(WEEKDAY(DATE('Cài đặt'!$D$8,'Cài đặt'!$D$7,U$6),2),"T2","T3","T4","T5","T6","T7","CN"))</f>
        <v>T3</v>
      </c>
      <c r="V7" s="17" t="str">
        <f>IF(V$6="","",CHOOSE(WEEKDAY(DATE('Cài đặt'!$D$8,'Cài đặt'!$D$7,V$6),2),"T2","T3","T4","T5","T6","T7","CN"))</f>
        <v>T4</v>
      </c>
      <c r="W7" s="17" t="str">
        <f>IF(W$6="","",CHOOSE(WEEKDAY(DATE('Cài đặt'!$D$8,'Cài đặt'!$D$7,W$6),2),"T2","T3","T4","T5","T6","T7","CN"))</f>
        <v>T5</v>
      </c>
      <c r="X7" s="17" t="str">
        <f>IF(X$6="","",CHOOSE(WEEKDAY(DATE('Cài đặt'!$D$8,'Cài đặt'!$D$7,X$6),2),"T2","T3","T4","T5","T6","T7","CN"))</f>
        <v>T6</v>
      </c>
      <c r="Y7" s="17" t="str">
        <f>IF(Y$6="","",CHOOSE(WEEKDAY(DATE('Cài đặt'!$D$8,'Cài đặt'!$D$7,Y$6),2),"T2","T3","T4","T5","T6","T7","CN"))</f>
        <v>T7</v>
      </c>
      <c r="Z7" s="17" t="str">
        <f>IF(Z$6="","",CHOOSE(WEEKDAY(DATE('Cài đặt'!$D$8,'Cài đặt'!$D$7,Z$6),2),"T2","T3","T4","T5","T6","T7","CN"))</f>
        <v>CN</v>
      </c>
      <c r="AA7" s="17" t="str">
        <f>IF(AA$6="","",CHOOSE(WEEKDAY(DATE('Cài đặt'!$D$8,'Cài đặt'!$D$7,AA$6),2),"T2","T3","T4","T5","T6","T7","CN"))</f>
        <v>T2</v>
      </c>
      <c r="AB7" s="17" t="str">
        <f>IF(AB$6="","",CHOOSE(WEEKDAY(DATE('Cài đặt'!$D$8,'Cài đặt'!$D$7,AB$6),2),"T2","T3","T4","T5","T6","T7","CN"))</f>
        <v>T3</v>
      </c>
      <c r="AC7" s="17" t="str">
        <f>IF(AC$6="","",CHOOSE(WEEKDAY(DATE('Cài đặt'!$D$8,'Cài đặt'!$D$7,AC$6),2),"T2","T3","T4","T5","T6","T7","CN"))</f>
        <v>T4</v>
      </c>
      <c r="AD7" s="17" t="str">
        <f>IF(AD$6="","",CHOOSE(WEEKDAY(DATE('Cài đặt'!$D$8,'Cài đặt'!$D$7,AD$6),2),"T2","T3","T4","T5","T6","T7","CN"))</f>
        <v>T5</v>
      </c>
      <c r="AE7" s="17" t="str">
        <f>IF(AE$6="","",CHOOSE(WEEKDAY(DATE('Cài đặt'!$D$8,'Cài đặt'!$D$7,AE$6),2),"T2","T3","T4","T5","T6","T7","CN"))</f>
        <v>T6</v>
      </c>
      <c r="AF7" s="17" t="str">
        <f>IF(AF$6="","",CHOOSE(WEEKDAY(DATE('Cài đặt'!$D$8,'Cài đặt'!$D$7,AF$6),2),"T2","T3","T4","T5","T6","T7","CN"))</f>
        <v>T7</v>
      </c>
      <c r="AG7" s="17" t="str">
        <f>IF(AG$6="","",CHOOSE(WEEKDAY(DATE('Cài đặt'!$D$8,'Cài đặt'!$D$7,AG$6),2),"T2","T3","T4","T5","T6","T7","CN"))</f>
        <v>CN</v>
      </c>
      <c r="AH7" s="17" t="str">
        <f>IF(AH$6="","",CHOOSE(WEEKDAY(DATE('Cài đặt'!$D$8,'Cài đặt'!$D$7,AH$6),2),"T2","T3","T4","T5","T6","T7","CN"))</f>
        <v>T2</v>
      </c>
      <c r="AI7" s="17" t="str">
        <f>IF(AI$6="","",CHOOSE(WEEKDAY(DATE('Cài đặt'!$D$8,'Cài đặt'!$D$7,AI$6),2),"T2","T3","T4","T5","T6","T7","CN"))</f>
        <v/>
      </c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</row>
    <row r="8" ht="21.0" customHeight="1">
      <c r="A8" s="18">
        <v>1.0</v>
      </c>
      <c r="B8" s="19" t="s">
        <v>14</v>
      </c>
      <c r="C8" s="20" t="s">
        <v>15</v>
      </c>
      <c r="D8" s="21" t="s">
        <v>16</v>
      </c>
      <c r="E8" s="22" t="s">
        <v>17</v>
      </c>
      <c r="F8" s="22" t="s">
        <v>17</v>
      </c>
      <c r="G8" s="22" t="s">
        <v>17</v>
      </c>
      <c r="H8" s="22" t="s">
        <v>17</v>
      </c>
      <c r="I8" s="22" t="s">
        <v>17</v>
      </c>
      <c r="J8" s="22" t="s">
        <v>17</v>
      </c>
      <c r="K8" s="22" t="s">
        <v>18</v>
      </c>
      <c r="L8" s="22" t="s">
        <v>17</v>
      </c>
      <c r="M8" s="22" t="s">
        <v>17</v>
      </c>
      <c r="N8" s="22" t="s">
        <v>17</v>
      </c>
      <c r="O8" s="22" t="s">
        <v>17</v>
      </c>
      <c r="P8" s="22" t="s">
        <v>17</v>
      </c>
      <c r="Q8" s="22" t="s">
        <v>17</v>
      </c>
      <c r="R8" s="22" t="s">
        <v>18</v>
      </c>
      <c r="S8" s="22" t="s">
        <v>17</v>
      </c>
      <c r="T8" s="22" t="s">
        <v>17</v>
      </c>
      <c r="U8" s="22" t="s">
        <v>17</v>
      </c>
      <c r="V8" s="22" t="s">
        <v>17</v>
      </c>
      <c r="W8" s="22" t="s">
        <v>17</v>
      </c>
      <c r="X8" s="22" t="s">
        <v>17</v>
      </c>
      <c r="Y8" s="22" t="s">
        <v>18</v>
      </c>
      <c r="Z8" s="22" t="s">
        <v>17</v>
      </c>
      <c r="AA8" s="22" t="s">
        <v>17</v>
      </c>
      <c r="AB8" s="22" t="s">
        <v>17</v>
      </c>
      <c r="AC8" s="22" t="s">
        <v>17</v>
      </c>
      <c r="AD8" s="22" t="s">
        <v>17</v>
      </c>
      <c r="AE8" s="22" t="s">
        <v>17</v>
      </c>
      <c r="AF8" s="22" t="s">
        <v>18</v>
      </c>
      <c r="AG8" s="22" t="s">
        <v>17</v>
      </c>
      <c r="AH8" s="22" t="s">
        <v>17</v>
      </c>
      <c r="AI8" s="22"/>
      <c r="AJ8" s="23">
        <f>IF($C8="","",COUNTIF($E8:$AI8,'Cài đặt'!$B$16))</f>
        <v>26</v>
      </c>
      <c r="AK8" s="23">
        <f>IF($C8="","",COUNTIF($E8:$AI8,'Cài đặt'!$B$17))</f>
        <v>0</v>
      </c>
      <c r="AL8" s="23">
        <f>IF($C8="","",COUNTIF($E8:$AI8,'Cài đặt'!$B$18))</f>
        <v>0</v>
      </c>
      <c r="AM8" s="23">
        <f>IF($C8="","",COUNTIF($E8:$AI8,'Cài đặt'!$B$19))</f>
        <v>0</v>
      </c>
      <c r="AN8" s="23">
        <f>IF($C8="","",COUNTIF($E8:$AI8,'Cài đặt'!$B$20))</f>
        <v>0</v>
      </c>
      <c r="AO8" s="23">
        <f>IF($C8="","",COUNTIF($E8:$AI8,'Cài đặt'!$B$21))</f>
        <v>0</v>
      </c>
      <c r="AP8" s="23">
        <f>IF($C8="","",COUNTIF($E8:$AI8,'Cài đặt'!$B$22))</f>
        <v>0</v>
      </c>
      <c r="AQ8" s="23">
        <f>IF($C8="","",COUNTIF($E8:$AI8,'Cài đặt'!$B$23))</f>
        <v>0</v>
      </c>
      <c r="AR8" s="23">
        <f>IF($C8="","",COUNTIF($E8:$AI8,'Cài đặt'!$B$24))</f>
        <v>0</v>
      </c>
      <c r="AS8" s="24">
        <f t="array" ref="AS8">IF($C8="","",SUMPRODUCT(COUNTIF($E8:$AI8,'Cài đặt'!$B$16:$B$25)*'Cài đặt'!$G$16:$G$25))</f>
        <v>208</v>
      </c>
      <c r="AT8" s="25">
        <f>IF($C8="","",SUMPRODUCT(--($E$7:$AI$7="CN"),SUMIF('Cài đặt'!$B$16:$B$25,$E8:$AI8,'Cài đặt'!$G$16:$G$25)))</f>
        <v>40</v>
      </c>
      <c r="AU8" s="25">
        <f>IF($C8="","",SUMPRODUCT(--($E$5:$AI$5="Lễ"),SUMIF('Cài đặt'!$B$16:$B$25,$E8:$AI8,'Cài đặt'!$G$16:$G$25)))</f>
        <v>0</v>
      </c>
      <c r="AV8" s="26">
        <f t="array" ref="AV8">IF($C8="","",SUMPRODUCT(COUNTIF($E8:$AI8,'Cài đặt'!$B$16:$B$25)*'Cài đặt'!$H$16:$H$25)/'Cài đặt'!$D$12)</f>
        <v>26</v>
      </c>
      <c r="AW8" s="24">
        <f>IF($C8="","",MAX(0,AS8-'Cài đặt'!$D$11*'Cài đặt'!$D$12))</f>
        <v>8</v>
      </c>
      <c r="AX8" s="27"/>
    </row>
    <row r="9" ht="21.0" customHeight="1">
      <c r="A9" s="18">
        <v>2.0</v>
      </c>
      <c r="B9" s="19" t="s">
        <v>19</v>
      </c>
      <c r="C9" s="20" t="s">
        <v>20</v>
      </c>
      <c r="D9" s="21" t="s">
        <v>16</v>
      </c>
      <c r="E9" s="22" t="s">
        <v>17</v>
      </c>
      <c r="F9" s="22" t="s">
        <v>17</v>
      </c>
      <c r="G9" s="22" t="s">
        <v>17</v>
      </c>
      <c r="H9" s="22" t="s">
        <v>17</v>
      </c>
      <c r="I9" s="22" t="s">
        <v>17</v>
      </c>
      <c r="J9" s="22" t="s">
        <v>18</v>
      </c>
      <c r="K9" s="22" t="s">
        <v>17</v>
      </c>
      <c r="L9" s="22" t="s">
        <v>17</v>
      </c>
      <c r="M9" s="22" t="s">
        <v>17</v>
      </c>
      <c r="N9" s="22" t="s">
        <v>17</v>
      </c>
      <c r="O9" s="22" t="s">
        <v>17</v>
      </c>
      <c r="P9" s="22" t="s">
        <v>17</v>
      </c>
      <c r="Q9" s="22" t="s">
        <v>18</v>
      </c>
      <c r="R9" s="22" t="s">
        <v>17</v>
      </c>
      <c r="S9" s="22" t="s">
        <v>17</v>
      </c>
      <c r="T9" s="22" t="s">
        <v>17</v>
      </c>
      <c r="U9" s="22" t="s">
        <v>17</v>
      </c>
      <c r="V9" s="22" t="s">
        <v>17</v>
      </c>
      <c r="W9" s="22" t="s">
        <v>17</v>
      </c>
      <c r="X9" s="22" t="s">
        <v>18</v>
      </c>
      <c r="Y9" s="22" t="s">
        <v>17</v>
      </c>
      <c r="Z9" s="22" t="s">
        <v>17</v>
      </c>
      <c r="AA9" s="22" t="s">
        <v>17</v>
      </c>
      <c r="AB9" s="22" t="s">
        <v>17</v>
      </c>
      <c r="AC9" s="22" t="s">
        <v>21</v>
      </c>
      <c r="AD9" s="22" t="s">
        <v>17</v>
      </c>
      <c r="AE9" s="22" t="s">
        <v>18</v>
      </c>
      <c r="AF9" s="22" t="s">
        <v>17</v>
      </c>
      <c r="AG9" s="22" t="s">
        <v>17</v>
      </c>
      <c r="AH9" s="22" t="s">
        <v>17</v>
      </c>
      <c r="AI9" s="22"/>
      <c r="AJ9" s="23">
        <f>IF($C9="","",COUNTIF($E9:$AI9,'Cài đặt'!$B$16))</f>
        <v>25</v>
      </c>
      <c r="AK9" s="23">
        <f>IF($C9="","",COUNTIF($E9:$AI9,'Cài đặt'!$B$17))</f>
        <v>0</v>
      </c>
      <c r="AL9" s="23">
        <f>IF($C9="","",COUNTIF($E9:$AI9,'Cài đặt'!$B$18))</f>
        <v>0</v>
      </c>
      <c r="AM9" s="23">
        <f>IF($C9="","",COUNTIF($E9:$AI9,'Cài đặt'!$B$19))</f>
        <v>0</v>
      </c>
      <c r="AN9" s="23">
        <f>IF($C9="","",COUNTIF($E9:$AI9,'Cài đặt'!$B$20))</f>
        <v>0</v>
      </c>
      <c r="AO9" s="23">
        <f>IF($C9="","",COUNTIF($E9:$AI9,'Cài đặt'!$B$21))</f>
        <v>0</v>
      </c>
      <c r="AP9" s="23">
        <f>IF($C9="","",COUNTIF($E9:$AI9,'Cài đặt'!$B$22))</f>
        <v>0</v>
      </c>
      <c r="AQ9" s="23">
        <f>IF($C9="","",COUNTIF($E9:$AI9,'Cài đặt'!$B$23))</f>
        <v>0</v>
      </c>
      <c r="AR9" s="23">
        <f>IF($C9="","",COUNTIF($E9:$AI9,'Cài đặt'!$B$24))</f>
        <v>1</v>
      </c>
      <c r="AS9" s="24">
        <f t="array" ref="AS9">IF($C9="","",SUMPRODUCT(COUNTIF($E9:$AI9,'Cài đặt'!$B$16:$B$25)*'Cài đặt'!$G$16:$G$25))</f>
        <v>200</v>
      </c>
      <c r="AT9" s="25">
        <f>IF($C9="","",SUMPRODUCT(--($E$7:$AI$7="CN"),SUMIF('Cài đặt'!$B$16:$B$25,$E9:$AI9,'Cài đặt'!$G$16:$G$25)))</f>
        <v>40</v>
      </c>
      <c r="AU9" s="25">
        <f>IF($C9="","",SUMPRODUCT(--($E$5:$AI$5="Lễ"),SUMIF('Cài đặt'!$B$16:$B$25,$E9:$AI9,'Cài đặt'!$G$16:$G$25)))</f>
        <v>0</v>
      </c>
      <c r="AV9" s="26">
        <f t="array" ref="AV9">IF($C9="","",SUMPRODUCT(COUNTIF($E9:$AI9,'Cài đặt'!$B$16:$B$25)*'Cài đặt'!$H$16:$H$25)/'Cài đặt'!$D$12)</f>
        <v>25</v>
      </c>
      <c r="AW9" s="24">
        <f>IF($C9="","",MAX(0,AS9-'Cài đặt'!$D$11*'Cài đặt'!$D$12))</f>
        <v>0</v>
      </c>
      <c r="AX9" s="27"/>
    </row>
    <row r="10" ht="21.0" customHeight="1">
      <c r="A10" s="18">
        <v>3.0</v>
      </c>
      <c r="B10" s="19" t="s">
        <v>22</v>
      </c>
      <c r="C10" s="20" t="s">
        <v>23</v>
      </c>
      <c r="D10" s="21" t="s">
        <v>24</v>
      </c>
      <c r="E10" s="22" t="s">
        <v>25</v>
      </c>
      <c r="F10" s="22" t="s">
        <v>26</v>
      </c>
      <c r="G10" s="22" t="s">
        <v>26</v>
      </c>
      <c r="H10" s="22" t="s">
        <v>26</v>
      </c>
      <c r="I10" s="22" t="s">
        <v>18</v>
      </c>
      <c r="J10" s="22" t="s">
        <v>25</v>
      </c>
      <c r="K10" s="22" t="s">
        <v>25</v>
      </c>
      <c r="L10" s="22" t="s">
        <v>25</v>
      </c>
      <c r="M10" s="22" t="s">
        <v>26</v>
      </c>
      <c r="N10" s="22" t="s">
        <v>27</v>
      </c>
      <c r="O10" s="22" t="s">
        <v>27</v>
      </c>
      <c r="P10" s="22" t="s">
        <v>18</v>
      </c>
      <c r="Q10" s="22" t="s">
        <v>25</v>
      </c>
      <c r="R10" s="22" t="s">
        <v>25</v>
      </c>
      <c r="S10" s="22" t="s">
        <v>25</v>
      </c>
      <c r="T10" s="22" t="s">
        <v>26</v>
      </c>
      <c r="U10" s="22" t="s">
        <v>26</v>
      </c>
      <c r="V10" s="22" t="s">
        <v>26</v>
      </c>
      <c r="W10" s="22" t="s">
        <v>18</v>
      </c>
      <c r="X10" s="22" t="s">
        <v>25</v>
      </c>
      <c r="Y10" s="22" t="s">
        <v>25</v>
      </c>
      <c r="Z10" s="22" t="s">
        <v>25</v>
      </c>
      <c r="AA10" s="22" t="s">
        <v>26</v>
      </c>
      <c r="AB10" s="22" t="s">
        <v>26</v>
      </c>
      <c r="AC10" s="22" t="s">
        <v>26</v>
      </c>
      <c r="AD10" s="22" t="s">
        <v>18</v>
      </c>
      <c r="AE10" s="22" t="s">
        <v>25</v>
      </c>
      <c r="AF10" s="22" t="s">
        <v>25</v>
      </c>
      <c r="AG10" s="22" t="s">
        <v>25</v>
      </c>
      <c r="AH10" s="22" t="s">
        <v>26</v>
      </c>
      <c r="AI10" s="22"/>
      <c r="AJ10" s="23">
        <f>IF($C10="","",COUNTIF($E10:$AI10,'Cài đặt'!$B$16))</f>
        <v>0</v>
      </c>
      <c r="AK10" s="23">
        <f>IF($C10="","",COUNTIF($E10:$AI10,'Cài đặt'!$B$17))</f>
        <v>13</v>
      </c>
      <c r="AL10" s="23">
        <f>IF($C10="","",COUNTIF($E10:$AI10,'Cài đặt'!$B$18))</f>
        <v>11</v>
      </c>
      <c r="AM10" s="23">
        <f>IF($C10="","",COUNTIF($E10:$AI10,'Cài đặt'!$B$19))</f>
        <v>0</v>
      </c>
      <c r="AN10" s="23">
        <f>IF($C10="","",COUNTIF($E10:$AI10,'Cài đặt'!$B$20))</f>
        <v>0</v>
      </c>
      <c r="AO10" s="23">
        <f>IF($C10="","",COUNTIF($E10:$AI10,'Cài đặt'!$B$21))</f>
        <v>2</v>
      </c>
      <c r="AP10" s="23">
        <f>IF($C10="","",COUNTIF($E10:$AI10,'Cài đặt'!$B$22))</f>
        <v>0</v>
      </c>
      <c r="AQ10" s="23">
        <f>IF($C10="","",COUNTIF($E10:$AI10,'Cài đặt'!$B$23))</f>
        <v>0</v>
      </c>
      <c r="AR10" s="23">
        <f>IF($C10="","",COUNTIF($E10:$AI10,'Cài đặt'!$B$24))</f>
        <v>0</v>
      </c>
      <c r="AS10" s="24">
        <f t="array" ref="AS10">IF($C10="","",SUMPRODUCT(COUNTIF($E10:$AI10,'Cài đặt'!$B$16:$B$25)*'Cài đặt'!$G$16:$G$25))</f>
        <v>192</v>
      </c>
      <c r="AT10" s="25">
        <f>IF($C10="","",SUMPRODUCT(--($E$7:$AI$7="CN"),SUMIF('Cài đặt'!$B$16:$B$25,$E10:$AI10,'Cài đặt'!$G$16:$G$25)))</f>
        <v>40</v>
      </c>
      <c r="AU10" s="25">
        <f>IF($C10="","",SUMPRODUCT(--($E$5:$AI$5="Lễ"),SUMIF('Cài đặt'!$B$16:$B$25,$E10:$AI10,'Cài đặt'!$G$16:$G$25)))</f>
        <v>0</v>
      </c>
      <c r="AV10" s="26">
        <f t="array" ref="AV10">IF($C10="","",SUMPRODUCT(COUNTIF($E10:$AI10,'Cài đặt'!$B$16:$B$25)*'Cài đặt'!$H$16:$H$25)/'Cài đặt'!$D$12)</f>
        <v>26</v>
      </c>
      <c r="AW10" s="24">
        <f>IF($C10="","",MAX(0,AS10-'Cài đặt'!$D$11*'Cài đặt'!$D$12))</f>
        <v>0</v>
      </c>
      <c r="AX10" s="27"/>
    </row>
    <row r="11" ht="21.0" customHeight="1">
      <c r="A11" s="18">
        <v>4.0</v>
      </c>
      <c r="B11" s="19" t="s">
        <v>28</v>
      </c>
      <c r="C11" s="20" t="s">
        <v>29</v>
      </c>
      <c r="D11" s="21" t="s">
        <v>24</v>
      </c>
      <c r="E11" s="22" t="s">
        <v>25</v>
      </c>
      <c r="F11" s="22" t="s">
        <v>25</v>
      </c>
      <c r="G11" s="22" t="s">
        <v>25</v>
      </c>
      <c r="H11" s="22" t="s">
        <v>18</v>
      </c>
      <c r="I11" s="22" t="s">
        <v>26</v>
      </c>
      <c r="J11" s="22" t="s">
        <v>26</v>
      </c>
      <c r="K11" s="22" t="s">
        <v>26</v>
      </c>
      <c r="L11" s="22" t="s">
        <v>25</v>
      </c>
      <c r="M11" s="22" t="s">
        <v>25</v>
      </c>
      <c r="N11" s="22" t="s">
        <v>25</v>
      </c>
      <c r="O11" s="22" t="s">
        <v>18</v>
      </c>
      <c r="P11" s="22" t="s">
        <v>26</v>
      </c>
      <c r="Q11" s="22" t="s">
        <v>26</v>
      </c>
      <c r="R11" s="22" t="s">
        <v>26</v>
      </c>
      <c r="S11" s="22" t="s">
        <v>25</v>
      </c>
      <c r="T11" s="22" t="s">
        <v>25</v>
      </c>
      <c r="U11" s="22" t="s">
        <v>25</v>
      </c>
      <c r="V11" s="22" t="s">
        <v>18</v>
      </c>
      <c r="W11" s="22" t="s">
        <v>26</v>
      </c>
      <c r="X11" s="22" t="s">
        <v>26</v>
      </c>
      <c r="Y11" s="22" t="s">
        <v>26</v>
      </c>
      <c r="Z11" s="22" t="s">
        <v>25</v>
      </c>
      <c r="AA11" s="22" t="s">
        <v>25</v>
      </c>
      <c r="AB11" s="22" t="s">
        <v>25</v>
      </c>
      <c r="AC11" s="22" t="s">
        <v>18</v>
      </c>
      <c r="AD11" s="22" t="s">
        <v>26</v>
      </c>
      <c r="AE11" s="22" t="s">
        <v>26</v>
      </c>
      <c r="AF11" s="22" t="s">
        <v>26</v>
      </c>
      <c r="AG11" s="22" t="s">
        <v>25</v>
      </c>
      <c r="AH11" s="22" t="s">
        <v>25</v>
      </c>
      <c r="AI11" s="22"/>
      <c r="AJ11" s="23">
        <f>IF($C11="","",COUNTIF($E11:$AI11,'Cài đặt'!$B$16))</f>
        <v>0</v>
      </c>
      <c r="AK11" s="23">
        <f>IF($C11="","",COUNTIF($E11:$AI11,'Cài đặt'!$B$17))</f>
        <v>14</v>
      </c>
      <c r="AL11" s="23">
        <f>IF($C11="","",COUNTIF($E11:$AI11,'Cài đặt'!$B$18))</f>
        <v>12</v>
      </c>
      <c r="AM11" s="23">
        <f>IF($C11="","",COUNTIF($E11:$AI11,'Cài đặt'!$B$19))</f>
        <v>0</v>
      </c>
      <c r="AN11" s="23">
        <f>IF($C11="","",COUNTIF($E11:$AI11,'Cài đặt'!$B$20))</f>
        <v>0</v>
      </c>
      <c r="AO11" s="23">
        <f>IF($C11="","",COUNTIF($E11:$AI11,'Cài đặt'!$B$21))</f>
        <v>0</v>
      </c>
      <c r="AP11" s="23">
        <f>IF($C11="","",COUNTIF($E11:$AI11,'Cài đặt'!$B$22))</f>
        <v>0</v>
      </c>
      <c r="AQ11" s="23">
        <f>IF($C11="","",COUNTIF($E11:$AI11,'Cài đặt'!$B$23))</f>
        <v>0</v>
      </c>
      <c r="AR11" s="23">
        <f>IF($C11="","",COUNTIF($E11:$AI11,'Cài đặt'!$B$24))</f>
        <v>0</v>
      </c>
      <c r="AS11" s="24">
        <f t="array" ref="AS11">IF($C11="","",SUMPRODUCT(COUNTIF($E11:$AI11,'Cài đặt'!$B$16:$B$25)*'Cài đặt'!$G$16:$G$25))</f>
        <v>208</v>
      </c>
      <c r="AT11" s="25">
        <f>IF($C11="","",SUMPRODUCT(--($E$7:$AI$7="CN"),SUMIF('Cài đặt'!$B$16:$B$25,$E11:$AI11,'Cài đặt'!$G$16:$G$25)))</f>
        <v>40</v>
      </c>
      <c r="AU11" s="25">
        <f>IF($C11="","",SUMPRODUCT(--($E$5:$AI$5="Lễ"),SUMIF('Cài đặt'!$B$16:$B$25,$E11:$AI11,'Cài đặt'!$G$16:$G$25)))</f>
        <v>0</v>
      </c>
      <c r="AV11" s="26">
        <f t="array" ref="AV11">IF($C11="","",SUMPRODUCT(COUNTIF($E11:$AI11,'Cài đặt'!$B$16:$B$25)*'Cài đặt'!$H$16:$H$25)/'Cài đặt'!$D$12)</f>
        <v>26</v>
      </c>
      <c r="AW11" s="24">
        <f>IF($C11="","",MAX(0,AS11-'Cài đặt'!$D$11*'Cài đặt'!$D$12))</f>
        <v>8</v>
      </c>
      <c r="AX11" s="27"/>
    </row>
    <row r="12" ht="21.0" customHeight="1">
      <c r="A12" s="18">
        <v>5.0</v>
      </c>
      <c r="B12" s="19" t="s">
        <v>30</v>
      </c>
      <c r="C12" s="20" t="s">
        <v>31</v>
      </c>
      <c r="D12" s="21" t="s">
        <v>32</v>
      </c>
      <c r="E12" s="22" t="s">
        <v>33</v>
      </c>
      <c r="F12" s="22" t="s">
        <v>18</v>
      </c>
      <c r="G12" s="22" t="s">
        <v>18</v>
      </c>
      <c r="H12" s="22" t="s">
        <v>33</v>
      </c>
      <c r="I12" s="22" t="s">
        <v>33</v>
      </c>
      <c r="J12" s="22" t="s">
        <v>33</v>
      </c>
      <c r="K12" s="22" t="s">
        <v>33</v>
      </c>
      <c r="L12" s="22" t="s">
        <v>33</v>
      </c>
      <c r="M12" s="22" t="s">
        <v>18</v>
      </c>
      <c r="N12" s="22" t="s">
        <v>18</v>
      </c>
      <c r="O12" s="22" t="s">
        <v>33</v>
      </c>
      <c r="P12" s="22" t="s">
        <v>33</v>
      </c>
      <c r="Q12" s="22" t="s">
        <v>33</v>
      </c>
      <c r="R12" s="22" t="s">
        <v>33</v>
      </c>
      <c r="S12" s="22" t="s">
        <v>33</v>
      </c>
      <c r="T12" s="22" t="s">
        <v>18</v>
      </c>
      <c r="U12" s="22" t="s">
        <v>18</v>
      </c>
      <c r="V12" s="22" t="s">
        <v>34</v>
      </c>
      <c r="W12" s="22" t="s">
        <v>33</v>
      </c>
      <c r="X12" s="22" t="s">
        <v>33</v>
      </c>
      <c r="Y12" s="22" t="s">
        <v>33</v>
      </c>
      <c r="Z12" s="22" t="s">
        <v>33</v>
      </c>
      <c r="AA12" s="22" t="s">
        <v>18</v>
      </c>
      <c r="AB12" s="22" t="s">
        <v>18</v>
      </c>
      <c r="AC12" s="22" t="s">
        <v>33</v>
      </c>
      <c r="AD12" s="22" t="s">
        <v>33</v>
      </c>
      <c r="AE12" s="22" t="s">
        <v>33</v>
      </c>
      <c r="AF12" s="22" t="s">
        <v>33</v>
      </c>
      <c r="AG12" s="22" t="s">
        <v>33</v>
      </c>
      <c r="AH12" s="22" t="s">
        <v>18</v>
      </c>
      <c r="AI12" s="22"/>
      <c r="AJ12" s="23">
        <f>IF($C12="","",COUNTIF($E12:$AI12,'Cài đặt'!$B$16))</f>
        <v>0</v>
      </c>
      <c r="AK12" s="23">
        <f>IF($C12="","",COUNTIF($E12:$AI12,'Cài đặt'!$B$17))</f>
        <v>0</v>
      </c>
      <c r="AL12" s="23">
        <f>IF($C12="","",COUNTIF($E12:$AI12,'Cài đặt'!$B$18))</f>
        <v>0</v>
      </c>
      <c r="AM12" s="23">
        <f>IF($C12="","",COUNTIF($E12:$AI12,'Cài đặt'!$B$19))</f>
        <v>0</v>
      </c>
      <c r="AN12" s="23">
        <f>IF($C12="","",COUNTIF($E12:$AI12,'Cài đặt'!$B$20))</f>
        <v>20</v>
      </c>
      <c r="AO12" s="23">
        <f>IF($C12="","",COUNTIF($E12:$AI12,'Cài đặt'!$B$21))</f>
        <v>0</v>
      </c>
      <c r="AP12" s="23">
        <f>IF($C12="","",COUNTIF($E12:$AI12,'Cài đặt'!$B$22))</f>
        <v>0</v>
      </c>
      <c r="AQ12" s="23">
        <f>IF($C12="","",COUNTIF($E12:$AI12,'Cài đặt'!$B$23))</f>
        <v>1</v>
      </c>
      <c r="AR12" s="23">
        <f>IF($C12="","",COUNTIF($E12:$AI12,'Cài đặt'!$B$24))</f>
        <v>0</v>
      </c>
      <c r="AS12" s="24">
        <f t="array" ref="AS12">IF($C12="","",SUMPRODUCT(COUNTIF($E12:$AI12,'Cài đặt'!$B$16:$B$25)*'Cài đặt'!$G$16:$G$25))</f>
        <v>220</v>
      </c>
      <c r="AT12" s="25">
        <f>IF($C12="","",SUMPRODUCT(--($E$7:$AI$7="CN"),SUMIF('Cài đặt'!$B$16:$B$25,$E12:$AI12,'Cài đặt'!$G$16:$G$25)))</f>
        <v>55</v>
      </c>
      <c r="AU12" s="25">
        <f>IF($C12="","",SUMPRODUCT(--($E$5:$AI$5="Lễ"),SUMIF('Cài đặt'!$B$16:$B$25,$E12:$AI12,'Cài đặt'!$G$16:$G$25)))</f>
        <v>0</v>
      </c>
      <c r="AV12" s="26">
        <f t="array" ref="AV12">IF($C12="","",SUMPRODUCT(COUNTIF($E12:$AI12,'Cài đặt'!$B$16:$B$25)*'Cài đặt'!$H$16:$H$25)/'Cài đặt'!$D$12)</f>
        <v>27.5</v>
      </c>
      <c r="AW12" s="24">
        <f>IF($C12="","",MAX(0,AS12-'Cài đặt'!$D$11*'Cài đặt'!$D$12))</f>
        <v>20</v>
      </c>
      <c r="AX12" s="27"/>
    </row>
    <row r="13" ht="21.0" customHeight="1">
      <c r="A13" s="18">
        <v>6.0</v>
      </c>
      <c r="B13" s="19" t="s">
        <v>35</v>
      </c>
      <c r="C13" s="20" t="s">
        <v>36</v>
      </c>
      <c r="D13" s="21" t="s">
        <v>37</v>
      </c>
      <c r="E13" s="22" t="s">
        <v>18</v>
      </c>
      <c r="F13" s="22" t="s">
        <v>18</v>
      </c>
      <c r="G13" s="22" t="s">
        <v>38</v>
      </c>
      <c r="H13" s="22" t="s">
        <v>38</v>
      </c>
      <c r="I13" s="22" t="s">
        <v>38</v>
      </c>
      <c r="J13" s="22" t="s">
        <v>38</v>
      </c>
      <c r="K13" s="22" t="s">
        <v>38</v>
      </c>
      <c r="L13" s="22" t="s">
        <v>18</v>
      </c>
      <c r="M13" s="22" t="s">
        <v>18</v>
      </c>
      <c r="N13" s="22" t="s">
        <v>38</v>
      </c>
      <c r="O13" s="22" t="s">
        <v>38</v>
      </c>
      <c r="P13" s="22" t="s">
        <v>38</v>
      </c>
      <c r="Q13" s="22" t="s">
        <v>38</v>
      </c>
      <c r="R13" s="22" t="s">
        <v>38</v>
      </c>
      <c r="S13" s="22" t="s">
        <v>18</v>
      </c>
      <c r="T13" s="22" t="s">
        <v>18</v>
      </c>
      <c r="U13" s="22" t="s">
        <v>38</v>
      </c>
      <c r="V13" s="22" t="s">
        <v>38</v>
      </c>
      <c r="W13" s="22" t="s">
        <v>38</v>
      </c>
      <c r="X13" s="22" t="s">
        <v>38</v>
      </c>
      <c r="Y13" s="22" t="s">
        <v>38</v>
      </c>
      <c r="Z13" s="22" t="s">
        <v>18</v>
      </c>
      <c r="AA13" s="22" t="s">
        <v>18</v>
      </c>
      <c r="AB13" s="22" t="s">
        <v>38</v>
      </c>
      <c r="AC13" s="22" t="s">
        <v>38</v>
      </c>
      <c r="AD13" s="22" t="s">
        <v>38</v>
      </c>
      <c r="AE13" s="22" t="s">
        <v>38</v>
      </c>
      <c r="AF13" s="22" t="s">
        <v>38</v>
      </c>
      <c r="AG13" s="22" t="s">
        <v>18</v>
      </c>
      <c r="AH13" s="22" t="s">
        <v>18</v>
      </c>
      <c r="AI13" s="22"/>
      <c r="AJ13" s="23">
        <f>IF($C13="","",COUNTIF($E13:$AI13,'Cài đặt'!$B$16))</f>
        <v>0</v>
      </c>
      <c r="AK13" s="23">
        <f>IF($C13="","",COUNTIF($E13:$AI13,'Cài đặt'!$B$17))</f>
        <v>0</v>
      </c>
      <c r="AL13" s="23">
        <f>IF($C13="","",COUNTIF($E13:$AI13,'Cài đặt'!$B$18))</f>
        <v>0</v>
      </c>
      <c r="AM13" s="23">
        <f>IF($C13="","",COUNTIF($E13:$AI13,'Cài đặt'!$B$19))</f>
        <v>20</v>
      </c>
      <c r="AN13" s="23">
        <f>IF($C13="","",COUNTIF($E13:$AI13,'Cài đặt'!$B$20))</f>
        <v>0</v>
      </c>
      <c r="AO13" s="23">
        <f>IF($C13="","",COUNTIF($E13:$AI13,'Cài đặt'!$B$21))</f>
        <v>0</v>
      </c>
      <c r="AP13" s="23">
        <f>IF($C13="","",COUNTIF($E13:$AI13,'Cài đặt'!$B$22))</f>
        <v>0</v>
      </c>
      <c r="AQ13" s="23">
        <f>IF($C13="","",COUNTIF($E13:$AI13,'Cài đặt'!$B$23))</f>
        <v>0</v>
      </c>
      <c r="AR13" s="23">
        <f>IF($C13="","",COUNTIF($E13:$AI13,'Cài đặt'!$B$24))</f>
        <v>0</v>
      </c>
      <c r="AS13" s="24">
        <f t="array" ref="AS13">IF($C13="","",SUMPRODUCT(COUNTIF($E13:$AI13,'Cài đặt'!$B$16:$B$25)*'Cài đặt'!$G$16:$G$25))</f>
        <v>160</v>
      </c>
      <c r="AT13" s="25">
        <f>IF($C13="","",SUMPRODUCT(--($E$7:$AI$7="CN"),SUMIF('Cài đặt'!$B$16:$B$25,$E13:$AI13,'Cài đặt'!$G$16:$G$25)))</f>
        <v>0</v>
      </c>
      <c r="AU13" s="25">
        <f>IF($C13="","",SUMPRODUCT(--($E$5:$AI$5="Lễ"),SUMIF('Cài đặt'!$B$16:$B$25,$E13:$AI13,'Cài đặt'!$G$16:$G$25)))</f>
        <v>0</v>
      </c>
      <c r="AV13" s="26">
        <f t="array" ref="AV13">IF($C13="","",SUMPRODUCT(COUNTIF($E13:$AI13,'Cài đặt'!$B$16:$B$25)*'Cài đặt'!$H$16:$H$25)/'Cài đặt'!$D$12)</f>
        <v>20</v>
      </c>
      <c r="AW13" s="24">
        <f>IF($C13="","",MAX(0,AS13-'Cài đặt'!$D$11*'Cài đặt'!$D$12))</f>
        <v>0</v>
      </c>
      <c r="AX13" s="27"/>
    </row>
    <row r="14" ht="21.0" customHeight="1">
      <c r="A14" s="18">
        <v>7.0</v>
      </c>
      <c r="B14" s="19" t="s">
        <v>39</v>
      </c>
      <c r="C14" s="20" t="s">
        <v>40</v>
      </c>
      <c r="D14" s="21" t="s">
        <v>41</v>
      </c>
      <c r="E14" s="22" t="s">
        <v>18</v>
      </c>
      <c r="F14" s="22" t="s">
        <v>17</v>
      </c>
      <c r="G14" s="22" t="s">
        <v>17</v>
      </c>
      <c r="H14" s="22" t="s">
        <v>17</v>
      </c>
      <c r="I14" s="22" t="s">
        <v>17</v>
      </c>
      <c r="J14" s="22" t="s">
        <v>17</v>
      </c>
      <c r="K14" s="22" t="s">
        <v>17</v>
      </c>
      <c r="L14" s="22" t="s">
        <v>18</v>
      </c>
      <c r="M14" s="22" t="s">
        <v>17</v>
      </c>
      <c r="N14" s="22" t="s">
        <v>17</v>
      </c>
      <c r="O14" s="22" t="s">
        <v>17</v>
      </c>
      <c r="P14" s="22" t="s">
        <v>17</v>
      </c>
      <c r="Q14" s="22" t="s">
        <v>17</v>
      </c>
      <c r="R14" s="22" t="s">
        <v>17</v>
      </c>
      <c r="S14" s="22" t="s">
        <v>18</v>
      </c>
      <c r="T14" s="22" t="s">
        <v>17</v>
      </c>
      <c r="U14" s="22" t="s">
        <v>17</v>
      </c>
      <c r="V14" s="22" t="s">
        <v>17</v>
      </c>
      <c r="W14" s="22" t="s">
        <v>17</v>
      </c>
      <c r="X14" s="22" t="s">
        <v>17</v>
      </c>
      <c r="Y14" s="22" t="s">
        <v>17</v>
      </c>
      <c r="Z14" s="22" t="s">
        <v>18</v>
      </c>
      <c r="AA14" s="22" t="s">
        <v>17</v>
      </c>
      <c r="AB14" s="22" t="s">
        <v>17</v>
      </c>
      <c r="AC14" s="22" t="s">
        <v>17</v>
      </c>
      <c r="AD14" s="22" t="s">
        <v>17</v>
      </c>
      <c r="AE14" s="22" t="s">
        <v>17</v>
      </c>
      <c r="AF14" s="22" t="s">
        <v>17</v>
      </c>
      <c r="AG14" s="22" t="s">
        <v>18</v>
      </c>
      <c r="AH14" s="22" t="s">
        <v>17</v>
      </c>
      <c r="AI14" s="22"/>
      <c r="AJ14" s="23">
        <f>IF($C14="","",COUNTIF($E14:$AI14,'Cài đặt'!$B$16))</f>
        <v>25</v>
      </c>
      <c r="AK14" s="23">
        <f>IF($C14="","",COUNTIF($E14:$AI14,'Cài đặt'!$B$17))</f>
        <v>0</v>
      </c>
      <c r="AL14" s="23">
        <f>IF($C14="","",COUNTIF($E14:$AI14,'Cài đặt'!$B$18))</f>
        <v>0</v>
      </c>
      <c r="AM14" s="23">
        <f>IF($C14="","",COUNTIF($E14:$AI14,'Cài đặt'!$B$19))</f>
        <v>0</v>
      </c>
      <c r="AN14" s="23">
        <f>IF($C14="","",COUNTIF($E14:$AI14,'Cài đặt'!$B$20))</f>
        <v>0</v>
      </c>
      <c r="AO14" s="23">
        <f>IF($C14="","",COUNTIF($E14:$AI14,'Cài đặt'!$B$21))</f>
        <v>0</v>
      </c>
      <c r="AP14" s="23">
        <f>IF($C14="","",COUNTIF($E14:$AI14,'Cài đặt'!$B$22))</f>
        <v>0</v>
      </c>
      <c r="AQ14" s="23">
        <f>IF($C14="","",COUNTIF($E14:$AI14,'Cài đặt'!$B$23))</f>
        <v>0</v>
      </c>
      <c r="AR14" s="23">
        <f>IF($C14="","",COUNTIF($E14:$AI14,'Cài đặt'!$B$24))</f>
        <v>0</v>
      </c>
      <c r="AS14" s="24">
        <f t="array" ref="AS14">IF($C14="","",SUMPRODUCT(COUNTIF($E14:$AI14,'Cài đặt'!$B$16:$B$25)*'Cài đặt'!$G$16:$G$25))</f>
        <v>200</v>
      </c>
      <c r="AT14" s="25">
        <f>IF($C14="","",SUMPRODUCT(--($E$7:$AI$7="CN"),SUMIF('Cài đặt'!$B$16:$B$25,$E14:$AI14,'Cài đặt'!$G$16:$G$25)))</f>
        <v>0</v>
      </c>
      <c r="AU14" s="25">
        <f>IF($C14="","",SUMPRODUCT(--($E$5:$AI$5="Lễ"),SUMIF('Cài đặt'!$B$16:$B$25,$E14:$AI14,'Cài đặt'!$G$16:$G$25)))</f>
        <v>0</v>
      </c>
      <c r="AV14" s="26">
        <f t="array" ref="AV14">IF($C14="","",SUMPRODUCT(COUNTIF($E14:$AI14,'Cài đặt'!$B$16:$B$25)*'Cài đặt'!$H$16:$H$25)/'Cài đặt'!$D$12)</f>
        <v>25</v>
      </c>
      <c r="AW14" s="24">
        <f>IF($C14="","",MAX(0,AS14-'Cài đặt'!$D$11*'Cài đặt'!$D$12))</f>
        <v>0</v>
      </c>
      <c r="AX14" s="27"/>
    </row>
    <row r="15" ht="21.0" customHeight="1">
      <c r="A15" s="18">
        <v>8.0</v>
      </c>
      <c r="B15" s="19" t="s">
        <v>42</v>
      </c>
      <c r="C15" s="20" t="s">
        <v>43</v>
      </c>
      <c r="D15" s="21" t="s">
        <v>41</v>
      </c>
      <c r="E15" s="22" t="s">
        <v>25</v>
      </c>
      <c r="F15" s="22" t="s">
        <v>26</v>
      </c>
      <c r="G15" s="22" t="s">
        <v>25</v>
      </c>
      <c r="H15" s="22" t="s">
        <v>26</v>
      </c>
      <c r="I15" s="22" t="s">
        <v>25</v>
      </c>
      <c r="J15" s="22" t="s">
        <v>26</v>
      </c>
      <c r="K15" s="22" t="s">
        <v>18</v>
      </c>
      <c r="L15" s="22" t="s">
        <v>25</v>
      </c>
      <c r="M15" s="22" t="s">
        <v>26</v>
      </c>
      <c r="N15" s="22" t="s">
        <v>25</v>
      </c>
      <c r="O15" s="22" t="s">
        <v>26</v>
      </c>
      <c r="P15" s="22" t="s">
        <v>25</v>
      </c>
      <c r="Q15" s="22" t="s">
        <v>26</v>
      </c>
      <c r="R15" s="22" t="s">
        <v>18</v>
      </c>
      <c r="S15" s="22" t="s">
        <v>25</v>
      </c>
      <c r="T15" s="22" t="s">
        <v>26</v>
      </c>
      <c r="U15" s="22" t="s">
        <v>25</v>
      </c>
      <c r="V15" s="22" t="s">
        <v>26</v>
      </c>
      <c r="W15" s="22" t="s">
        <v>25</v>
      </c>
      <c r="X15" s="22" t="s">
        <v>26</v>
      </c>
      <c r="Y15" s="22" t="s">
        <v>18</v>
      </c>
      <c r="Z15" s="22" t="s">
        <v>25</v>
      </c>
      <c r="AA15" s="22" t="s">
        <v>26</v>
      </c>
      <c r="AB15" s="22" t="s">
        <v>25</v>
      </c>
      <c r="AC15" s="22" t="s">
        <v>26</v>
      </c>
      <c r="AD15" s="22" t="s">
        <v>25</v>
      </c>
      <c r="AE15" s="22" t="s">
        <v>26</v>
      </c>
      <c r="AF15" s="22" t="s">
        <v>18</v>
      </c>
      <c r="AG15" s="22" t="s">
        <v>25</v>
      </c>
      <c r="AH15" s="22" t="s">
        <v>26</v>
      </c>
      <c r="AI15" s="22"/>
      <c r="AJ15" s="23">
        <f>IF($C15="","",COUNTIF($E15:$AI15,'Cài đặt'!$B$16))</f>
        <v>0</v>
      </c>
      <c r="AK15" s="23">
        <f>IF($C15="","",COUNTIF($E15:$AI15,'Cài đặt'!$B$17))</f>
        <v>13</v>
      </c>
      <c r="AL15" s="23">
        <f>IF($C15="","",COUNTIF($E15:$AI15,'Cài đặt'!$B$18))</f>
        <v>13</v>
      </c>
      <c r="AM15" s="23">
        <f>IF($C15="","",COUNTIF($E15:$AI15,'Cài đặt'!$B$19))</f>
        <v>0</v>
      </c>
      <c r="AN15" s="23">
        <f>IF($C15="","",COUNTIF($E15:$AI15,'Cài đặt'!$B$20))</f>
        <v>0</v>
      </c>
      <c r="AO15" s="23">
        <f>IF($C15="","",COUNTIF($E15:$AI15,'Cài đặt'!$B$21))</f>
        <v>0</v>
      </c>
      <c r="AP15" s="23">
        <f>IF($C15="","",COUNTIF($E15:$AI15,'Cài đặt'!$B$22))</f>
        <v>0</v>
      </c>
      <c r="AQ15" s="23">
        <f>IF($C15="","",COUNTIF($E15:$AI15,'Cài đặt'!$B$23))</f>
        <v>0</v>
      </c>
      <c r="AR15" s="23">
        <f>IF($C15="","",COUNTIF($E15:$AI15,'Cài đặt'!$B$24))</f>
        <v>0</v>
      </c>
      <c r="AS15" s="24">
        <f t="array" ref="AS15">IF($C15="","",SUMPRODUCT(COUNTIF($E15:$AI15,'Cài đặt'!$B$16:$B$25)*'Cài đặt'!$G$16:$G$25))</f>
        <v>208</v>
      </c>
      <c r="AT15" s="25">
        <f>IF($C15="","",SUMPRODUCT(--($E$7:$AI$7="CN"),SUMIF('Cài đặt'!$B$16:$B$25,$E15:$AI15,'Cài đặt'!$G$16:$G$25)))</f>
        <v>40</v>
      </c>
      <c r="AU15" s="25">
        <f>IF($C15="","",SUMPRODUCT(--($E$5:$AI$5="Lễ"),SUMIF('Cài đặt'!$B$16:$B$25,$E15:$AI15,'Cài đặt'!$G$16:$G$25)))</f>
        <v>0</v>
      </c>
      <c r="AV15" s="26">
        <f t="array" ref="AV15">IF($C15="","",SUMPRODUCT(COUNTIF($E15:$AI15,'Cài đặt'!$B$16:$B$25)*'Cài đặt'!$H$16:$H$25)/'Cài đặt'!$D$12)</f>
        <v>26</v>
      </c>
      <c r="AW15" s="24">
        <f>IF($C15="","",MAX(0,AS15-'Cài đặt'!$D$11*'Cài đặt'!$D$12))</f>
        <v>8</v>
      </c>
      <c r="AX15" s="27"/>
    </row>
    <row r="16" ht="21.0" customHeight="1">
      <c r="A16" s="18">
        <v>9.0</v>
      </c>
      <c r="B16" s="19"/>
      <c r="C16" s="20"/>
      <c r="D16" s="21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3" t="str">
        <f>IF($C16="","",COUNTIF($E16:$AI16,'Cài đặt'!$B$16))</f>
        <v/>
      </c>
      <c r="AK16" s="23" t="str">
        <f>IF($C16="","",COUNTIF($E16:$AI16,'Cài đặt'!$B$17))</f>
        <v/>
      </c>
      <c r="AL16" s="23" t="str">
        <f>IF($C16="","",COUNTIF($E16:$AI16,'Cài đặt'!$B$18))</f>
        <v/>
      </c>
      <c r="AM16" s="23" t="str">
        <f>IF($C16="","",COUNTIF($E16:$AI16,'Cài đặt'!$B$19))</f>
        <v/>
      </c>
      <c r="AN16" s="23" t="str">
        <f>IF($C16="","",COUNTIF($E16:$AI16,'Cài đặt'!$B$20))</f>
        <v/>
      </c>
      <c r="AO16" s="23" t="str">
        <f>IF($C16="","",COUNTIF($E16:$AI16,'Cài đặt'!$B$21))</f>
        <v/>
      </c>
      <c r="AP16" s="23" t="str">
        <f>IF($C16="","",COUNTIF($E16:$AI16,'Cài đặt'!$B$22))</f>
        <v/>
      </c>
      <c r="AQ16" s="23" t="str">
        <f>IF($C16="","",COUNTIF($E16:$AI16,'Cài đặt'!$B$23))</f>
        <v/>
      </c>
      <c r="AR16" s="23" t="str">
        <f>IF($C16="","",COUNTIF($E16:$AI16,'Cài đặt'!$B$24))</f>
        <v/>
      </c>
      <c r="AS16" s="24" t="str">
        <f t="array" ref="AS16">IF($C16="","",SUMPRODUCT(COUNTIF($E16:$AI16,'Cài đặt'!$B$16:$B$25)*'Cài đặt'!$G$16:$G$25))</f>
        <v/>
      </c>
      <c r="AT16" s="25" t="str">
        <f>IF($C16="","",SUMPRODUCT(--($E$7:$AI$7="CN"),SUMIF('Cài đặt'!$B$16:$B$25,$E16:$AI16,'Cài đặt'!$G$16:$G$25)))</f>
        <v/>
      </c>
      <c r="AU16" s="25" t="str">
        <f>IF($C16="","",SUMPRODUCT(--($E$5:$AI$5="Lễ"),SUMIF('Cài đặt'!$B$16:$B$25,$E16:$AI16,'Cài đặt'!$G$16:$G$25)))</f>
        <v/>
      </c>
      <c r="AV16" s="26" t="str">
        <f t="array" ref="AV16">IF($C16="","",SUMPRODUCT(COUNTIF($E16:$AI16,'Cài đặt'!$B$16:$B$25)*'Cài đặt'!$H$16:$H$25)/'Cài đặt'!$D$12)</f>
        <v/>
      </c>
      <c r="AW16" s="24" t="str">
        <f>IF($C16="","",MAX(0,AS16-'Cài đặt'!$D$11*'Cài đặt'!$D$12))</f>
        <v/>
      </c>
      <c r="AX16" s="27"/>
    </row>
    <row r="17" ht="21.0" customHeight="1">
      <c r="A17" s="18">
        <v>10.0</v>
      </c>
      <c r="B17" s="19"/>
      <c r="C17" s="20"/>
      <c r="D17" s="21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3" t="str">
        <f>IF($C17="","",COUNTIF($E17:$AI17,'Cài đặt'!$B$16))</f>
        <v/>
      </c>
      <c r="AK17" s="23" t="str">
        <f>IF($C17="","",COUNTIF($E17:$AI17,'Cài đặt'!$B$17))</f>
        <v/>
      </c>
      <c r="AL17" s="23" t="str">
        <f>IF($C17="","",COUNTIF($E17:$AI17,'Cài đặt'!$B$18))</f>
        <v/>
      </c>
      <c r="AM17" s="23" t="str">
        <f>IF($C17="","",COUNTIF($E17:$AI17,'Cài đặt'!$B$19))</f>
        <v/>
      </c>
      <c r="AN17" s="23" t="str">
        <f>IF($C17="","",COUNTIF($E17:$AI17,'Cài đặt'!$B$20))</f>
        <v/>
      </c>
      <c r="AO17" s="23" t="str">
        <f>IF($C17="","",COUNTIF($E17:$AI17,'Cài đặt'!$B$21))</f>
        <v/>
      </c>
      <c r="AP17" s="23" t="str">
        <f>IF($C17="","",COUNTIF($E17:$AI17,'Cài đặt'!$B$22))</f>
        <v/>
      </c>
      <c r="AQ17" s="23" t="str">
        <f>IF($C17="","",COUNTIF($E17:$AI17,'Cài đặt'!$B$23))</f>
        <v/>
      </c>
      <c r="AR17" s="23" t="str">
        <f>IF($C17="","",COUNTIF($E17:$AI17,'Cài đặt'!$B$24))</f>
        <v/>
      </c>
      <c r="AS17" s="24" t="str">
        <f t="array" ref="AS17">IF($C17="","",SUMPRODUCT(COUNTIF($E17:$AI17,'Cài đặt'!$B$16:$B$25)*'Cài đặt'!$G$16:$G$25))</f>
        <v/>
      </c>
      <c r="AT17" s="25" t="str">
        <f>IF($C17="","",SUMPRODUCT(--($E$7:$AI$7="CN"),SUMIF('Cài đặt'!$B$16:$B$25,$E17:$AI17,'Cài đặt'!$G$16:$G$25)))</f>
        <v/>
      </c>
      <c r="AU17" s="25" t="str">
        <f>IF($C17="","",SUMPRODUCT(--($E$5:$AI$5="Lễ"),SUMIF('Cài đặt'!$B$16:$B$25,$E17:$AI17,'Cài đặt'!$G$16:$G$25)))</f>
        <v/>
      </c>
      <c r="AV17" s="26" t="str">
        <f t="array" ref="AV17">IF($C17="","",SUMPRODUCT(COUNTIF($E17:$AI17,'Cài đặt'!$B$16:$B$25)*'Cài đặt'!$H$16:$H$25)/'Cài đặt'!$D$12)</f>
        <v/>
      </c>
      <c r="AW17" s="24" t="str">
        <f>IF($C17="","",MAX(0,AS17-'Cài đặt'!$D$11*'Cài đặt'!$D$12))</f>
        <v/>
      </c>
      <c r="AX17" s="27"/>
    </row>
    <row r="18" ht="21.0" customHeight="1">
      <c r="A18" s="18">
        <v>11.0</v>
      </c>
      <c r="B18" s="19"/>
      <c r="C18" s="20"/>
      <c r="D18" s="21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3" t="str">
        <f>IF($C18="","",COUNTIF($E18:$AI18,'Cài đặt'!$B$16))</f>
        <v/>
      </c>
      <c r="AK18" s="23" t="str">
        <f>IF($C18="","",COUNTIF($E18:$AI18,'Cài đặt'!$B$17))</f>
        <v/>
      </c>
      <c r="AL18" s="23" t="str">
        <f>IF($C18="","",COUNTIF($E18:$AI18,'Cài đặt'!$B$18))</f>
        <v/>
      </c>
      <c r="AM18" s="23" t="str">
        <f>IF($C18="","",COUNTIF($E18:$AI18,'Cài đặt'!$B$19))</f>
        <v/>
      </c>
      <c r="AN18" s="23" t="str">
        <f>IF($C18="","",COUNTIF($E18:$AI18,'Cài đặt'!$B$20))</f>
        <v/>
      </c>
      <c r="AO18" s="23" t="str">
        <f>IF($C18="","",COUNTIF($E18:$AI18,'Cài đặt'!$B$21))</f>
        <v/>
      </c>
      <c r="AP18" s="23" t="str">
        <f>IF($C18="","",COUNTIF($E18:$AI18,'Cài đặt'!$B$22))</f>
        <v/>
      </c>
      <c r="AQ18" s="23" t="str">
        <f>IF($C18="","",COUNTIF($E18:$AI18,'Cài đặt'!$B$23))</f>
        <v/>
      </c>
      <c r="AR18" s="23" t="str">
        <f>IF($C18="","",COUNTIF($E18:$AI18,'Cài đặt'!$B$24))</f>
        <v/>
      </c>
      <c r="AS18" s="24" t="str">
        <f t="array" ref="AS18">IF($C18="","",SUMPRODUCT(COUNTIF($E18:$AI18,'Cài đặt'!$B$16:$B$25)*'Cài đặt'!$G$16:$G$25))</f>
        <v/>
      </c>
      <c r="AT18" s="25" t="str">
        <f>IF($C18="","",SUMPRODUCT(--($E$7:$AI$7="CN"),SUMIF('Cài đặt'!$B$16:$B$25,$E18:$AI18,'Cài đặt'!$G$16:$G$25)))</f>
        <v/>
      </c>
      <c r="AU18" s="25" t="str">
        <f>IF($C18="","",SUMPRODUCT(--($E$5:$AI$5="Lễ"),SUMIF('Cài đặt'!$B$16:$B$25,$E18:$AI18,'Cài đặt'!$G$16:$G$25)))</f>
        <v/>
      </c>
      <c r="AV18" s="26" t="str">
        <f t="array" ref="AV18">IF($C18="","",SUMPRODUCT(COUNTIF($E18:$AI18,'Cài đặt'!$B$16:$B$25)*'Cài đặt'!$H$16:$H$25)/'Cài đặt'!$D$12)</f>
        <v/>
      </c>
      <c r="AW18" s="24" t="str">
        <f>IF($C18="","",MAX(0,AS18-'Cài đặt'!$D$11*'Cài đặt'!$D$12))</f>
        <v/>
      </c>
      <c r="AX18" s="27"/>
    </row>
    <row r="19" ht="21.0" customHeight="1">
      <c r="A19" s="18">
        <v>12.0</v>
      </c>
      <c r="B19" s="19"/>
      <c r="C19" s="20"/>
      <c r="D19" s="21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3" t="str">
        <f>IF($C19="","",COUNTIF($E19:$AI19,'Cài đặt'!$B$16))</f>
        <v/>
      </c>
      <c r="AK19" s="23" t="str">
        <f>IF($C19="","",COUNTIF($E19:$AI19,'Cài đặt'!$B$17))</f>
        <v/>
      </c>
      <c r="AL19" s="23" t="str">
        <f>IF($C19="","",COUNTIF($E19:$AI19,'Cài đặt'!$B$18))</f>
        <v/>
      </c>
      <c r="AM19" s="23" t="str">
        <f>IF($C19="","",COUNTIF($E19:$AI19,'Cài đặt'!$B$19))</f>
        <v/>
      </c>
      <c r="AN19" s="23" t="str">
        <f>IF($C19="","",COUNTIF($E19:$AI19,'Cài đặt'!$B$20))</f>
        <v/>
      </c>
      <c r="AO19" s="23" t="str">
        <f>IF($C19="","",COUNTIF($E19:$AI19,'Cài đặt'!$B$21))</f>
        <v/>
      </c>
      <c r="AP19" s="23" t="str">
        <f>IF($C19="","",COUNTIF($E19:$AI19,'Cài đặt'!$B$22))</f>
        <v/>
      </c>
      <c r="AQ19" s="23" t="str">
        <f>IF($C19="","",COUNTIF($E19:$AI19,'Cài đặt'!$B$23))</f>
        <v/>
      </c>
      <c r="AR19" s="23" t="str">
        <f>IF($C19="","",COUNTIF($E19:$AI19,'Cài đặt'!$B$24))</f>
        <v/>
      </c>
      <c r="AS19" s="24" t="str">
        <f t="array" ref="AS19">IF($C19="","",SUMPRODUCT(COUNTIF($E19:$AI19,'Cài đặt'!$B$16:$B$25)*'Cài đặt'!$G$16:$G$25))</f>
        <v/>
      </c>
      <c r="AT19" s="25" t="str">
        <f>IF($C19="","",SUMPRODUCT(--($E$7:$AI$7="CN"),SUMIF('Cài đặt'!$B$16:$B$25,$E19:$AI19,'Cài đặt'!$G$16:$G$25)))</f>
        <v/>
      </c>
      <c r="AU19" s="25" t="str">
        <f>IF($C19="","",SUMPRODUCT(--($E$5:$AI$5="Lễ"),SUMIF('Cài đặt'!$B$16:$B$25,$E19:$AI19,'Cài đặt'!$G$16:$G$25)))</f>
        <v/>
      </c>
      <c r="AV19" s="26" t="str">
        <f t="array" ref="AV19">IF($C19="","",SUMPRODUCT(COUNTIF($E19:$AI19,'Cài đặt'!$B$16:$B$25)*'Cài đặt'!$H$16:$H$25)/'Cài đặt'!$D$12)</f>
        <v/>
      </c>
      <c r="AW19" s="24" t="str">
        <f>IF($C19="","",MAX(0,AS19-'Cài đặt'!$D$11*'Cài đặt'!$D$12))</f>
        <v/>
      </c>
      <c r="AX19" s="27"/>
    </row>
    <row r="20" ht="21.0" customHeight="1">
      <c r="A20" s="18">
        <v>13.0</v>
      </c>
      <c r="B20" s="19"/>
      <c r="C20" s="20"/>
      <c r="D20" s="21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3" t="str">
        <f>IF($C20="","",COUNTIF($E20:$AI20,'Cài đặt'!$B$16))</f>
        <v/>
      </c>
      <c r="AK20" s="23" t="str">
        <f>IF($C20="","",COUNTIF($E20:$AI20,'Cài đặt'!$B$17))</f>
        <v/>
      </c>
      <c r="AL20" s="23" t="str">
        <f>IF($C20="","",COUNTIF($E20:$AI20,'Cài đặt'!$B$18))</f>
        <v/>
      </c>
      <c r="AM20" s="23" t="str">
        <f>IF($C20="","",COUNTIF($E20:$AI20,'Cài đặt'!$B$19))</f>
        <v/>
      </c>
      <c r="AN20" s="23" t="str">
        <f>IF($C20="","",COUNTIF($E20:$AI20,'Cài đặt'!$B$20))</f>
        <v/>
      </c>
      <c r="AO20" s="23" t="str">
        <f>IF($C20="","",COUNTIF($E20:$AI20,'Cài đặt'!$B$21))</f>
        <v/>
      </c>
      <c r="AP20" s="23" t="str">
        <f>IF($C20="","",COUNTIF($E20:$AI20,'Cài đặt'!$B$22))</f>
        <v/>
      </c>
      <c r="AQ20" s="23" t="str">
        <f>IF($C20="","",COUNTIF($E20:$AI20,'Cài đặt'!$B$23))</f>
        <v/>
      </c>
      <c r="AR20" s="23" t="str">
        <f>IF($C20="","",COUNTIF($E20:$AI20,'Cài đặt'!$B$24))</f>
        <v/>
      </c>
      <c r="AS20" s="24" t="str">
        <f t="array" ref="AS20">IF($C20="","",SUMPRODUCT(COUNTIF($E20:$AI20,'Cài đặt'!$B$16:$B$25)*'Cài đặt'!$G$16:$G$25))</f>
        <v/>
      </c>
      <c r="AT20" s="25" t="str">
        <f>IF($C20="","",SUMPRODUCT(--($E$7:$AI$7="CN"),SUMIF('Cài đặt'!$B$16:$B$25,$E20:$AI20,'Cài đặt'!$G$16:$G$25)))</f>
        <v/>
      </c>
      <c r="AU20" s="25" t="str">
        <f>IF($C20="","",SUMPRODUCT(--($E$5:$AI$5="Lễ"),SUMIF('Cài đặt'!$B$16:$B$25,$E20:$AI20,'Cài đặt'!$G$16:$G$25)))</f>
        <v/>
      </c>
      <c r="AV20" s="26" t="str">
        <f t="array" ref="AV20">IF($C20="","",SUMPRODUCT(COUNTIF($E20:$AI20,'Cài đặt'!$B$16:$B$25)*'Cài đặt'!$H$16:$H$25)/'Cài đặt'!$D$12)</f>
        <v/>
      </c>
      <c r="AW20" s="24" t="str">
        <f>IF($C20="","",MAX(0,AS20-'Cài đặt'!$D$11*'Cài đặt'!$D$12))</f>
        <v/>
      </c>
      <c r="AX20" s="27"/>
    </row>
    <row r="21" ht="21.0" customHeight="1">
      <c r="A21" s="18">
        <v>14.0</v>
      </c>
      <c r="B21" s="19"/>
      <c r="C21" s="20"/>
      <c r="D21" s="21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3" t="str">
        <f>IF($C21="","",COUNTIF($E21:$AI21,'Cài đặt'!$B$16))</f>
        <v/>
      </c>
      <c r="AK21" s="23" t="str">
        <f>IF($C21="","",COUNTIF($E21:$AI21,'Cài đặt'!$B$17))</f>
        <v/>
      </c>
      <c r="AL21" s="23" t="str">
        <f>IF($C21="","",COUNTIF($E21:$AI21,'Cài đặt'!$B$18))</f>
        <v/>
      </c>
      <c r="AM21" s="23" t="str">
        <f>IF($C21="","",COUNTIF($E21:$AI21,'Cài đặt'!$B$19))</f>
        <v/>
      </c>
      <c r="AN21" s="23" t="str">
        <f>IF($C21="","",COUNTIF($E21:$AI21,'Cài đặt'!$B$20))</f>
        <v/>
      </c>
      <c r="AO21" s="23" t="str">
        <f>IF($C21="","",COUNTIF($E21:$AI21,'Cài đặt'!$B$21))</f>
        <v/>
      </c>
      <c r="AP21" s="23" t="str">
        <f>IF($C21="","",COUNTIF($E21:$AI21,'Cài đặt'!$B$22))</f>
        <v/>
      </c>
      <c r="AQ21" s="23" t="str">
        <f>IF($C21="","",COUNTIF($E21:$AI21,'Cài đặt'!$B$23))</f>
        <v/>
      </c>
      <c r="AR21" s="23" t="str">
        <f>IF($C21="","",COUNTIF($E21:$AI21,'Cài đặt'!$B$24))</f>
        <v/>
      </c>
      <c r="AS21" s="24" t="str">
        <f t="array" ref="AS21">IF($C21="","",SUMPRODUCT(COUNTIF($E21:$AI21,'Cài đặt'!$B$16:$B$25)*'Cài đặt'!$G$16:$G$25))</f>
        <v/>
      </c>
      <c r="AT21" s="25" t="str">
        <f>IF($C21="","",SUMPRODUCT(--($E$7:$AI$7="CN"),SUMIF('Cài đặt'!$B$16:$B$25,$E21:$AI21,'Cài đặt'!$G$16:$G$25)))</f>
        <v/>
      </c>
      <c r="AU21" s="25" t="str">
        <f>IF($C21="","",SUMPRODUCT(--($E$5:$AI$5="Lễ"),SUMIF('Cài đặt'!$B$16:$B$25,$E21:$AI21,'Cài đặt'!$G$16:$G$25)))</f>
        <v/>
      </c>
      <c r="AV21" s="26" t="str">
        <f t="array" ref="AV21">IF($C21="","",SUMPRODUCT(COUNTIF($E21:$AI21,'Cài đặt'!$B$16:$B$25)*'Cài đặt'!$H$16:$H$25)/'Cài đặt'!$D$12)</f>
        <v/>
      </c>
      <c r="AW21" s="24" t="str">
        <f>IF($C21="","",MAX(0,AS21-'Cài đặt'!$D$11*'Cài đặt'!$D$12))</f>
        <v/>
      </c>
      <c r="AX21" s="27"/>
    </row>
    <row r="22" ht="21.0" customHeight="1">
      <c r="A22" s="18">
        <v>15.0</v>
      </c>
      <c r="B22" s="19"/>
      <c r="C22" s="20"/>
      <c r="D22" s="21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3" t="str">
        <f>IF($C22="","",COUNTIF($E22:$AI22,'Cài đặt'!$B$16))</f>
        <v/>
      </c>
      <c r="AK22" s="23" t="str">
        <f>IF($C22="","",COUNTIF($E22:$AI22,'Cài đặt'!$B$17))</f>
        <v/>
      </c>
      <c r="AL22" s="23" t="str">
        <f>IF($C22="","",COUNTIF($E22:$AI22,'Cài đặt'!$B$18))</f>
        <v/>
      </c>
      <c r="AM22" s="23" t="str">
        <f>IF($C22="","",COUNTIF($E22:$AI22,'Cài đặt'!$B$19))</f>
        <v/>
      </c>
      <c r="AN22" s="23" t="str">
        <f>IF($C22="","",COUNTIF($E22:$AI22,'Cài đặt'!$B$20))</f>
        <v/>
      </c>
      <c r="AO22" s="23" t="str">
        <f>IF($C22="","",COUNTIF($E22:$AI22,'Cài đặt'!$B$21))</f>
        <v/>
      </c>
      <c r="AP22" s="23" t="str">
        <f>IF($C22="","",COUNTIF($E22:$AI22,'Cài đặt'!$B$22))</f>
        <v/>
      </c>
      <c r="AQ22" s="23" t="str">
        <f>IF($C22="","",COUNTIF($E22:$AI22,'Cài đặt'!$B$23))</f>
        <v/>
      </c>
      <c r="AR22" s="23" t="str">
        <f>IF($C22="","",COUNTIF($E22:$AI22,'Cài đặt'!$B$24))</f>
        <v/>
      </c>
      <c r="AS22" s="24" t="str">
        <f t="array" ref="AS22">IF($C22="","",SUMPRODUCT(COUNTIF($E22:$AI22,'Cài đặt'!$B$16:$B$25)*'Cài đặt'!$G$16:$G$25))</f>
        <v/>
      </c>
      <c r="AT22" s="25" t="str">
        <f>IF($C22="","",SUMPRODUCT(--($E$7:$AI$7="CN"),SUMIF('Cài đặt'!$B$16:$B$25,$E22:$AI22,'Cài đặt'!$G$16:$G$25)))</f>
        <v/>
      </c>
      <c r="AU22" s="25" t="str">
        <f>IF($C22="","",SUMPRODUCT(--($E$5:$AI$5="Lễ"),SUMIF('Cài đặt'!$B$16:$B$25,$E22:$AI22,'Cài đặt'!$G$16:$G$25)))</f>
        <v/>
      </c>
      <c r="AV22" s="26" t="str">
        <f t="array" ref="AV22">IF($C22="","",SUMPRODUCT(COUNTIF($E22:$AI22,'Cài đặt'!$B$16:$B$25)*'Cài đặt'!$H$16:$H$25)/'Cài đặt'!$D$12)</f>
        <v/>
      </c>
      <c r="AW22" s="24" t="str">
        <f>IF($C22="","",MAX(0,AS22-'Cài đặt'!$D$11*'Cài đặt'!$D$12))</f>
        <v/>
      </c>
      <c r="AX22" s="27"/>
    </row>
    <row r="23" ht="21.0" customHeight="1">
      <c r="A23" s="18">
        <v>16.0</v>
      </c>
      <c r="B23" s="19"/>
      <c r="C23" s="20"/>
      <c r="D23" s="21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3" t="str">
        <f>IF($C23="","",COUNTIF($E23:$AI23,'Cài đặt'!$B$16))</f>
        <v/>
      </c>
      <c r="AK23" s="23" t="str">
        <f>IF($C23="","",COUNTIF($E23:$AI23,'Cài đặt'!$B$17))</f>
        <v/>
      </c>
      <c r="AL23" s="23" t="str">
        <f>IF($C23="","",COUNTIF($E23:$AI23,'Cài đặt'!$B$18))</f>
        <v/>
      </c>
      <c r="AM23" s="23" t="str">
        <f>IF($C23="","",COUNTIF($E23:$AI23,'Cài đặt'!$B$19))</f>
        <v/>
      </c>
      <c r="AN23" s="23" t="str">
        <f>IF($C23="","",COUNTIF($E23:$AI23,'Cài đặt'!$B$20))</f>
        <v/>
      </c>
      <c r="AO23" s="23" t="str">
        <f>IF($C23="","",COUNTIF($E23:$AI23,'Cài đặt'!$B$21))</f>
        <v/>
      </c>
      <c r="AP23" s="23" t="str">
        <f>IF($C23="","",COUNTIF($E23:$AI23,'Cài đặt'!$B$22))</f>
        <v/>
      </c>
      <c r="AQ23" s="23" t="str">
        <f>IF($C23="","",COUNTIF($E23:$AI23,'Cài đặt'!$B$23))</f>
        <v/>
      </c>
      <c r="AR23" s="23" t="str">
        <f>IF($C23="","",COUNTIF($E23:$AI23,'Cài đặt'!$B$24))</f>
        <v/>
      </c>
      <c r="AS23" s="24" t="str">
        <f t="array" ref="AS23">IF($C23="","",SUMPRODUCT(COUNTIF($E23:$AI23,'Cài đặt'!$B$16:$B$25)*'Cài đặt'!$G$16:$G$25))</f>
        <v/>
      </c>
      <c r="AT23" s="25" t="str">
        <f>IF($C23="","",SUMPRODUCT(--($E$7:$AI$7="CN"),SUMIF('Cài đặt'!$B$16:$B$25,$E23:$AI23,'Cài đặt'!$G$16:$G$25)))</f>
        <v/>
      </c>
      <c r="AU23" s="25" t="str">
        <f>IF($C23="","",SUMPRODUCT(--($E$5:$AI$5="Lễ"),SUMIF('Cài đặt'!$B$16:$B$25,$E23:$AI23,'Cài đặt'!$G$16:$G$25)))</f>
        <v/>
      </c>
      <c r="AV23" s="26" t="str">
        <f t="array" ref="AV23">IF($C23="","",SUMPRODUCT(COUNTIF($E23:$AI23,'Cài đặt'!$B$16:$B$25)*'Cài đặt'!$H$16:$H$25)/'Cài đặt'!$D$12)</f>
        <v/>
      </c>
      <c r="AW23" s="24" t="str">
        <f>IF($C23="","",MAX(0,AS23-'Cài đặt'!$D$11*'Cài đặt'!$D$12))</f>
        <v/>
      </c>
      <c r="AX23" s="27"/>
    </row>
    <row r="24" ht="21.0" customHeight="1">
      <c r="A24" s="18">
        <v>17.0</v>
      </c>
      <c r="B24" s="19"/>
      <c r="C24" s="20"/>
      <c r="D24" s="21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3" t="str">
        <f>IF($C24="","",COUNTIF($E24:$AI24,'Cài đặt'!$B$16))</f>
        <v/>
      </c>
      <c r="AK24" s="23" t="str">
        <f>IF($C24="","",COUNTIF($E24:$AI24,'Cài đặt'!$B$17))</f>
        <v/>
      </c>
      <c r="AL24" s="23" t="str">
        <f>IF($C24="","",COUNTIF($E24:$AI24,'Cài đặt'!$B$18))</f>
        <v/>
      </c>
      <c r="AM24" s="23" t="str">
        <f>IF($C24="","",COUNTIF($E24:$AI24,'Cài đặt'!$B$19))</f>
        <v/>
      </c>
      <c r="AN24" s="23" t="str">
        <f>IF($C24="","",COUNTIF($E24:$AI24,'Cài đặt'!$B$20))</f>
        <v/>
      </c>
      <c r="AO24" s="23" t="str">
        <f>IF($C24="","",COUNTIF($E24:$AI24,'Cài đặt'!$B$21))</f>
        <v/>
      </c>
      <c r="AP24" s="23" t="str">
        <f>IF($C24="","",COUNTIF($E24:$AI24,'Cài đặt'!$B$22))</f>
        <v/>
      </c>
      <c r="AQ24" s="23" t="str">
        <f>IF($C24="","",COUNTIF($E24:$AI24,'Cài đặt'!$B$23))</f>
        <v/>
      </c>
      <c r="AR24" s="23" t="str">
        <f>IF($C24="","",COUNTIF($E24:$AI24,'Cài đặt'!$B$24))</f>
        <v/>
      </c>
      <c r="AS24" s="24" t="str">
        <f t="array" ref="AS24">IF($C24="","",SUMPRODUCT(COUNTIF($E24:$AI24,'Cài đặt'!$B$16:$B$25)*'Cài đặt'!$G$16:$G$25))</f>
        <v/>
      </c>
      <c r="AT24" s="25" t="str">
        <f>IF($C24="","",SUMPRODUCT(--($E$7:$AI$7="CN"),SUMIF('Cài đặt'!$B$16:$B$25,$E24:$AI24,'Cài đặt'!$G$16:$G$25)))</f>
        <v/>
      </c>
      <c r="AU24" s="25" t="str">
        <f>IF($C24="","",SUMPRODUCT(--($E$5:$AI$5="Lễ"),SUMIF('Cài đặt'!$B$16:$B$25,$E24:$AI24,'Cài đặt'!$G$16:$G$25)))</f>
        <v/>
      </c>
      <c r="AV24" s="26" t="str">
        <f t="array" ref="AV24">IF($C24="","",SUMPRODUCT(COUNTIF($E24:$AI24,'Cài đặt'!$B$16:$B$25)*'Cài đặt'!$H$16:$H$25)/'Cài đặt'!$D$12)</f>
        <v/>
      </c>
      <c r="AW24" s="24" t="str">
        <f>IF($C24="","",MAX(0,AS24-'Cài đặt'!$D$11*'Cài đặt'!$D$12))</f>
        <v/>
      </c>
      <c r="AX24" s="27"/>
    </row>
    <row r="25" ht="21.0" customHeight="1">
      <c r="A25" s="18">
        <v>18.0</v>
      </c>
      <c r="B25" s="19"/>
      <c r="C25" s="20"/>
      <c r="D25" s="21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3" t="str">
        <f>IF($C25="","",COUNTIF($E25:$AI25,'Cài đặt'!$B$16))</f>
        <v/>
      </c>
      <c r="AK25" s="23" t="str">
        <f>IF($C25="","",COUNTIF($E25:$AI25,'Cài đặt'!$B$17))</f>
        <v/>
      </c>
      <c r="AL25" s="23" t="str">
        <f>IF($C25="","",COUNTIF($E25:$AI25,'Cài đặt'!$B$18))</f>
        <v/>
      </c>
      <c r="AM25" s="23" t="str">
        <f>IF($C25="","",COUNTIF($E25:$AI25,'Cài đặt'!$B$19))</f>
        <v/>
      </c>
      <c r="AN25" s="23" t="str">
        <f>IF($C25="","",COUNTIF($E25:$AI25,'Cài đặt'!$B$20))</f>
        <v/>
      </c>
      <c r="AO25" s="23" t="str">
        <f>IF($C25="","",COUNTIF($E25:$AI25,'Cài đặt'!$B$21))</f>
        <v/>
      </c>
      <c r="AP25" s="23" t="str">
        <f>IF($C25="","",COUNTIF($E25:$AI25,'Cài đặt'!$B$22))</f>
        <v/>
      </c>
      <c r="AQ25" s="23" t="str">
        <f>IF($C25="","",COUNTIF($E25:$AI25,'Cài đặt'!$B$23))</f>
        <v/>
      </c>
      <c r="AR25" s="23" t="str">
        <f>IF($C25="","",COUNTIF($E25:$AI25,'Cài đặt'!$B$24))</f>
        <v/>
      </c>
      <c r="AS25" s="24" t="str">
        <f t="array" ref="AS25">IF($C25="","",SUMPRODUCT(COUNTIF($E25:$AI25,'Cài đặt'!$B$16:$B$25)*'Cài đặt'!$G$16:$G$25))</f>
        <v/>
      </c>
      <c r="AT25" s="25" t="str">
        <f>IF($C25="","",SUMPRODUCT(--($E$7:$AI$7="CN"),SUMIF('Cài đặt'!$B$16:$B$25,$E25:$AI25,'Cài đặt'!$G$16:$G$25)))</f>
        <v/>
      </c>
      <c r="AU25" s="25" t="str">
        <f>IF($C25="","",SUMPRODUCT(--($E$5:$AI$5="Lễ"),SUMIF('Cài đặt'!$B$16:$B$25,$E25:$AI25,'Cài đặt'!$G$16:$G$25)))</f>
        <v/>
      </c>
      <c r="AV25" s="26" t="str">
        <f t="array" ref="AV25">IF($C25="","",SUMPRODUCT(COUNTIF($E25:$AI25,'Cài đặt'!$B$16:$B$25)*'Cài đặt'!$H$16:$H$25)/'Cài đặt'!$D$12)</f>
        <v/>
      </c>
      <c r="AW25" s="24" t="str">
        <f>IF($C25="","",MAX(0,AS25-'Cài đặt'!$D$11*'Cài đặt'!$D$12))</f>
        <v/>
      </c>
      <c r="AX25" s="27"/>
    </row>
    <row r="26" ht="21.0" customHeight="1">
      <c r="A26" s="18">
        <v>19.0</v>
      </c>
      <c r="B26" s="19"/>
      <c r="C26" s="20"/>
      <c r="D26" s="21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3" t="str">
        <f>IF($C26="","",COUNTIF($E26:$AI26,'Cài đặt'!$B$16))</f>
        <v/>
      </c>
      <c r="AK26" s="23" t="str">
        <f>IF($C26="","",COUNTIF($E26:$AI26,'Cài đặt'!$B$17))</f>
        <v/>
      </c>
      <c r="AL26" s="23" t="str">
        <f>IF($C26="","",COUNTIF($E26:$AI26,'Cài đặt'!$B$18))</f>
        <v/>
      </c>
      <c r="AM26" s="23" t="str">
        <f>IF($C26="","",COUNTIF($E26:$AI26,'Cài đặt'!$B$19))</f>
        <v/>
      </c>
      <c r="AN26" s="23" t="str">
        <f>IF($C26="","",COUNTIF($E26:$AI26,'Cài đặt'!$B$20))</f>
        <v/>
      </c>
      <c r="AO26" s="23" t="str">
        <f>IF($C26="","",COUNTIF($E26:$AI26,'Cài đặt'!$B$21))</f>
        <v/>
      </c>
      <c r="AP26" s="23" t="str">
        <f>IF($C26="","",COUNTIF($E26:$AI26,'Cài đặt'!$B$22))</f>
        <v/>
      </c>
      <c r="AQ26" s="23" t="str">
        <f>IF($C26="","",COUNTIF($E26:$AI26,'Cài đặt'!$B$23))</f>
        <v/>
      </c>
      <c r="AR26" s="23" t="str">
        <f>IF($C26="","",COUNTIF($E26:$AI26,'Cài đặt'!$B$24))</f>
        <v/>
      </c>
      <c r="AS26" s="24" t="str">
        <f t="array" ref="AS26">IF($C26="","",SUMPRODUCT(COUNTIF($E26:$AI26,'Cài đặt'!$B$16:$B$25)*'Cài đặt'!$G$16:$G$25))</f>
        <v/>
      </c>
      <c r="AT26" s="25" t="str">
        <f>IF($C26="","",SUMPRODUCT(--($E$7:$AI$7="CN"),SUMIF('Cài đặt'!$B$16:$B$25,$E26:$AI26,'Cài đặt'!$G$16:$G$25)))</f>
        <v/>
      </c>
      <c r="AU26" s="25" t="str">
        <f>IF($C26="","",SUMPRODUCT(--($E$5:$AI$5="Lễ"),SUMIF('Cài đặt'!$B$16:$B$25,$E26:$AI26,'Cài đặt'!$G$16:$G$25)))</f>
        <v/>
      </c>
      <c r="AV26" s="26" t="str">
        <f t="array" ref="AV26">IF($C26="","",SUMPRODUCT(COUNTIF($E26:$AI26,'Cài đặt'!$B$16:$B$25)*'Cài đặt'!$H$16:$H$25)/'Cài đặt'!$D$12)</f>
        <v/>
      </c>
      <c r="AW26" s="24" t="str">
        <f>IF($C26="","",MAX(0,AS26-'Cài đặt'!$D$11*'Cài đặt'!$D$12))</f>
        <v/>
      </c>
      <c r="AX26" s="27"/>
    </row>
    <row r="27" ht="21.0" customHeight="1">
      <c r="A27" s="18">
        <v>20.0</v>
      </c>
      <c r="B27" s="19"/>
      <c r="C27" s="20"/>
      <c r="D27" s="21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3" t="str">
        <f>IF($C27="","",COUNTIF($E27:$AI27,'Cài đặt'!$B$16))</f>
        <v/>
      </c>
      <c r="AK27" s="23" t="str">
        <f>IF($C27="","",COUNTIF($E27:$AI27,'Cài đặt'!$B$17))</f>
        <v/>
      </c>
      <c r="AL27" s="23" t="str">
        <f>IF($C27="","",COUNTIF($E27:$AI27,'Cài đặt'!$B$18))</f>
        <v/>
      </c>
      <c r="AM27" s="23" t="str">
        <f>IF($C27="","",COUNTIF($E27:$AI27,'Cài đặt'!$B$19))</f>
        <v/>
      </c>
      <c r="AN27" s="23" t="str">
        <f>IF($C27="","",COUNTIF($E27:$AI27,'Cài đặt'!$B$20))</f>
        <v/>
      </c>
      <c r="AO27" s="23" t="str">
        <f>IF($C27="","",COUNTIF($E27:$AI27,'Cài đặt'!$B$21))</f>
        <v/>
      </c>
      <c r="AP27" s="23" t="str">
        <f>IF($C27="","",COUNTIF($E27:$AI27,'Cài đặt'!$B$22))</f>
        <v/>
      </c>
      <c r="AQ27" s="23" t="str">
        <f>IF($C27="","",COUNTIF($E27:$AI27,'Cài đặt'!$B$23))</f>
        <v/>
      </c>
      <c r="AR27" s="23" t="str">
        <f>IF($C27="","",COUNTIF($E27:$AI27,'Cài đặt'!$B$24))</f>
        <v/>
      </c>
      <c r="AS27" s="24" t="str">
        <f t="array" ref="AS27">IF($C27="","",SUMPRODUCT(COUNTIF($E27:$AI27,'Cài đặt'!$B$16:$B$25)*'Cài đặt'!$G$16:$G$25))</f>
        <v/>
      </c>
      <c r="AT27" s="25" t="str">
        <f>IF($C27="","",SUMPRODUCT(--($E$7:$AI$7="CN"),SUMIF('Cài đặt'!$B$16:$B$25,$E27:$AI27,'Cài đặt'!$G$16:$G$25)))</f>
        <v/>
      </c>
      <c r="AU27" s="25" t="str">
        <f>IF($C27="","",SUMPRODUCT(--($E$5:$AI$5="Lễ"),SUMIF('Cài đặt'!$B$16:$B$25,$E27:$AI27,'Cài đặt'!$G$16:$G$25)))</f>
        <v/>
      </c>
      <c r="AV27" s="26" t="str">
        <f t="array" ref="AV27">IF($C27="","",SUMPRODUCT(COUNTIF($E27:$AI27,'Cài đặt'!$B$16:$B$25)*'Cài đặt'!$H$16:$H$25)/'Cài đặt'!$D$12)</f>
        <v/>
      </c>
      <c r="AW27" s="24" t="str">
        <f>IF($C27="","",MAX(0,AS27-'Cài đặt'!$D$11*'Cài đặt'!$D$12))</f>
        <v/>
      </c>
      <c r="AX27" s="27"/>
    </row>
    <row r="28" ht="21.75" customHeight="1">
      <c r="A28" s="28" t="s">
        <v>44</v>
      </c>
      <c r="B28" s="8"/>
      <c r="C28" s="8"/>
      <c r="D28" s="9"/>
      <c r="E28" s="29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9"/>
      <c r="AJ28" s="30">
        <f t="shared" ref="AJ28:AW28" si="1">SUM(AJ8:AJ27)</f>
        <v>76</v>
      </c>
      <c r="AK28" s="30">
        <f t="shared" si="1"/>
        <v>40</v>
      </c>
      <c r="AL28" s="30">
        <f t="shared" si="1"/>
        <v>36</v>
      </c>
      <c r="AM28" s="30">
        <f t="shared" si="1"/>
        <v>20</v>
      </c>
      <c r="AN28" s="30">
        <f t="shared" si="1"/>
        <v>20</v>
      </c>
      <c r="AO28" s="30">
        <f t="shared" si="1"/>
        <v>2</v>
      </c>
      <c r="AP28" s="30">
        <f t="shared" si="1"/>
        <v>0</v>
      </c>
      <c r="AQ28" s="30">
        <f t="shared" si="1"/>
        <v>1</v>
      </c>
      <c r="AR28" s="30">
        <f t="shared" si="1"/>
        <v>1</v>
      </c>
      <c r="AS28" s="31">
        <f t="shared" si="1"/>
        <v>1596</v>
      </c>
      <c r="AT28" s="31">
        <f t="shared" si="1"/>
        <v>255</v>
      </c>
      <c r="AU28" s="31">
        <f t="shared" si="1"/>
        <v>0</v>
      </c>
      <c r="AV28" s="31">
        <f t="shared" si="1"/>
        <v>201.5</v>
      </c>
      <c r="AW28" s="31">
        <f t="shared" si="1"/>
        <v>44</v>
      </c>
      <c r="AX28" s="32"/>
    </row>
    <row r="29" ht="18.0" customHeight="1">
      <c r="A29" s="33" t="s">
        <v>45</v>
      </c>
      <c r="B29" s="8"/>
      <c r="C29" s="8"/>
      <c r="D29" s="9"/>
      <c r="E29" s="34">
        <f>IF(E$6="","",SUMPRODUCT(--(SUMIF('Cài đặt'!$B$16:$B$25,E$8:E$27,'Cài đặt'!$G$16:$G$25)&gt;0)))</f>
        <v>6</v>
      </c>
      <c r="F29" s="34">
        <f>IF(F$6="","",SUMPRODUCT(--(SUMIF('Cài đặt'!$B$16:$B$25,F$8:F$27,'Cài đặt'!$G$16:$G$25)&gt;0)))</f>
        <v>6</v>
      </c>
      <c r="G29" s="34">
        <f>IF(G$6="","",SUMPRODUCT(--(SUMIF('Cài đặt'!$B$16:$B$25,G$8:G$27,'Cài đặt'!$G$16:$G$25)&gt;0)))</f>
        <v>7</v>
      </c>
      <c r="H29" s="34">
        <f>IF(H$6="","",SUMPRODUCT(--(SUMIF('Cài đặt'!$B$16:$B$25,H$8:H$27,'Cài đặt'!$G$16:$G$25)&gt;0)))</f>
        <v>7</v>
      </c>
      <c r="I29" s="34">
        <f>IF(I$6="","",SUMPRODUCT(--(SUMIF('Cài đặt'!$B$16:$B$25,I$8:I$27,'Cài đặt'!$G$16:$G$25)&gt;0)))</f>
        <v>7</v>
      </c>
      <c r="J29" s="34">
        <f>IF(J$6="","",SUMPRODUCT(--(SUMIF('Cài đặt'!$B$16:$B$25,J$8:J$27,'Cài đặt'!$G$16:$G$25)&gt;0)))</f>
        <v>7</v>
      </c>
      <c r="K29" s="34">
        <f>IF(K$6="","",SUMPRODUCT(--(SUMIF('Cài đặt'!$B$16:$B$25,K$8:K$27,'Cài đặt'!$G$16:$G$25)&gt;0)))</f>
        <v>6</v>
      </c>
      <c r="L29" s="34">
        <f>IF(L$6="","",SUMPRODUCT(--(SUMIF('Cài đặt'!$B$16:$B$25,L$8:L$27,'Cài đặt'!$G$16:$G$25)&gt;0)))</f>
        <v>6</v>
      </c>
      <c r="M29" s="34">
        <f>IF(M$6="","",SUMPRODUCT(--(SUMIF('Cài đặt'!$B$16:$B$25,M$8:M$27,'Cài đặt'!$G$16:$G$25)&gt;0)))</f>
        <v>6</v>
      </c>
      <c r="N29" s="34">
        <f>IF(N$6="","",SUMPRODUCT(--(SUMIF('Cài đặt'!$B$16:$B$25,N$8:N$27,'Cài đặt'!$G$16:$G$25)&gt;0)))</f>
        <v>6</v>
      </c>
      <c r="O29" s="34">
        <f>IF(O$6="","",SUMPRODUCT(--(SUMIF('Cài đặt'!$B$16:$B$25,O$8:O$27,'Cài đặt'!$G$16:$G$25)&gt;0)))</f>
        <v>6</v>
      </c>
      <c r="P29" s="34">
        <f>IF(P$6="","",SUMPRODUCT(--(SUMIF('Cài đặt'!$B$16:$B$25,P$8:P$27,'Cài đặt'!$G$16:$G$25)&gt;0)))</f>
        <v>7</v>
      </c>
      <c r="Q29" s="34">
        <f>IF(Q$6="","",SUMPRODUCT(--(SUMIF('Cài đặt'!$B$16:$B$25,Q$8:Q$27,'Cài đặt'!$G$16:$G$25)&gt;0)))</f>
        <v>7</v>
      </c>
      <c r="R29" s="34">
        <f>IF(R$6="","",SUMPRODUCT(--(SUMIF('Cài đặt'!$B$16:$B$25,R$8:R$27,'Cài đặt'!$G$16:$G$25)&gt;0)))</f>
        <v>6</v>
      </c>
      <c r="S29" s="34">
        <f>IF(S$6="","",SUMPRODUCT(--(SUMIF('Cài đặt'!$B$16:$B$25,S$8:S$27,'Cài đặt'!$G$16:$G$25)&gt;0)))</f>
        <v>6</v>
      </c>
      <c r="T29" s="34">
        <f>IF(T$6="","",SUMPRODUCT(--(SUMIF('Cài đặt'!$B$16:$B$25,T$8:T$27,'Cài đặt'!$G$16:$G$25)&gt;0)))</f>
        <v>6</v>
      </c>
      <c r="U29" s="34">
        <f>IF(U$6="","",SUMPRODUCT(--(SUMIF('Cài đặt'!$B$16:$B$25,U$8:U$27,'Cài đặt'!$G$16:$G$25)&gt;0)))</f>
        <v>7</v>
      </c>
      <c r="V29" s="34">
        <f>IF(V$6="","",SUMPRODUCT(--(SUMIF('Cài đặt'!$B$16:$B$25,V$8:V$27,'Cài đặt'!$G$16:$G$25)&gt;0)))</f>
        <v>6</v>
      </c>
      <c r="W29" s="34">
        <f>IF(W$6="","",SUMPRODUCT(--(SUMIF('Cài đặt'!$B$16:$B$25,W$8:W$27,'Cài đặt'!$G$16:$G$25)&gt;0)))</f>
        <v>7</v>
      </c>
      <c r="X29" s="34">
        <f>IF(X$6="","",SUMPRODUCT(--(SUMIF('Cài đặt'!$B$16:$B$25,X$8:X$27,'Cài đặt'!$G$16:$G$25)&gt;0)))</f>
        <v>7</v>
      </c>
      <c r="Y29" s="34">
        <f>IF(Y$6="","",SUMPRODUCT(--(SUMIF('Cài đặt'!$B$16:$B$25,Y$8:Y$27,'Cài đặt'!$G$16:$G$25)&gt;0)))</f>
        <v>6</v>
      </c>
      <c r="Z29" s="34">
        <f>IF(Z$6="","",SUMPRODUCT(--(SUMIF('Cài đặt'!$B$16:$B$25,Z$8:Z$27,'Cài đặt'!$G$16:$G$25)&gt;0)))</f>
        <v>6</v>
      </c>
      <c r="AA29" s="34">
        <f>IF(AA$6="","",SUMPRODUCT(--(SUMIF('Cài đặt'!$B$16:$B$25,AA$8:AA$27,'Cài đặt'!$G$16:$G$25)&gt;0)))</f>
        <v>6</v>
      </c>
      <c r="AB29" s="34">
        <f>IF(AB$6="","",SUMPRODUCT(--(SUMIF('Cài đặt'!$B$16:$B$25,AB$8:AB$27,'Cài đặt'!$G$16:$G$25)&gt;0)))</f>
        <v>7</v>
      </c>
      <c r="AC29" s="34">
        <f>IF(AC$6="","",SUMPRODUCT(--(SUMIF('Cài đặt'!$B$16:$B$25,AC$8:AC$27,'Cài đặt'!$G$16:$G$25)&gt;0)))</f>
        <v>6</v>
      </c>
      <c r="AD29" s="34">
        <f>IF(AD$6="","",SUMPRODUCT(--(SUMIF('Cài đặt'!$B$16:$B$25,AD$8:AD$27,'Cài đặt'!$G$16:$G$25)&gt;0)))</f>
        <v>7</v>
      </c>
      <c r="AE29" s="34">
        <f>IF(AE$6="","",SUMPRODUCT(--(SUMIF('Cài đặt'!$B$16:$B$25,AE$8:AE$27,'Cài đặt'!$G$16:$G$25)&gt;0)))</f>
        <v>7</v>
      </c>
      <c r="AF29" s="34">
        <f>IF(AF$6="","",SUMPRODUCT(--(SUMIF('Cài đặt'!$B$16:$B$25,AF$8:AF$27,'Cài đặt'!$G$16:$G$25)&gt;0)))</f>
        <v>6</v>
      </c>
      <c r="AG29" s="34">
        <f>IF(AG$6="","",SUMPRODUCT(--(SUMIF('Cài đặt'!$B$16:$B$25,AG$8:AG$27,'Cài đặt'!$G$16:$G$25)&gt;0)))</f>
        <v>6</v>
      </c>
      <c r="AH29" s="34">
        <f>IF(AH$6="","",SUMPRODUCT(--(SUMIF('Cài đặt'!$B$16:$B$25,AH$8:AH$27,'Cài đặt'!$G$16:$G$25)&gt;0)))</f>
        <v>6</v>
      </c>
      <c r="AI29" s="34" t="str">
        <f>IF(AI$6="","",SUMPRODUCT(--(SUMIF('Cài đặt'!$B$16:$B$25,AI$8:AI$27,'Cài đặt'!$G$16:$G$25)&gt;0)))</f>
        <v/>
      </c>
    </row>
    <row r="30" ht="18.0" customHeight="1">
      <c r="A30" s="35" t="str">
        <f>"     • "&amp;'Cài đặt'!C16</f>
        <v>     • Ca hành chính</v>
      </c>
      <c r="B30" s="8"/>
      <c r="C30" s="8"/>
      <c r="D30" s="9"/>
      <c r="E30" s="36">
        <f>IF(E$6="","",COUNTIF(E$8:E$27,'Cài đặt'!$B$16))</f>
        <v>2</v>
      </c>
      <c r="F30" s="36">
        <f>IF(F$6="","",COUNTIF(F$8:F$27,'Cài đặt'!$B$16))</f>
        <v>3</v>
      </c>
      <c r="G30" s="36">
        <f>IF(G$6="","",COUNTIF(G$8:G$27,'Cài đặt'!$B$16))</f>
        <v>3</v>
      </c>
      <c r="H30" s="36">
        <f>IF(H$6="","",COUNTIF(H$8:H$27,'Cài đặt'!$B$16))</f>
        <v>3</v>
      </c>
      <c r="I30" s="36">
        <f>IF(I$6="","",COUNTIF(I$8:I$27,'Cài đặt'!$B$16))</f>
        <v>3</v>
      </c>
      <c r="J30" s="36">
        <f>IF(J$6="","",COUNTIF(J$8:J$27,'Cài đặt'!$B$16))</f>
        <v>2</v>
      </c>
      <c r="K30" s="36">
        <f>IF(K$6="","",COUNTIF(K$8:K$27,'Cài đặt'!$B$16))</f>
        <v>2</v>
      </c>
      <c r="L30" s="36">
        <f>IF(L$6="","",COUNTIF(L$8:L$27,'Cài đặt'!$B$16))</f>
        <v>2</v>
      </c>
      <c r="M30" s="36">
        <f>IF(M$6="","",COUNTIF(M$8:M$27,'Cài đặt'!$B$16))</f>
        <v>3</v>
      </c>
      <c r="N30" s="36">
        <f>IF(N$6="","",COUNTIF(N$8:N$27,'Cài đặt'!$B$16))</f>
        <v>3</v>
      </c>
      <c r="O30" s="36">
        <f>IF(O$6="","",COUNTIF(O$8:O$27,'Cài đặt'!$B$16))</f>
        <v>3</v>
      </c>
      <c r="P30" s="36">
        <f>IF(P$6="","",COUNTIF(P$8:P$27,'Cài đặt'!$B$16))</f>
        <v>3</v>
      </c>
      <c r="Q30" s="36">
        <f>IF(Q$6="","",COUNTIF(Q$8:Q$27,'Cài đặt'!$B$16))</f>
        <v>2</v>
      </c>
      <c r="R30" s="36">
        <f>IF(R$6="","",COUNTIF(R$8:R$27,'Cài đặt'!$B$16))</f>
        <v>2</v>
      </c>
      <c r="S30" s="36">
        <f>IF(S$6="","",COUNTIF(S$8:S$27,'Cài đặt'!$B$16))</f>
        <v>2</v>
      </c>
      <c r="T30" s="36">
        <f>IF(T$6="","",COUNTIF(T$8:T$27,'Cài đặt'!$B$16))</f>
        <v>3</v>
      </c>
      <c r="U30" s="36">
        <f>IF(U$6="","",COUNTIF(U$8:U$27,'Cài đặt'!$B$16))</f>
        <v>3</v>
      </c>
      <c r="V30" s="36">
        <f>IF(V$6="","",COUNTIF(V$8:V$27,'Cài đặt'!$B$16))</f>
        <v>3</v>
      </c>
      <c r="W30" s="36">
        <f>IF(W$6="","",COUNTIF(W$8:W$27,'Cài đặt'!$B$16))</f>
        <v>3</v>
      </c>
      <c r="X30" s="36">
        <f>IF(X$6="","",COUNTIF(X$8:X$27,'Cài đặt'!$B$16))</f>
        <v>2</v>
      </c>
      <c r="Y30" s="36">
        <f>IF(Y$6="","",COUNTIF(Y$8:Y$27,'Cài đặt'!$B$16))</f>
        <v>2</v>
      </c>
      <c r="Z30" s="36">
        <f>IF(Z$6="","",COUNTIF(Z$8:Z$27,'Cài đặt'!$B$16))</f>
        <v>2</v>
      </c>
      <c r="AA30" s="36">
        <f>IF(AA$6="","",COUNTIF(AA$8:AA$27,'Cài đặt'!$B$16))</f>
        <v>3</v>
      </c>
      <c r="AB30" s="36">
        <f>IF(AB$6="","",COUNTIF(AB$8:AB$27,'Cài đặt'!$B$16))</f>
        <v>3</v>
      </c>
      <c r="AC30" s="36">
        <f>IF(AC$6="","",COUNTIF(AC$8:AC$27,'Cài đặt'!$B$16))</f>
        <v>2</v>
      </c>
      <c r="AD30" s="36">
        <f>IF(AD$6="","",COUNTIF(AD$8:AD$27,'Cài đặt'!$B$16))</f>
        <v>3</v>
      </c>
      <c r="AE30" s="36">
        <f>IF(AE$6="","",COUNTIF(AE$8:AE$27,'Cài đặt'!$B$16))</f>
        <v>2</v>
      </c>
      <c r="AF30" s="36">
        <f>IF(AF$6="","",COUNTIF(AF$8:AF$27,'Cài đặt'!$B$16))</f>
        <v>2</v>
      </c>
      <c r="AG30" s="36">
        <f>IF(AG$6="","",COUNTIF(AG$8:AG$27,'Cài đặt'!$B$16))</f>
        <v>2</v>
      </c>
      <c r="AH30" s="36">
        <f>IF(AH$6="","",COUNTIF(AH$8:AH$27,'Cài đặt'!$B$16))</f>
        <v>3</v>
      </c>
      <c r="AI30" s="36" t="str">
        <f>IF(AI$6="","",COUNTIF(AI$8:AI$27,'Cài đặt'!$B$16))</f>
        <v/>
      </c>
    </row>
    <row r="31" ht="18.0" customHeight="1">
      <c r="A31" s="35" t="str">
        <f>"     • "&amp;'Cài đặt'!C17</f>
        <v>     • Ca sáng</v>
      </c>
      <c r="B31" s="8"/>
      <c r="C31" s="8"/>
      <c r="D31" s="9"/>
      <c r="E31" s="36">
        <f>IF(E$6="","",COUNTIF(E$8:E$27,'Cài đặt'!$B$17))</f>
        <v>3</v>
      </c>
      <c r="F31" s="36">
        <f>IF(F$6="","",COUNTIF(F$8:F$27,'Cài đặt'!$B$17))</f>
        <v>1</v>
      </c>
      <c r="G31" s="36">
        <f>IF(G$6="","",COUNTIF(G$8:G$27,'Cài đặt'!$B$17))</f>
        <v>2</v>
      </c>
      <c r="H31" s="36">
        <f>IF(H$6="","",COUNTIF(H$8:H$27,'Cài đặt'!$B$17))</f>
        <v>0</v>
      </c>
      <c r="I31" s="36">
        <f>IF(I$6="","",COUNTIF(I$8:I$27,'Cài đặt'!$B$17))</f>
        <v>1</v>
      </c>
      <c r="J31" s="36">
        <f>IF(J$6="","",COUNTIF(J$8:J$27,'Cài đặt'!$B$17))</f>
        <v>1</v>
      </c>
      <c r="K31" s="36">
        <f>IF(K$6="","",COUNTIF(K$8:K$27,'Cài đặt'!$B$17))</f>
        <v>1</v>
      </c>
      <c r="L31" s="36">
        <f>IF(L$6="","",COUNTIF(L$8:L$27,'Cài đặt'!$B$17))</f>
        <v>3</v>
      </c>
      <c r="M31" s="36">
        <f>IF(M$6="","",COUNTIF(M$8:M$27,'Cài đặt'!$B$17))</f>
        <v>1</v>
      </c>
      <c r="N31" s="36">
        <f>IF(N$6="","",COUNTIF(N$8:N$27,'Cài đặt'!$B$17))</f>
        <v>2</v>
      </c>
      <c r="O31" s="36">
        <f>IF(O$6="","",COUNTIF(O$8:O$27,'Cài đặt'!$B$17))</f>
        <v>0</v>
      </c>
      <c r="P31" s="36">
        <f>IF(P$6="","",COUNTIF(P$8:P$27,'Cài đặt'!$B$17))</f>
        <v>1</v>
      </c>
      <c r="Q31" s="36">
        <f>IF(Q$6="","",COUNTIF(Q$8:Q$27,'Cài đặt'!$B$17))</f>
        <v>1</v>
      </c>
      <c r="R31" s="36">
        <f>IF(R$6="","",COUNTIF(R$8:R$27,'Cài đặt'!$B$17))</f>
        <v>1</v>
      </c>
      <c r="S31" s="36">
        <f>IF(S$6="","",COUNTIF(S$8:S$27,'Cài đặt'!$B$17))</f>
        <v>3</v>
      </c>
      <c r="T31" s="36">
        <f>IF(T$6="","",COUNTIF(T$8:T$27,'Cài đặt'!$B$17))</f>
        <v>1</v>
      </c>
      <c r="U31" s="36">
        <f>IF(U$6="","",COUNTIF(U$8:U$27,'Cài đặt'!$B$17))</f>
        <v>2</v>
      </c>
      <c r="V31" s="36">
        <f>IF(V$6="","",COUNTIF(V$8:V$27,'Cài đặt'!$B$17))</f>
        <v>0</v>
      </c>
      <c r="W31" s="36">
        <f>IF(W$6="","",COUNTIF(W$8:W$27,'Cài đặt'!$B$17))</f>
        <v>1</v>
      </c>
      <c r="X31" s="36">
        <f>IF(X$6="","",COUNTIF(X$8:X$27,'Cài đặt'!$B$17))</f>
        <v>1</v>
      </c>
      <c r="Y31" s="36">
        <f>IF(Y$6="","",COUNTIF(Y$8:Y$27,'Cài đặt'!$B$17))</f>
        <v>1</v>
      </c>
      <c r="Z31" s="36">
        <f>IF(Z$6="","",COUNTIF(Z$8:Z$27,'Cài đặt'!$B$17))</f>
        <v>3</v>
      </c>
      <c r="AA31" s="36">
        <f>IF(AA$6="","",COUNTIF(AA$8:AA$27,'Cài đặt'!$B$17))</f>
        <v>1</v>
      </c>
      <c r="AB31" s="36">
        <f>IF(AB$6="","",COUNTIF(AB$8:AB$27,'Cài đặt'!$B$17))</f>
        <v>2</v>
      </c>
      <c r="AC31" s="36">
        <f>IF(AC$6="","",COUNTIF(AC$8:AC$27,'Cài đặt'!$B$17))</f>
        <v>0</v>
      </c>
      <c r="AD31" s="36">
        <f>IF(AD$6="","",COUNTIF(AD$8:AD$27,'Cài đặt'!$B$17))</f>
        <v>1</v>
      </c>
      <c r="AE31" s="36">
        <f>IF(AE$6="","",COUNTIF(AE$8:AE$27,'Cài đặt'!$B$17))</f>
        <v>1</v>
      </c>
      <c r="AF31" s="36">
        <f>IF(AF$6="","",COUNTIF(AF$8:AF$27,'Cài đặt'!$B$17))</f>
        <v>1</v>
      </c>
      <c r="AG31" s="36">
        <f>IF(AG$6="","",COUNTIF(AG$8:AG$27,'Cài đặt'!$B$17))</f>
        <v>3</v>
      </c>
      <c r="AH31" s="36">
        <f>IF(AH$6="","",COUNTIF(AH$8:AH$27,'Cài đặt'!$B$17))</f>
        <v>1</v>
      </c>
      <c r="AI31" s="36" t="str">
        <f>IF(AI$6="","",COUNTIF(AI$8:AI$27,'Cài đặt'!$B$17))</f>
        <v/>
      </c>
    </row>
    <row r="32" ht="18.0" customHeight="1">
      <c r="A32" s="35" t="str">
        <f>"     • "&amp;'Cài đặt'!C18</f>
        <v>     • Ca chiều</v>
      </c>
      <c r="B32" s="8"/>
      <c r="C32" s="8"/>
      <c r="D32" s="9"/>
      <c r="E32" s="36">
        <f>IF(E$6="","",COUNTIF(E$8:E$27,'Cài đặt'!$B$18))</f>
        <v>0</v>
      </c>
      <c r="F32" s="36">
        <f>IF(F$6="","",COUNTIF(F$8:F$27,'Cài đặt'!$B$18))</f>
        <v>2</v>
      </c>
      <c r="G32" s="36">
        <f>IF(G$6="","",COUNTIF(G$8:G$27,'Cài đặt'!$B$18))</f>
        <v>1</v>
      </c>
      <c r="H32" s="36">
        <f>IF(H$6="","",COUNTIF(H$8:H$27,'Cài đặt'!$B$18))</f>
        <v>2</v>
      </c>
      <c r="I32" s="36">
        <f>IF(I$6="","",COUNTIF(I$8:I$27,'Cài đặt'!$B$18))</f>
        <v>1</v>
      </c>
      <c r="J32" s="36">
        <f>IF(J$6="","",COUNTIF(J$8:J$27,'Cài đặt'!$B$18))</f>
        <v>2</v>
      </c>
      <c r="K32" s="36">
        <f>IF(K$6="","",COUNTIF(K$8:K$27,'Cài đặt'!$B$18))</f>
        <v>1</v>
      </c>
      <c r="L32" s="36">
        <f>IF(L$6="","",COUNTIF(L$8:L$27,'Cài đặt'!$B$18))</f>
        <v>0</v>
      </c>
      <c r="M32" s="36">
        <f>IF(M$6="","",COUNTIF(M$8:M$27,'Cài đặt'!$B$18))</f>
        <v>2</v>
      </c>
      <c r="N32" s="36">
        <f>IF(N$6="","",COUNTIF(N$8:N$27,'Cài đặt'!$B$18))</f>
        <v>0</v>
      </c>
      <c r="O32" s="36">
        <f>IF(O$6="","",COUNTIF(O$8:O$27,'Cài đặt'!$B$18))</f>
        <v>1</v>
      </c>
      <c r="P32" s="36">
        <f>IF(P$6="","",COUNTIF(P$8:P$27,'Cài đặt'!$B$18))</f>
        <v>1</v>
      </c>
      <c r="Q32" s="36">
        <f>IF(Q$6="","",COUNTIF(Q$8:Q$27,'Cài đặt'!$B$18))</f>
        <v>2</v>
      </c>
      <c r="R32" s="36">
        <f>IF(R$6="","",COUNTIF(R$8:R$27,'Cài đặt'!$B$18))</f>
        <v>1</v>
      </c>
      <c r="S32" s="36">
        <f>IF(S$6="","",COUNTIF(S$8:S$27,'Cài đặt'!$B$18))</f>
        <v>0</v>
      </c>
      <c r="T32" s="36">
        <f>IF(T$6="","",COUNTIF(T$8:T$27,'Cài đặt'!$B$18))</f>
        <v>2</v>
      </c>
      <c r="U32" s="36">
        <f>IF(U$6="","",COUNTIF(U$8:U$27,'Cài đặt'!$B$18))</f>
        <v>1</v>
      </c>
      <c r="V32" s="36">
        <f>IF(V$6="","",COUNTIF(V$8:V$27,'Cài đặt'!$B$18))</f>
        <v>2</v>
      </c>
      <c r="W32" s="36">
        <f>IF(W$6="","",COUNTIF(W$8:W$27,'Cài đặt'!$B$18))</f>
        <v>1</v>
      </c>
      <c r="X32" s="36">
        <f>IF(X$6="","",COUNTIF(X$8:X$27,'Cài đặt'!$B$18))</f>
        <v>2</v>
      </c>
      <c r="Y32" s="36">
        <f>IF(Y$6="","",COUNTIF(Y$8:Y$27,'Cài đặt'!$B$18))</f>
        <v>1</v>
      </c>
      <c r="Z32" s="36">
        <f>IF(Z$6="","",COUNTIF(Z$8:Z$27,'Cài đặt'!$B$18))</f>
        <v>0</v>
      </c>
      <c r="AA32" s="36">
        <f>IF(AA$6="","",COUNTIF(AA$8:AA$27,'Cài đặt'!$B$18))</f>
        <v>2</v>
      </c>
      <c r="AB32" s="36">
        <f>IF(AB$6="","",COUNTIF(AB$8:AB$27,'Cài đặt'!$B$18))</f>
        <v>1</v>
      </c>
      <c r="AC32" s="36">
        <f>IF(AC$6="","",COUNTIF(AC$8:AC$27,'Cài đặt'!$B$18))</f>
        <v>2</v>
      </c>
      <c r="AD32" s="36">
        <f>IF(AD$6="","",COUNTIF(AD$8:AD$27,'Cài đặt'!$B$18))</f>
        <v>1</v>
      </c>
      <c r="AE32" s="36">
        <f>IF(AE$6="","",COUNTIF(AE$8:AE$27,'Cài đặt'!$B$18))</f>
        <v>2</v>
      </c>
      <c r="AF32" s="36">
        <f>IF(AF$6="","",COUNTIF(AF$8:AF$27,'Cài đặt'!$B$18))</f>
        <v>1</v>
      </c>
      <c r="AG32" s="36">
        <f>IF(AG$6="","",COUNTIF(AG$8:AG$27,'Cài đặt'!$B$18))</f>
        <v>0</v>
      </c>
      <c r="AH32" s="36">
        <f>IF(AH$6="","",COUNTIF(AH$8:AH$27,'Cài đặt'!$B$18))</f>
        <v>2</v>
      </c>
      <c r="AI32" s="36" t="str">
        <f>IF(AI$6="","",COUNTIF(AI$8:AI$27,'Cài đặt'!$B$18))</f>
        <v/>
      </c>
    </row>
    <row r="33" ht="18.0" customHeight="1">
      <c r="A33" s="35" t="str">
        <f>"     • "&amp;'Cài đặt'!C19</f>
        <v>     • Ca đêm</v>
      </c>
      <c r="B33" s="8"/>
      <c r="C33" s="8"/>
      <c r="D33" s="9"/>
      <c r="E33" s="36">
        <f>IF(E$6="","",COUNTIF(E$8:E$27,'Cài đặt'!$B$19))</f>
        <v>0</v>
      </c>
      <c r="F33" s="36">
        <f>IF(F$6="","",COUNTIF(F$8:F$27,'Cài đặt'!$B$19))</f>
        <v>0</v>
      </c>
      <c r="G33" s="36">
        <f>IF(G$6="","",COUNTIF(G$8:G$27,'Cài đặt'!$B$19))</f>
        <v>1</v>
      </c>
      <c r="H33" s="36">
        <f>IF(H$6="","",COUNTIF(H$8:H$27,'Cài đặt'!$B$19))</f>
        <v>1</v>
      </c>
      <c r="I33" s="36">
        <f>IF(I$6="","",COUNTIF(I$8:I$27,'Cài đặt'!$B$19))</f>
        <v>1</v>
      </c>
      <c r="J33" s="36">
        <f>IF(J$6="","",COUNTIF(J$8:J$27,'Cài đặt'!$B$19))</f>
        <v>1</v>
      </c>
      <c r="K33" s="36">
        <f>IF(K$6="","",COUNTIF(K$8:K$27,'Cài đặt'!$B$19))</f>
        <v>1</v>
      </c>
      <c r="L33" s="36">
        <f>IF(L$6="","",COUNTIF(L$8:L$27,'Cài đặt'!$B$19))</f>
        <v>0</v>
      </c>
      <c r="M33" s="36">
        <f>IF(M$6="","",COUNTIF(M$8:M$27,'Cài đặt'!$B$19))</f>
        <v>0</v>
      </c>
      <c r="N33" s="36">
        <f>IF(N$6="","",COUNTIF(N$8:N$27,'Cài đặt'!$B$19))</f>
        <v>1</v>
      </c>
      <c r="O33" s="36">
        <f>IF(O$6="","",COUNTIF(O$8:O$27,'Cài đặt'!$B$19))</f>
        <v>1</v>
      </c>
      <c r="P33" s="36">
        <f>IF(P$6="","",COUNTIF(P$8:P$27,'Cài đặt'!$B$19))</f>
        <v>1</v>
      </c>
      <c r="Q33" s="36">
        <f>IF(Q$6="","",COUNTIF(Q$8:Q$27,'Cài đặt'!$B$19))</f>
        <v>1</v>
      </c>
      <c r="R33" s="36">
        <f>IF(R$6="","",COUNTIF(R$8:R$27,'Cài đặt'!$B$19))</f>
        <v>1</v>
      </c>
      <c r="S33" s="36">
        <f>IF(S$6="","",COUNTIF(S$8:S$27,'Cài đặt'!$B$19))</f>
        <v>0</v>
      </c>
      <c r="T33" s="36">
        <f>IF(T$6="","",COUNTIF(T$8:T$27,'Cài đặt'!$B$19))</f>
        <v>0</v>
      </c>
      <c r="U33" s="36">
        <f>IF(U$6="","",COUNTIF(U$8:U$27,'Cài đặt'!$B$19))</f>
        <v>1</v>
      </c>
      <c r="V33" s="36">
        <f>IF(V$6="","",COUNTIF(V$8:V$27,'Cài đặt'!$B$19))</f>
        <v>1</v>
      </c>
      <c r="W33" s="36">
        <f>IF(W$6="","",COUNTIF(W$8:W$27,'Cài đặt'!$B$19))</f>
        <v>1</v>
      </c>
      <c r="X33" s="36">
        <f>IF(X$6="","",COUNTIF(X$8:X$27,'Cài đặt'!$B$19))</f>
        <v>1</v>
      </c>
      <c r="Y33" s="36">
        <f>IF(Y$6="","",COUNTIF(Y$8:Y$27,'Cài đặt'!$B$19))</f>
        <v>1</v>
      </c>
      <c r="Z33" s="36">
        <f>IF(Z$6="","",COUNTIF(Z$8:Z$27,'Cài đặt'!$B$19))</f>
        <v>0</v>
      </c>
      <c r="AA33" s="36">
        <f>IF(AA$6="","",COUNTIF(AA$8:AA$27,'Cài đặt'!$B$19))</f>
        <v>0</v>
      </c>
      <c r="AB33" s="36">
        <f>IF(AB$6="","",COUNTIF(AB$8:AB$27,'Cài đặt'!$B$19))</f>
        <v>1</v>
      </c>
      <c r="AC33" s="36">
        <f>IF(AC$6="","",COUNTIF(AC$8:AC$27,'Cài đặt'!$B$19))</f>
        <v>1</v>
      </c>
      <c r="AD33" s="36">
        <f>IF(AD$6="","",COUNTIF(AD$8:AD$27,'Cài đặt'!$B$19))</f>
        <v>1</v>
      </c>
      <c r="AE33" s="36">
        <f>IF(AE$6="","",COUNTIF(AE$8:AE$27,'Cài đặt'!$B$19))</f>
        <v>1</v>
      </c>
      <c r="AF33" s="36">
        <f>IF(AF$6="","",COUNTIF(AF$8:AF$27,'Cài đặt'!$B$19))</f>
        <v>1</v>
      </c>
      <c r="AG33" s="36">
        <f>IF(AG$6="","",COUNTIF(AG$8:AG$27,'Cài đặt'!$B$19))</f>
        <v>0</v>
      </c>
      <c r="AH33" s="36">
        <f>IF(AH$6="","",COUNTIF(AH$8:AH$27,'Cài đặt'!$B$19))</f>
        <v>0</v>
      </c>
      <c r="AI33" s="36" t="str">
        <f>IF(AI$6="","",COUNTIF(AI$8:AI$27,'Cài đặt'!$B$19))</f>
        <v/>
      </c>
    </row>
    <row r="34" ht="18.0" customHeight="1">
      <c r="A34" s="35" t="str">
        <f>"     • "&amp;'Cài đặt'!C20</f>
        <v>     • Chạy tuyến dài</v>
      </c>
      <c r="B34" s="8"/>
      <c r="C34" s="8"/>
      <c r="D34" s="9"/>
      <c r="E34" s="36">
        <f>IF(E$6="","",COUNTIF(E$8:E$27,'Cài đặt'!$B$20))</f>
        <v>1</v>
      </c>
      <c r="F34" s="36">
        <f>IF(F$6="","",COUNTIF(F$8:F$27,'Cài đặt'!$B$20))</f>
        <v>0</v>
      </c>
      <c r="G34" s="36">
        <f>IF(G$6="","",COUNTIF(G$8:G$27,'Cài đặt'!$B$20))</f>
        <v>0</v>
      </c>
      <c r="H34" s="36">
        <f>IF(H$6="","",COUNTIF(H$8:H$27,'Cài đặt'!$B$20))</f>
        <v>1</v>
      </c>
      <c r="I34" s="36">
        <f>IF(I$6="","",COUNTIF(I$8:I$27,'Cài đặt'!$B$20))</f>
        <v>1</v>
      </c>
      <c r="J34" s="36">
        <f>IF(J$6="","",COUNTIF(J$8:J$27,'Cài đặt'!$B$20))</f>
        <v>1</v>
      </c>
      <c r="K34" s="36">
        <f>IF(K$6="","",COUNTIF(K$8:K$27,'Cài đặt'!$B$20))</f>
        <v>1</v>
      </c>
      <c r="L34" s="36">
        <f>IF(L$6="","",COUNTIF(L$8:L$27,'Cài đặt'!$B$20))</f>
        <v>1</v>
      </c>
      <c r="M34" s="36">
        <f>IF(M$6="","",COUNTIF(M$8:M$27,'Cài đặt'!$B$20))</f>
        <v>0</v>
      </c>
      <c r="N34" s="36">
        <f>IF(N$6="","",COUNTIF(N$8:N$27,'Cài đặt'!$B$20))</f>
        <v>0</v>
      </c>
      <c r="O34" s="36">
        <f>IF(O$6="","",COUNTIF(O$8:O$27,'Cài đặt'!$B$20))</f>
        <v>1</v>
      </c>
      <c r="P34" s="36">
        <f>IF(P$6="","",COUNTIF(P$8:P$27,'Cài đặt'!$B$20))</f>
        <v>1</v>
      </c>
      <c r="Q34" s="36">
        <f>IF(Q$6="","",COUNTIF(Q$8:Q$27,'Cài đặt'!$B$20))</f>
        <v>1</v>
      </c>
      <c r="R34" s="36">
        <f>IF(R$6="","",COUNTIF(R$8:R$27,'Cài đặt'!$B$20))</f>
        <v>1</v>
      </c>
      <c r="S34" s="36">
        <f>IF(S$6="","",COUNTIF(S$8:S$27,'Cài đặt'!$B$20))</f>
        <v>1</v>
      </c>
      <c r="T34" s="36">
        <f>IF(T$6="","",COUNTIF(T$8:T$27,'Cài đặt'!$B$20))</f>
        <v>0</v>
      </c>
      <c r="U34" s="36">
        <f>IF(U$6="","",COUNTIF(U$8:U$27,'Cài đặt'!$B$20))</f>
        <v>0</v>
      </c>
      <c r="V34" s="36">
        <f>IF(V$6="","",COUNTIF(V$8:V$27,'Cài đặt'!$B$20))</f>
        <v>0</v>
      </c>
      <c r="W34" s="36">
        <f>IF(W$6="","",COUNTIF(W$8:W$27,'Cài đặt'!$B$20))</f>
        <v>1</v>
      </c>
      <c r="X34" s="36">
        <f>IF(X$6="","",COUNTIF(X$8:X$27,'Cài đặt'!$B$20))</f>
        <v>1</v>
      </c>
      <c r="Y34" s="36">
        <f>IF(Y$6="","",COUNTIF(Y$8:Y$27,'Cài đặt'!$B$20))</f>
        <v>1</v>
      </c>
      <c r="Z34" s="36">
        <f>IF(Z$6="","",COUNTIF(Z$8:Z$27,'Cài đặt'!$B$20))</f>
        <v>1</v>
      </c>
      <c r="AA34" s="36">
        <f>IF(AA$6="","",COUNTIF(AA$8:AA$27,'Cài đặt'!$B$20))</f>
        <v>0</v>
      </c>
      <c r="AB34" s="36">
        <f>IF(AB$6="","",COUNTIF(AB$8:AB$27,'Cài đặt'!$B$20))</f>
        <v>0</v>
      </c>
      <c r="AC34" s="36">
        <f>IF(AC$6="","",COUNTIF(AC$8:AC$27,'Cài đặt'!$B$20))</f>
        <v>1</v>
      </c>
      <c r="AD34" s="36">
        <f>IF(AD$6="","",COUNTIF(AD$8:AD$27,'Cài đặt'!$B$20))</f>
        <v>1</v>
      </c>
      <c r="AE34" s="36">
        <f>IF(AE$6="","",COUNTIF(AE$8:AE$27,'Cài đặt'!$B$20))</f>
        <v>1</v>
      </c>
      <c r="AF34" s="36">
        <f>IF(AF$6="","",COUNTIF(AF$8:AF$27,'Cài đặt'!$B$20))</f>
        <v>1</v>
      </c>
      <c r="AG34" s="36">
        <f>IF(AG$6="","",COUNTIF(AG$8:AG$27,'Cài đặt'!$B$20))</f>
        <v>1</v>
      </c>
      <c r="AH34" s="36">
        <f>IF(AH$6="","",COUNTIF(AH$8:AH$27,'Cài đặt'!$B$20))</f>
        <v>0</v>
      </c>
      <c r="AI34" s="36" t="str">
        <f>IF(AI$6="","",COUNTIF(AI$8:AI$27,'Cài đặt'!$B$20))</f>
        <v/>
      </c>
    </row>
    <row r="35" ht="15.75" customHeight="1">
      <c r="A35" s="37" t="s">
        <v>46</v>
      </c>
    </row>
    <row r="36" ht="15.75" customHeight="1"/>
    <row r="37" ht="15.75" customHeight="1">
      <c r="B37" s="38" t="s">
        <v>47</v>
      </c>
      <c r="C37" s="8"/>
      <c r="D37" s="9"/>
      <c r="E37" s="39" t="s">
        <v>48</v>
      </c>
      <c r="P37" s="39" t="s">
        <v>49</v>
      </c>
      <c r="AA37" s="39" t="s">
        <v>50</v>
      </c>
    </row>
    <row r="38" ht="18.0" customHeight="1">
      <c r="B38" s="40" t="str">
        <f>'Cài đặt'!B16</f>
        <v>H</v>
      </c>
      <c r="C38" s="41" t="str">
        <f>'Cài đặt'!C16&amp;IF('Cài đặt'!G16&gt;0," – "&amp;TEXT('Cài đặt'!G16,"0.0")&amp;" giờ","")</f>
        <v>Ca hành chính – 8,0 giờ</v>
      </c>
      <c r="D38" s="9"/>
      <c r="E38" s="42" t="s">
        <v>51</v>
      </c>
      <c r="P38" s="42" t="s">
        <v>51</v>
      </c>
      <c r="AA38" s="42" t="s">
        <v>51</v>
      </c>
    </row>
    <row r="39" ht="18.0" customHeight="1">
      <c r="B39" s="43" t="str">
        <f>'Cài đặt'!B17</f>
        <v>S</v>
      </c>
      <c r="C39" s="41" t="str">
        <f>'Cài đặt'!C17&amp;IF('Cài đặt'!G17&gt;0," – "&amp;TEXT('Cài đặt'!G17,"0.0")&amp;" giờ","")</f>
        <v>Ca sáng – 8,0 giờ</v>
      </c>
      <c r="D39" s="9"/>
    </row>
    <row r="40" ht="18.0" customHeight="1">
      <c r="B40" s="44" t="str">
        <f>'Cài đặt'!B18</f>
        <v>C</v>
      </c>
      <c r="C40" s="41" t="str">
        <f>'Cài đặt'!C18&amp;IF('Cài đặt'!G18&gt;0," – "&amp;TEXT('Cài đặt'!G18,"0.0")&amp;" giờ","")</f>
        <v>Ca chiều – 8,0 giờ</v>
      </c>
      <c r="D40" s="9"/>
    </row>
    <row r="41" ht="18.0" customHeight="1">
      <c r="B41" s="45" t="str">
        <f>'Cài đặt'!B19</f>
        <v>Đ</v>
      </c>
      <c r="C41" s="41" t="str">
        <f>'Cài đặt'!C19&amp;IF('Cài đặt'!G19&gt;0," – "&amp;TEXT('Cài đặt'!G19,"0.0")&amp;" giờ","")</f>
        <v>Ca đêm – 8,0 giờ</v>
      </c>
      <c r="D41" s="9"/>
    </row>
    <row r="42" ht="18.0" customHeight="1">
      <c r="B42" s="46" t="str">
        <f>'Cài đặt'!B20</f>
        <v>T</v>
      </c>
      <c r="C42" s="41" t="str">
        <f>'Cài đặt'!C20&amp;IF('Cài đặt'!G20&gt;0," – "&amp;TEXT('Cài đặt'!G20,"0.0")&amp;" giờ","")</f>
        <v>Chạy tuyến dài – 11,0 giờ</v>
      </c>
      <c r="D42" s="9"/>
    </row>
    <row r="43" ht="18.0" customHeight="1">
      <c r="B43" s="17" t="str">
        <f>'Cài đặt'!B21</f>
        <v>P</v>
      </c>
      <c r="C43" s="41" t="str">
        <f>'Cài đặt'!C21&amp;IF('Cài đặt'!G21&gt;0," – "&amp;TEXT('Cài đặt'!G21,"0.0")&amp;" giờ","")</f>
        <v>Nghỉ phép năm</v>
      </c>
      <c r="D43" s="9"/>
    </row>
    <row r="44" ht="18.0" customHeight="1">
      <c r="B44" s="47" t="str">
        <f>'Cài đặt'!B22</f>
        <v>L</v>
      </c>
      <c r="C44" s="41" t="str">
        <f>'Cài đặt'!C22&amp;IF('Cài đặt'!G22&gt;0," – "&amp;TEXT('Cài đặt'!G22,"0.0")&amp;" giờ","")</f>
        <v>Nghỉ lễ</v>
      </c>
      <c r="D44" s="9"/>
    </row>
    <row r="45" ht="18.0" customHeight="1">
      <c r="B45" s="48" t="str">
        <f>'Cài đặt'!B23</f>
        <v>Ô</v>
      </c>
      <c r="C45" s="41" t="str">
        <f>'Cài đặt'!C23&amp;IF('Cài đặt'!G23&gt;0," – "&amp;TEXT('Cài đặt'!G23,"0.0")&amp;" giờ","")</f>
        <v>Nghỉ ốm (BHXH)</v>
      </c>
      <c r="D45" s="9"/>
    </row>
    <row r="46" ht="18.0" customHeight="1">
      <c r="B46" s="49" t="str">
        <f>'Cài đặt'!B24</f>
        <v>K</v>
      </c>
      <c r="C46" s="41" t="str">
        <f>'Cài đặt'!C24&amp;IF('Cài đặt'!G24&gt;0," – "&amp;TEXT('Cài đặt'!G24,"0.0")&amp;" giờ","")</f>
        <v>Nghỉ không lương</v>
      </c>
      <c r="D46" s="9"/>
    </row>
    <row r="47" ht="18.0" customHeight="1">
      <c r="B47" s="50" t="str">
        <f>'Cài đặt'!B25</f>
        <v>OFF</v>
      </c>
      <c r="C47" s="41" t="str">
        <f>'Cài đặt'!C25&amp;IF('Cài đặt'!G25&gt;0," – "&amp;TEXT('Cài đặt'!G25,"0.0")&amp;" giờ","")</f>
        <v>Nghỉ tuần</v>
      </c>
      <c r="D47" s="9"/>
    </row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0">
    <mergeCell ref="AJ5:AJ7"/>
    <mergeCell ref="AK5:AK7"/>
    <mergeCell ref="A28:D28"/>
    <mergeCell ref="E28:AI28"/>
    <mergeCell ref="A29:D29"/>
    <mergeCell ref="A30:D30"/>
    <mergeCell ref="A31:D31"/>
    <mergeCell ref="A32:D32"/>
    <mergeCell ref="A33:D33"/>
    <mergeCell ref="A34:D34"/>
    <mergeCell ref="A35:AI35"/>
    <mergeCell ref="E37:N37"/>
    <mergeCell ref="P37:Y37"/>
    <mergeCell ref="AA37:AI37"/>
    <mergeCell ref="E4:AI4"/>
    <mergeCell ref="AJ4:AR4"/>
    <mergeCell ref="AS4:AW4"/>
    <mergeCell ref="AX4:AX7"/>
    <mergeCell ref="AS5:AS7"/>
    <mergeCell ref="AT5:AT7"/>
    <mergeCell ref="AU5:AU7"/>
    <mergeCell ref="AV5:AV7"/>
    <mergeCell ref="AW5:AW7"/>
    <mergeCell ref="AL5:AL7"/>
    <mergeCell ref="AM5:AM7"/>
    <mergeCell ref="AN5:AN7"/>
    <mergeCell ref="AO5:AO7"/>
    <mergeCell ref="AP5:AP7"/>
    <mergeCell ref="AQ5:AQ7"/>
    <mergeCell ref="A1:AX1"/>
    <mergeCell ref="A3:AI3"/>
    <mergeCell ref="A4:A7"/>
    <mergeCell ref="B4:B7"/>
    <mergeCell ref="C4:C7"/>
    <mergeCell ref="D4:D7"/>
    <mergeCell ref="AR5:AR7"/>
    <mergeCell ref="C41:D41"/>
    <mergeCell ref="C42:D42"/>
    <mergeCell ref="C43:D43"/>
    <mergeCell ref="C44:D44"/>
    <mergeCell ref="C45:D45"/>
    <mergeCell ref="C46:D46"/>
    <mergeCell ref="C47:D47"/>
    <mergeCell ref="B37:D37"/>
    <mergeCell ref="C38:D38"/>
    <mergeCell ref="E38:N38"/>
    <mergeCell ref="P38:Y38"/>
    <mergeCell ref="AA38:AI38"/>
    <mergeCell ref="C39:D39"/>
    <mergeCell ref="C40:D40"/>
  </mergeCells>
  <conditionalFormatting sqref="E8:AI27">
    <cfRule type="expression" dxfId="0" priority="1">
      <formula>E$6=""</formula>
    </cfRule>
  </conditionalFormatting>
  <conditionalFormatting sqref="E8:AI27">
    <cfRule type="expression" dxfId="1" priority="2">
      <formula>E$5="Lễ"</formula>
    </cfRule>
  </conditionalFormatting>
  <conditionalFormatting sqref="E8:AI27">
    <cfRule type="expression" dxfId="2" priority="3">
      <formula>E$7="CN"</formula>
    </cfRule>
  </conditionalFormatting>
  <conditionalFormatting sqref="E5:AI7">
    <cfRule type="expression" dxfId="3" priority="4">
      <formula>E$5="Lễ"</formula>
    </cfRule>
  </conditionalFormatting>
  <conditionalFormatting sqref="E5:AI7">
    <cfRule type="expression" dxfId="4" priority="5">
      <formula>E$7="CN"</formula>
    </cfRule>
  </conditionalFormatting>
  <conditionalFormatting sqref="E6:AI7">
    <cfRule type="expression" dxfId="0" priority="6">
      <formula>E$6=""</formula>
    </cfRule>
  </conditionalFormatting>
  <dataValidations>
    <dataValidation type="list" allowBlank="1" showInputMessage="1" showErrorMessage="1" prompt="Chấm công - Chọn ký hiệu ca / loại nghỉ" sqref="E8:AI27">
      <formula1>'Cài đặt'!$B$16:$B$25</formula1>
    </dataValidation>
    <dataValidation type="list" allowBlank="1" sqref="D8:D27">
      <formula1>'Cài đặt'!$B$48:$B$57</formula1>
    </dataValidation>
  </dataValidations>
  <printOptions/>
  <pageMargins bottom="1.0" footer="0.0" header="0.0" left="0.3" right="0.3" top="1.0"/>
  <pageSetup paperSize="8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DBA74"/>
    <pageSetUpPr fitToPage="1"/>
  </sheetPr>
  <sheetViews>
    <sheetView showGridLines="0" workbookViewId="0">
      <pane xSplit="4.0" ySplit="6.0" topLeftCell="E7" activePane="bottomRight" state="frozen"/>
      <selection activeCell="E1" sqref="E1" pane="topRight"/>
      <selection activeCell="A7" sqref="A7" pane="bottomLeft"/>
      <selection activeCell="E7" sqref="E7" pane="bottomRight"/>
    </sheetView>
  </sheetViews>
  <sheetFormatPr customHeight="1" defaultColWidth="14.43" defaultRowHeight="15.0"/>
  <cols>
    <col customWidth="1" min="1" max="1" width="5.0"/>
    <col customWidth="1" min="2" max="2" width="9.0"/>
    <col customWidth="1" min="3" max="3" width="20.0"/>
    <col customWidth="1" min="4" max="4" width="13.0"/>
    <col customWidth="1" min="5" max="7" width="9.0"/>
    <col customWidth="1" min="8" max="8" width="10.0"/>
    <col customWidth="1" min="9" max="11" width="9.0"/>
    <col customWidth="1" min="12" max="12" width="10.0"/>
    <col customWidth="1" min="13" max="14" width="8.0"/>
    <col customWidth="1" min="15" max="15" width="10.0"/>
    <col customWidth="1" min="16" max="16" width="13.0"/>
    <col customWidth="1" min="17" max="24" width="12.0"/>
    <col customWidth="1" min="25" max="25" width="14.0"/>
    <col customWidth="1" min="26" max="27" width="12.0"/>
    <col customWidth="1" min="28" max="29" width="14.0"/>
  </cols>
  <sheetData>
    <row r="1" ht="24.0" customHeight="1">
      <c r="A1" s="1" t="str">
        <f>'Cài đặt'!D5</f>
        <v>CÔNG TY TNHH VẬN TẢI &amp; DỊCH VỤ MẪU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3"/>
    </row>
    <row r="2" ht="39.75" customHeight="1">
      <c r="A2" s="4" t="s">
        <v>52</v>
      </c>
    </row>
    <row r="3" ht="21.75" customHeight="1">
      <c r="A3" s="5" t="str">
        <f>"Tháng "&amp;'Cài đặt'!D7&amp;" năm "&amp;'Cài đặt'!D8&amp;"   |   Đơn giá: "&amp;TEXT('Cài đặt'!D32,"#,##0")&amp;" đ/công   |   Công chuẩn: "&amp;'Cài đặt'!D11&amp;" ngày   |   Đơn vị: VNĐ"</f>
        <v>Tháng 11 năm 2026   |   Đơn giá: 300.000 đ/công   |   Công chuẩn: 25 ngày   |   Đơn vị: VNĐ</v>
      </c>
    </row>
    <row r="4" ht="7.5" customHeight="1"/>
    <row r="5" ht="19.5" customHeight="1">
      <c r="A5" s="6" t="s">
        <v>1</v>
      </c>
      <c r="B5" s="6" t="s">
        <v>2</v>
      </c>
      <c r="C5" s="6" t="s">
        <v>3</v>
      </c>
      <c r="D5" s="6" t="s">
        <v>4</v>
      </c>
      <c r="E5" s="10" t="s">
        <v>53</v>
      </c>
      <c r="F5" s="8"/>
      <c r="G5" s="9"/>
      <c r="H5" s="7" t="s">
        <v>54</v>
      </c>
      <c r="I5" s="8"/>
      <c r="J5" s="8"/>
      <c r="K5" s="9"/>
      <c r="L5" s="10" t="s">
        <v>55</v>
      </c>
      <c r="M5" s="8"/>
      <c r="N5" s="8"/>
      <c r="O5" s="9"/>
      <c r="P5" s="7" t="s">
        <v>56</v>
      </c>
      <c r="Q5" s="8"/>
      <c r="R5" s="8"/>
      <c r="S5" s="8"/>
      <c r="T5" s="8"/>
      <c r="U5" s="8"/>
      <c r="V5" s="8"/>
      <c r="W5" s="8"/>
      <c r="X5" s="8"/>
      <c r="Y5" s="9"/>
      <c r="Z5" s="10" t="s">
        <v>57</v>
      </c>
      <c r="AA5" s="8"/>
      <c r="AB5" s="9"/>
      <c r="AC5" s="11" t="s">
        <v>58</v>
      </c>
    </row>
    <row r="6" ht="48.0" customHeight="1">
      <c r="A6" s="16"/>
      <c r="B6" s="16"/>
      <c r="C6" s="16"/>
      <c r="D6" s="16"/>
      <c r="E6" s="51" t="s">
        <v>59</v>
      </c>
      <c r="F6" s="51" t="s">
        <v>60</v>
      </c>
      <c r="G6" s="51" t="s">
        <v>61</v>
      </c>
      <c r="H6" s="51" t="s">
        <v>62</v>
      </c>
      <c r="I6" s="51" t="s">
        <v>13</v>
      </c>
      <c r="J6" s="51" t="s">
        <v>10</v>
      </c>
      <c r="K6" s="51" t="s">
        <v>11</v>
      </c>
      <c r="L6" s="51" t="s">
        <v>63</v>
      </c>
      <c r="M6" s="51" t="s">
        <v>64</v>
      </c>
      <c r="N6" s="51" t="s">
        <v>65</v>
      </c>
      <c r="O6" s="51" t="s">
        <v>66</v>
      </c>
      <c r="P6" s="51" t="s">
        <v>67</v>
      </c>
      <c r="Q6" s="51" t="s">
        <v>68</v>
      </c>
      <c r="R6" s="51" t="s">
        <v>69</v>
      </c>
      <c r="S6" s="51" t="s">
        <v>70</v>
      </c>
      <c r="T6" s="51" t="s">
        <v>71</v>
      </c>
      <c r="U6" s="51" t="s">
        <v>72</v>
      </c>
      <c r="V6" s="51" t="s">
        <v>73</v>
      </c>
      <c r="W6" s="51" t="s">
        <v>74</v>
      </c>
      <c r="X6" s="51" t="s">
        <v>75</v>
      </c>
      <c r="Y6" s="51" t="s">
        <v>76</v>
      </c>
      <c r="Z6" s="51" t="s">
        <v>77</v>
      </c>
      <c r="AA6" s="51" t="s">
        <v>78</v>
      </c>
      <c r="AB6" s="51" t="s">
        <v>79</v>
      </c>
      <c r="AC6" s="16"/>
    </row>
    <row r="7" ht="21.0" customHeight="1">
      <c r="A7" s="52">
        <v>1.0</v>
      </c>
      <c r="B7" s="32" t="str">
        <f>IF('Chấm công'!$C8="","",'Chấm công'!$B8&amp;"")</f>
        <v>LX001</v>
      </c>
      <c r="C7" s="53" t="str">
        <f>IF('Chấm công'!$C8="","",'Chấm công'!$C8)</f>
        <v>Nguyễn Văn Thành</v>
      </c>
      <c r="D7" s="54" t="str">
        <f>IF('Chấm công'!$C8="","",'Chấm công'!$D8&amp;"")</f>
        <v>30K-555.12</v>
      </c>
      <c r="E7" s="25">
        <f>IF($C7="","",SUM('Chấm công'!AJ8:AN8))</f>
        <v>26</v>
      </c>
      <c r="F7" s="25">
        <f>IF($C7="","",'Chấm công'!AO8+'Chấm công'!AP8)</f>
        <v>0</v>
      </c>
      <c r="G7" s="25">
        <f>IF($C7="","",'Chấm công'!AQ8+'Chấm công'!AR8)</f>
        <v>0</v>
      </c>
      <c r="H7" s="26">
        <f>IF($C7="","",'Chấm công'!AV8)</f>
        <v>26</v>
      </c>
      <c r="I7" s="25">
        <f>IF($C7="","",'Chấm công'!AW8)</f>
        <v>8</v>
      </c>
      <c r="J7" s="25">
        <f>IF($C7="","",'Chấm công'!AT8)</f>
        <v>40</v>
      </c>
      <c r="K7" s="25">
        <f>IF($C7="","",'Chấm công'!AU8)</f>
        <v>0</v>
      </c>
      <c r="L7" s="55">
        <f>IF($C7="","",SUMIFS('Nhật ký hành trình'!$I$8:$I$107,'Nhật ký hành trình'!$D$8:$D$107,$C7,'Nhật ký hành trình'!$B$8:$B$107,"&gt;="&amp;DATE('Cài đặt'!$D$8,'Cài đặt'!$D$7,1),'Nhật ký hành trình'!$B$8:$B$107,"&lt;"&amp;DATE('Cài đặt'!$D$8,'Cài đặt'!$D$7+1,1)))</f>
        <v>96</v>
      </c>
      <c r="M7" s="55">
        <f>IF($C7="","",SUMIFS('Nhật ký hành trình'!$J$8:$J$107,'Nhật ký hành trình'!$D$8:$D$107,$C7,'Nhật ký hành trình'!$B$8:$B$107,"&gt;="&amp;DATE('Cài đặt'!$D$8,'Cài đặt'!$D$7,1),'Nhật ký hành trình'!$B$8:$B$107,"&lt;"&amp;DATE('Cài đặt'!$D$8,'Cài đặt'!$D$7+1,1)))</f>
        <v>2</v>
      </c>
      <c r="N7" s="55">
        <f>IF($C7="","",SUMIFS('Nhật ký hành trình'!$N$8:$N$107,'Nhật ký hành trình'!$D$8:$D$107,$C7,'Nhật ký hành trình'!$B$8:$B$107,"&gt;="&amp;DATE('Cài đặt'!$D$8,'Cài đặt'!$D$7,1),'Nhật ký hành trình'!$B$8:$B$107,"&lt;"&amp;DATE('Cài đặt'!$D$8,'Cài đặt'!$D$7+1,1)))</f>
        <v>0</v>
      </c>
      <c r="O7" s="56">
        <f>IF($C7="","",SUMIFS('Nhật ký hành trình'!$M$8:$M$107,'Nhật ký hành trình'!$D$8:$D$107,$C7,'Nhật ký hành trình'!$B$8:$B$107,"&gt;="&amp;DATE('Cài đặt'!$D$8,'Cài đặt'!$D$7,1),'Nhật ký hành trình'!$B$8:$B$107,"&lt;"&amp;DATE('Cài đặt'!$D$8,'Cài đặt'!$D$7+1,1)))</f>
        <v>-1.86</v>
      </c>
      <c r="P7" s="55">
        <f>IF($C7="","",ROUND(H7*'Cài đặt'!$D$32,0))</f>
        <v>7800000</v>
      </c>
      <c r="Q7" s="55">
        <f>IF($C7="","",ROUND(I7*('Cài đặt'!$D$32/'Cài đặt'!$D$12)*('Cài đặt'!$D$33-1),0))</f>
        <v>150000</v>
      </c>
      <c r="R7" s="55">
        <f>IF($C7="","",ROUND(J7*('Cài đặt'!$D$32/'Cài đặt'!$D$12)*('Cài đặt'!$D$34-1),0))</f>
        <v>1500000</v>
      </c>
      <c r="S7" s="55">
        <f>IF($C7="","",ROUND(K7*('Cài đặt'!$D$32/'Cài đặt'!$D$12)*('Cài đặt'!$D$35-1),0))</f>
        <v>0</v>
      </c>
      <c r="T7" s="55">
        <f>IF($C7="","",E7*'Cài đặt'!$D$36)</f>
        <v>1040000</v>
      </c>
      <c r="U7" s="55">
        <f>IF($C7="","",IF('Chấm công'!AR8=0,'Cài đặt'!$D$37,0))</f>
        <v>300000</v>
      </c>
      <c r="V7" s="55">
        <f>IF($C7="","",ROUND(L7*'Cài đặt'!$D$39,0))</f>
        <v>67200</v>
      </c>
      <c r="W7" s="55">
        <f>IF($C7="","",N7*'Cài đặt'!$D$40)</f>
        <v>0</v>
      </c>
      <c r="X7" s="55">
        <f>IF($C7="","",ROUND(O7*'Cài đặt'!$D$41*'Cài đặt'!$D$42,0))</f>
        <v>-20460</v>
      </c>
      <c r="Y7" s="57">
        <f t="shared" ref="Y7:Y26" si="1">IF($C7="","",SUM(P7:X7))</f>
        <v>10836740</v>
      </c>
      <c r="Z7" s="55">
        <f>IF($C7="","",ROUND(P7*'Cài đặt'!$D$38,0))</f>
        <v>819000</v>
      </c>
      <c r="AA7" s="58"/>
      <c r="AB7" s="59">
        <f t="shared" ref="AB7:AB26" si="2">IF($C7="","",Y7-Z7-N(AA7))</f>
        <v>10017740</v>
      </c>
      <c r="AC7" s="19"/>
    </row>
    <row r="8" ht="21.0" customHeight="1">
      <c r="A8" s="52">
        <v>2.0</v>
      </c>
      <c r="B8" s="32" t="str">
        <f>IF('Chấm công'!$C9="","",'Chấm công'!$B9&amp;"")</f>
        <v>LX002</v>
      </c>
      <c r="C8" s="53" t="str">
        <f>IF('Chấm công'!$C9="","",'Chấm công'!$C9)</f>
        <v>Trần Quốc Việt</v>
      </c>
      <c r="D8" s="54" t="str">
        <f>IF('Chấm công'!$C9="","",'Chấm công'!$D9&amp;"")</f>
        <v>30K-555.12</v>
      </c>
      <c r="E8" s="25">
        <f>IF($C8="","",SUM('Chấm công'!AJ9:AN9))</f>
        <v>25</v>
      </c>
      <c r="F8" s="25">
        <f>IF($C8="","",'Chấm công'!AO9+'Chấm công'!AP9)</f>
        <v>0</v>
      </c>
      <c r="G8" s="25">
        <f>IF($C8="","",'Chấm công'!AQ9+'Chấm công'!AR9)</f>
        <v>1</v>
      </c>
      <c r="H8" s="26">
        <f>IF($C8="","",'Chấm công'!AV9)</f>
        <v>25</v>
      </c>
      <c r="I8" s="25">
        <f>IF($C8="","",'Chấm công'!AW9)</f>
        <v>0</v>
      </c>
      <c r="J8" s="25">
        <f>IF($C8="","",'Chấm công'!AT9)</f>
        <v>40</v>
      </c>
      <c r="K8" s="25">
        <f>IF($C8="","",'Chấm công'!AU9)</f>
        <v>0</v>
      </c>
      <c r="L8" s="55">
        <f>IF($C8="","",SUMIFS('Nhật ký hành trình'!$I$8:$I$107,'Nhật ký hành trình'!$D$8:$D$107,$C8,'Nhật ký hành trình'!$B$8:$B$107,"&gt;="&amp;DATE('Cài đặt'!$D$8,'Cài đặt'!$D$7,1),'Nhật ký hành trình'!$B$8:$B$107,"&lt;"&amp;DATE('Cài đặt'!$D$8,'Cài đặt'!$D$7+1,1)))</f>
        <v>204</v>
      </c>
      <c r="M8" s="55">
        <f>IF($C8="","",SUMIFS('Nhật ký hành trình'!$J$8:$J$107,'Nhật ký hành trình'!$D$8:$D$107,$C8,'Nhật ký hành trình'!$B$8:$B$107,"&gt;="&amp;DATE('Cài đặt'!$D$8,'Cài đặt'!$D$7,1),'Nhật ký hành trình'!$B$8:$B$107,"&lt;"&amp;DATE('Cài đặt'!$D$8,'Cài đặt'!$D$7+1,1)))</f>
        <v>1</v>
      </c>
      <c r="N8" s="55">
        <f>IF($C8="","",SUMIFS('Nhật ký hành trình'!$N$8:$N$107,'Nhật ký hành trình'!$D$8:$D$107,$C8,'Nhật ký hành trình'!$B$8:$B$107,"&gt;="&amp;DATE('Cài đặt'!$D$8,'Cài đặt'!$D$7,1),'Nhật ký hành trình'!$B$8:$B$107,"&lt;"&amp;DATE('Cài đặt'!$D$8,'Cài đặt'!$D$7+1,1)))</f>
        <v>1</v>
      </c>
      <c r="O8" s="56">
        <f>IF($C8="","",SUMIFS('Nhật ký hành trình'!$M$8:$M$107,'Nhật ký hành trình'!$D$8:$D$107,$C8,'Nhật ký hành trình'!$B$8:$B$107,"&gt;="&amp;DATE('Cài đặt'!$D$8,'Cài đặt'!$D$7,1),'Nhật ký hành trình'!$B$8:$B$107,"&lt;"&amp;DATE('Cài đặt'!$D$8,'Cài đặt'!$D$7+1,1)))</f>
        <v>-1.64</v>
      </c>
      <c r="P8" s="55">
        <f>IF($C8="","",ROUND(H8*'Cài đặt'!$D$32,0))</f>
        <v>7500000</v>
      </c>
      <c r="Q8" s="55">
        <f>IF($C8="","",ROUND(I8*('Cài đặt'!$D$32/'Cài đặt'!$D$12)*('Cài đặt'!$D$33-1),0))</f>
        <v>0</v>
      </c>
      <c r="R8" s="55">
        <f>IF($C8="","",ROUND(J8*('Cài đặt'!$D$32/'Cài đặt'!$D$12)*('Cài đặt'!$D$34-1),0))</f>
        <v>1500000</v>
      </c>
      <c r="S8" s="55">
        <f>IF($C8="","",ROUND(K8*('Cài đặt'!$D$32/'Cài đặt'!$D$12)*('Cài đặt'!$D$35-1),0))</f>
        <v>0</v>
      </c>
      <c r="T8" s="55">
        <f>IF($C8="","",E8*'Cài đặt'!$D$36)</f>
        <v>1000000</v>
      </c>
      <c r="U8" s="55">
        <f>IF($C8="","",IF('Chấm công'!AR9=0,'Cài đặt'!$D$37,0))</f>
        <v>0</v>
      </c>
      <c r="V8" s="55">
        <f>IF($C8="","",ROUND(L8*'Cài đặt'!$D$39,0))</f>
        <v>142800</v>
      </c>
      <c r="W8" s="55">
        <f>IF($C8="","",N8*'Cài đặt'!$D$40)</f>
        <v>150000</v>
      </c>
      <c r="X8" s="55">
        <f>IF($C8="","",ROUND(O8*'Cài đặt'!$D$41*'Cài đặt'!$D$42,0))</f>
        <v>-18040</v>
      </c>
      <c r="Y8" s="57">
        <f t="shared" si="1"/>
        <v>10274760</v>
      </c>
      <c r="Z8" s="55">
        <f>IF($C8="","",ROUND(P8*'Cài đặt'!$D$38,0))</f>
        <v>787500</v>
      </c>
      <c r="AA8" s="58"/>
      <c r="AB8" s="59">
        <f t="shared" si="2"/>
        <v>9487260</v>
      </c>
      <c r="AC8" s="19"/>
    </row>
    <row r="9" ht="21.0" customHeight="1">
      <c r="A9" s="52">
        <v>3.0</v>
      </c>
      <c r="B9" s="32" t="str">
        <f>IF('Chấm công'!$C10="","",'Chấm công'!$B10&amp;"")</f>
        <v>LX003</v>
      </c>
      <c r="C9" s="53" t="str">
        <f>IF('Chấm công'!$C10="","",'Chấm công'!$C10)</f>
        <v>Phạm Văn Cường</v>
      </c>
      <c r="D9" s="54" t="str">
        <f>IF('Chấm công'!$C10="","",'Chấm công'!$D10&amp;"")</f>
        <v>30A-123.45</v>
      </c>
      <c r="E9" s="25">
        <f>IF($C9="","",SUM('Chấm công'!AJ10:AN10))</f>
        <v>24</v>
      </c>
      <c r="F9" s="25">
        <f>IF($C9="","",'Chấm công'!AO10+'Chấm công'!AP10)</f>
        <v>2</v>
      </c>
      <c r="G9" s="25">
        <f>IF($C9="","",'Chấm công'!AQ10+'Chấm công'!AR10)</f>
        <v>0</v>
      </c>
      <c r="H9" s="26">
        <f>IF($C9="","",'Chấm công'!AV10)</f>
        <v>26</v>
      </c>
      <c r="I9" s="25">
        <f>IF($C9="","",'Chấm công'!AW10)</f>
        <v>0</v>
      </c>
      <c r="J9" s="25">
        <f>IF($C9="","",'Chấm công'!AT10)</f>
        <v>40</v>
      </c>
      <c r="K9" s="25">
        <f>IF($C9="","",'Chấm công'!AU10)</f>
        <v>0</v>
      </c>
      <c r="L9" s="55">
        <f>IF($C9="","",SUMIFS('Nhật ký hành trình'!$I$8:$I$107,'Nhật ký hành trình'!$D$8:$D$107,$C9,'Nhật ký hành trình'!$B$8:$B$107,"&gt;="&amp;DATE('Cài đặt'!$D$8,'Cài đặt'!$D$7,1),'Nhật ký hành trình'!$B$8:$B$107,"&lt;"&amp;DATE('Cài đặt'!$D$8,'Cài đặt'!$D$7+1,1)))</f>
        <v>230</v>
      </c>
      <c r="M9" s="55">
        <f>IF($C9="","",SUMIFS('Nhật ký hành trình'!$J$8:$J$107,'Nhật ký hành trình'!$D$8:$D$107,$C9,'Nhật ký hành trình'!$B$8:$B$107,"&gt;="&amp;DATE('Cài đặt'!$D$8,'Cài đặt'!$D$7,1),'Nhật ký hành trình'!$B$8:$B$107,"&lt;"&amp;DATE('Cài đặt'!$D$8,'Cài đặt'!$D$7+1,1)))</f>
        <v>1</v>
      </c>
      <c r="N9" s="55">
        <f>IF($C9="","",SUMIFS('Nhật ký hành trình'!$N$8:$N$107,'Nhật ký hành trình'!$D$8:$D$107,$C9,'Nhật ký hành trình'!$B$8:$B$107,"&gt;="&amp;DATE('Cài đặt'!$D$8,'Cài đặt'!$D$7,1),'Nhật ký hành trình'!$B$8:$B$107,"&lt;"&amp;DATE('Cài đặt'!$D$8,'Cài đặt'!$D$7+1,1)))</f>
        <v>0</v>
      </c>
      <c r="O9" s="56">
        <f>IF($C9="","",SUMIFS('Nhật ký hành trình'!$M$8:$M$107,'Nhật ký hành trình'!$D$8:$D$107,$C9,'Nhật ký hành trình'!$B$8:$B$107,"&gt;="&amp;DATE('Cài đặt'!$D$8,'Cài đặt'!$D$7,1),'Nhật ký hành trình'!$B$8:$B$107,"&lt;"&amp;DATE('Cài đặt'!$D$8,'Cài đặt'!$D$7+1,1)))</f>
        <v>1.3</v>
      </c>
      <c r="P9" s="55">
        <f>IF($C9="","",ROUND(H9*'Cài đặt'!$D$32,0))</f>
        <v>7800000</v>
      </c>
      <c r="Q9" s="55">
        <f>IF($C9="","",ROUND(I9*('Cài đặt'!$D$32/'Cài đặt'!$D$12)*('Cài đặt'!$D$33-1),0))</f>
        <v>0</v>
      </c>
      <c r="R9" s="55">
        <f>IF($C9="","",ROUND(J9*('Cài đặt'!$D$32/'Cài đặt'!$D$12)*('Cài đặt'!$D$34-1),0))</f>
        <v>1500000</v>
      </c>
      <c r="S9" s="55">
        <f>IF($C9="","",ROUND(K9*('Cài đặt'!$D$32/'Cài đặt'!$D$12)*('Cài đặt'!$D$35-1),0))</f>
        <v>0</v>
      </c>
      <c r="T9" s="55">
        <f>IF($C9="","",E9*'Cài đặt'!$D$36)</f>
        <v>960000</v>
      </c>
      <c r="U9" s="55">
        <f>IF($C9="","",IF('Chấm công'!AR10=0,'Cài đặt'!$D$37,0))</f>
        <v>300000</v>
      </c>
      <c r="V9" s="55">
        <f>IF($C9="","",ROUND(L9*'Cài đặt'!$D$39,0))</f>
        <v>161000</v>
      </c>
      <c r="W9" s="55">
        <f>IF($C9="","",N9*'Cài đặt'!$D$40)</f>
        <v>0</v>
      </c>
      <c r="X9" s="55">
        <f>IF($C9="","",ROUND(O9*'Cài đặt'!$D$41*'Cài đặt'!$D$42,0))</f>
        <v>14300</v>
      </c>
      <c r="Y9" s="57">
        <f t="shared" si="1"/>
        <v>10735300</v>
      </c>
      <c r="Z9" s="55">
        <f>IF($C9="","",ROUND(P9*'Cài đặt'!$D$38,0))</f>
        <v>819000</v>
      </c>
      <c r="AA9" s="58"/>
      <c r="AB9" s="59">
        <f t="shared" si="2"/>
        <v>9916300</v>
      </c>
      <c r="AC9" s="19"/>
    </row>
    <row r="10" ht="21.0" customHeight="1">
      <c r="A10" s="52">
        <v>4.0</v>
      </c>
      <c r="B10" s="32" t="str">
        <f>IF('Chấm công'!$C11="","",'Chấm công'!$B11&amp;"")</f>
        <v>LX004</v>
      </c>
      <c r="C10" s="53" t="str">
        <f>IF('Chấm công'!$C11="","",'Chấm công'!$C11)</f>
        <v>Hoàng Văn Tùng</v>
      </c>
      <c r="D10" s="54" t="str">
        <f>IF('Chấm công'!$C11="","",'Chấm công'!$D11&amp;"")</f>
        <v>30A-123.45</v>
      </c>
      <c r="E10" s="25">
        <f>IF($C10="","",SUM('Chấm công'!AJ11:AN11))</f>
        <v>26</v>
      </c>
      <c r="F10" s="25">
        <f>IF($C10="","",'Chấm công'!AO11+'Chấm công'!AP11)</f>
        <v>0</v>
      </c>
      <c r="G10" s="25">
        <f>IF($C10="","",'Chấm công'!AQ11+'Chấm công'!AR11)</f>
        <v>0</v>
      </c>
      <c r="H10" s="26">
        <f>IF($C10="","",'Chấm công'!AV11)</f>
        <v>26</v>
      </c>
      <c r="I10" s="25">
        <f>IF($C10="","",'Chấm công'!AW11)</f>
        <v>8</v>
      </c>
      <c r="J10" s="25">
        <f>IF($C10="","",'Chấm công'!AT11)</f>
        <v>40</v>
      </c>
      <c r="K10" s="25">
        <f>IF($C10="","",'Chấm công'!AU11)</f>
        <v>0</v>
      </c>
      <c r="L10" s="55">
        <f>IF($C10="","",SUMIFS('Nhật ký hành trình'!$I$8:$I$107,'Nhật ký hành trình'!$D$8:$D$107,$C10,'Nhật ký hành trình'!$B$8:$B$107,"&gt;="&amp;DATE('Cài đặt'!$D$8,'Cài đặt'!$D$7,1),'Nhật ký hành trình'!$B$8:$B$107,"&lt;"&amp;DATE('Cài đặt'!$D$8,'Cài đặt'!$D$7+1,1)))</f>
        <v>260</v>
      </c>
      <c r="M10" s="55">
        <f>IF($C10="","",SUMIFS('Nhật ký hành trình'!$J$8:$J$107,'Nhật ký hành trình'!$D$8:$D$107,$C10,'Nhật ký hành trình'!$B$8:$B$107,"&gt;="&amp;DATE('Cài đặt'!$D$8,'Cài đặt'!$D$7,1),'Nhật ký hành trình'!$B$8:$B$107,"&lt;"&amp;DATE('Cài đặt'!$D$8,'Cài đặt'!$D$7+1,1)))</f>
        <v>1</v>
      </c>
      <c r="N10" s="55">
        <f>IF($C10="","",SUMIFS('Nhật ký hành trình'!$N$8:$N$107,'Nhật ký hành trình'!$D$8:$D$107,$C10,'Nhật ký hành trình'!$B$8:$B$107,"&gt;="&amp;DATE('Cài đặt'!$D$8,'Cài đặt'!$D$7,1),'Nhật ký hành trình'!$B$8:$B$107,"&lt;"&amp;DATE('Cài đặt'!$D$8,'Cài đặt'!$D$7+1,1)))</f>
        <v>0</v>
      </c>
      <c r="O10" s="56">
        <f>IF($C10="","",SUMIFS('Nhật ký hành trình'!$M$8:$M$107,'Nhật ký hành trình'!$D$8:$D$107,$C10,'Nhật ký hành trình'!$B$8:$B$107,"&gt;="&amp;DATE('Cài đặt'!$D$8,'Cài đặt'!$D$7,1),'Nhật ký hành trình'!$B$8:$B$107,"&lt;"&amp;DATE('Cài đặt'!$D$8,'Cài đặt'!$D$7+1,1)))</f>
        <v>-0.4</v>
      </c>
      <c r="P10" s="55">
        <f>IF($C10="","",ROUND(H10*'Cài đặt'!$D$32,0))</f>
        <v>7800000</v>
      </c>
      <c r="Q10" s="55">
        <f>IF($C10="","",ROUND(I10*('Cài đặt'!$D$32/'Cài đặt'!$D$12)*('Cài đặt'!$D$33-1),0))</f>
        <v>150000</v>
      </c>
      <c r="R10" s="55">
        <f>IF($C10="","",ROUND(J10*('Cài đặt'!$D$32/'Cài đặt'!$D$12)*('Cài đặt'!$D$34-1),0))</f>
        <v>1500000</v>
      </c>
      <c r="S10" s="55">
        <f>IF($C10="","",ROUND(K10*('Cài đặt'!$D$32/'Cài đặt'!$D$12)*('Cài đặt'!$D$35-1),0))</f>
        <v>0</v>
      </c>
      <c r="T10" s="55">
        <f>IF($C10="","",E10*'Cài đặt'!$D$36)</f>
        <v>1040000</v>
      </c>
      <c r="U10" s="55">
        <f>IF($C10="","",IF('Chấm công'!AR11=0,'Cài đặt'!$D$37,0))</f>
        <v>300000</v>
      </c>
      <c r="V10" s="55">
        <f>IF($C10="","",ROUND(L10*'Cài đặt'!$D$39,0))</f>
        <v>182000</v>
      </c>
      <c r="W10" s="55">
        <f>IF($C10="","",N10*'Cài đặt'!$D$40)</f>
        <v>0</v>
      </c>
      <c r="X10" s="55">
        <f>IF($C10="","",ROUND(O10*'Cài đặt'!$D$41*'Cài đặt'!$D$42,0))</f>
        <v>-4400</v>
      </c>
      <c r="Y10" s="57">
        <f t="shared" si="1"/>
        <v>10967600</v>
      </c>
      <c r="Z10" s="55">
        <f>IF($C10="","",ROUND(P10*'Cài đặt'!$D$38,0))</f>
        <v>819000</v>
      </c>
      <c r="AA10" s="58"/>
      <c r="AB10" s="59">
        <f t="shared" si="2"/>
        <v>10148600</v>
      </c>
      <c r="AC10" s="19"/>
    </row>
    <row r="11" ht="21.0" customHeight="1">
      <c r="A11" s="52">
        <v>5.0</v>
      </c>
      <c r="B11" s="32" t="str">
        <f>IF('Chấm công'!$C12="","",'Chấm công'!$B12&amp;"")</f>
        <v>LX005</v>
      </c>
      <c r="C11" s="53" t="str">
        <f>IF('Chấm công'!$C12="","",'Chấm công'!$C12)</f>
        <v>Đỗ Minh Hải</v>
      </c>
      <c r="D11" s="54" t="str">
        <f>IF('Chấm công'!$C12="","",'Chấm công'!$D12&amp;"")</f>
        <v>30F-678.90</v>
      </c>
      <c r="E11" s="25">
        <f>IF($C11="","",SUM('Chấm công'!AJ12:AN12))</f>
        <v>20</v>
      </c>
      <c r="F11" s="25">
        <f>IF($C11="","",'Chấm công'!AO12+'Chấm công'!AP12)</f>
        <v>0</v>
      </c>
      <c r="G11" s="25">
        <f>IF($C11="","",'Chấm công'!AQ12+'Chấm công'!AR12)</f>
        <v>1</v>
      </c>
      <c r="H11" s="26">
        <f>IF($C11="","",'Chấm công'!AV12)</f>
        <v>27.5</v>
      </c>
      <c r="I11" s="25">
        <f>IF($C11="","",'Chấm công'!AW12)</f>
        <v>20</v>
      </c>
      <c r="J11" s="25">
        <f>IF($C11="","",'Chấm công'!AT12)</f>
        <v>55</v>
      </c>
      <c r="K11" s="25">
        <f>IF($C11="","",'Chấm công'!AU12)</f>
        <v>0</v>
      </c>
      <c r="L11" s="55">
        <f>IF($C11="","",SUMIFS('Nhật ký hành trình'!$I$8:$I$107,'Nhật ký hành trình'!$D$8:$D$107,$C11,'Nhật ký hành trình'!$B$8:$B$107,"&gt;="&amp;DATE('Cài đặt'!$D$8,'Cài đặt'!$D$7,1),'Nhật ký hành trình'!$B$8:$B$107,"&lt;"&amp;DATE('Cài đặt'!$D$8,'Cài đặt'!$D$7+1,1)))</f>
        <v>310</v>
      </c>
      <c r="M11" s="55">
        <f>IF($C11="","",SUMIFS('Nhật ký hành trình'!$J$8:$J$107,'Nhật ký hành trình'!$D$8:$D$107,$C11,'Nhật ký hành trình'!$B$8:$B$107,"&gt;="&amp;DATE('Cài đặt'!$D$8,'Cài đặt'!$D$7,1),'Nhật ký hành trình'!$B$8:$B$107,"&lt;"&amp;DATE('Cài đặt'!$D$8,'Cài đặt'!$D$7+1,1)))</f>
        <v>1</v>
      </c>
      <c r="N11" s="55">
        <f>IF($C11="","",SUMIFS('Nhật ký hành trình'!$N$8:$N$107,'Nhật ký hành trình'!$D$8:$D$107,$C11,'Nhật ký hành trình'!$B$8:$B$107,"&gt;="&amp;DATE('Cài đặt'!$D$8,'Cài đặt'!$D$7,1),'Nhật ký hành trình'!$B$8:$B$107,"&lt;"&amp;DATE('Cài đặt'!$D$8,'Cài đặt'!$D$7+1,1)))</f>
        <v>1</v>
      </c>
      <c r="O11" s="56">
        <f>IF($C11="","",SUMIFS('Nhật ký hành trình'!$M$8:$M$107,'Nhật ký hành trình'!$D$8:$D$107,$C11,'Nhật ký hành trình'!$B$8:$B$107,"&gt;="&amp;DATE('Cài đặt'!$D$8,'Cài đặt'!$D$7,1),'Nhật ký hành trình'!$B$8:$B$107,"&lt;"&amp;DATE('Cài đặt'!$D$8,'Cài đặt'!$D$7+1,1)))</f>
        <v>-2.8</v>
      </c>
      <c r="P11" s="55">
        <f>IF($C11="","",ROUND(H11*'Cài đặt'!$D$32,0))</f>
        <v>8250000</v>
      </c>
      <c r="Q11" s="55">
        <f>IF($C11="","",ROUND(I11*('Cài đặt'!$D$32/'Cài đặt'!$D$12)*('Cài đặt'!$D$33-1),0))</f>
        <v>375000</v>
      </c>
      <c r="R11" s="55">
        <f>IF($C11="","",ROUND(J11*('Cài đặt'!$D$32/'Cài đặt'!$D$12)*('Cài đặt'!$D$34-1),0))</f>
        <v>2062500</v>
      </c>
      <c r="S11" s="55">
        <f>IF($C11="","",ROUND(K11*('Cài đặt'!$D$32/'Cài đặt'!$D$12)*('Cài đặt'!$D$35-1),0))</f>
        <v>0</v>
      </c>
      <c r="T11" s="55">
        <f>IF($C11="","",E11*'Cài đặt'!$D$36)</f>
        <v>800000</v>
      </c>
      <c r="U11" s="55">
        <f>IF($C11="","",IF('Chấm công'!AR12=0,'Cài đặt'!$D$37,0))</f>
        <v>300000</v>
      </c>
      <c r="V11" s="55">
        <f>IF($C11="","",ROUND(L11*'Cài đặt'!$D$39,0))</f>
        <v>217000</v>
      </c>
      <c r="W11" s="55">
        <f>IF($C11="","",N11*'Cài đặt'!$D$40)</f>
        <v>150000</v>
      </c>
      <c r="X11" s="55">
        <f>IF($C11="","",ROUND(O11*'Cài đặt'!$D$41*'Cài đặt'!$D$42,0))</f>
        <v>-30800</v>
      </c>
      <c r="Y11" s="57">
        <f t="shared" si="1"/>
        <v>12123700</v>
      </c>
      <c r="Z11" s="55">
        <f>IF($C11="","",ROUND(P11*'Cài đặt'!$D$38,0))</f>
        <v>866250</v>
      </c>
      <c r="AA11" s="58"/>
      <c r="AB11" s="59">
        <f t="shared" si="2"/>
        <v>11257450</v>
      </c>
      <c r="AC11" s="19"/>
    </row>
    <row r="12" ht="21.0" customHeight="1">
      <c r="A12" s="52">
        <v>6.0</v>
      </c>
      <c r="B12" s="32" t="str">
        <f>IF('Chấm công'!$C13="","",'Chấm công'!$B13&amp;"")</f>
        <v>LX006</v>
      </c>
      <c r="C12" s="53" t="str">
        <f>IF('Chấm công'!$C13="","",'Chấm công'!$C13)</f>
        <v>Lê Hữu Phước</v>
      </c>
      <c r="D12" s="54" t="str">
        <f>IF('Chấm công'!$C13="","",'Chấm công'!$D13&amp;"")</f>
        <v>29B-234.56</v>
      </c>
      <c r="E12" s="25">
        <f>IF($C12="","",SUM('Chấm công'!AJ13:AN13))</f>
        <v>20</v>
      </c>
      <c r="F12" s="25">
        <f>IF($C12="","",'Chấm công'!AO13+'Chấm công'!AP13)</f>
        <v>0</v>
      </c>
      <c r="G12" s="25">
        <f>IF($C12="","",'Chấm công'!AQ13+'Chấm công'!AR13)</f>
        <v>0</v>
      </c>
      <c r="H12" s="26">
        <f>IF($C12="","",'Chấm công'!AV13)</f>
        <v>20</v>
      </c>
      <c r="I12" s="25">
        <f>IF($C12="","",'Chấm công'!AW13)</f>
        <v>0</v>
      </c>
      <c r="J12" s="25">
        <f>IF($C12="","",'Chấm công'!AT13)</f>
        <v>0</v>
      </c>
      <c r="K12" s="25">
        <f>IF($C12="","",'Chấm công'!AU13)</f>
        <v>0</v>
      </c>
      <c r="L12" s="55">
        <f>IF($C12="","",SUMIFS('Nhật ký hành trình'!$I$8:$I$107,'Nhật ký hành trình'!$D$8:$D$107,$C12,'Nhật ký hành trình'!$B$8:$B$107,"&gt;="&amp;DATE('Cài đặt'!$D$8,'Cài đặt'!$D$7,1),'Nhật ký hành trình'!$B$8:$B$107,"&lt;"&amp;DATE('Cài đặt'!$D$8,'Cài đặt'!$D$7+1,1)))</f>
        <v>85</v>
      </c>
      <c r="M12" s="55">
        <f>IF($C12="","",SUMIFS('Nhật ký hành trình'!$J$8:$J$107,'Nhật ký hành trình'!$D$8:$D$107,$C12,'Nhật ký hành trình'!$B$8:$B$107,"&gt;="&amp;DATE('Cài đặt'!$D$8,'Cài đặt'!$D$7,1),'Nhật ký hành trình'!$B$8:$B$107,"&lt;"&amp;DATE('Cài đặt'!$D$8,'Cài đặt'!$D$7+1,1)))</f>
        <v>3</v>
      </c>
      <c r="N12" s="55">
        <f>IF($C12="","",SUMIFS('Nhật ký hành trình'!$N$8:$N$107,'Nhật ký hành trình'!$D$8:$D$107,$C12,'Nhật ký hành trình'!$B$8:$B$107,"&gt;="&amp;DATE('Cài đặt'!$D$8,'Cài đặt'!$D$7,1),'Nhật ký hành trình'!$B$8:$B$107,"&lt;"&amp;DATE('Cài đặt'!$D$8,'Cài đặt'!$D$7+1,1)))</f>
        <v>0</v>
      </c>
      <c r="O12" s="56">
        <f>IF($C12="","",SUMIFS('Nhật ký hành trình'!$M$8:$M$107,'Nhật ký hành trình'!$D$8:$D$107,$C12,'Nhật ký hành trình'!$B$8:$B$107,"&gt;="&amp;DATE('Cài đặt'!$D$8,'Cài đặt'!$D$7,1),'Nhật ký hành trình'!$B$8:$B$107,"&lt;"&amp;DATE('Cài đặt'!$D$8,'Cài đặt'!$D$7+1,1)))</f>
        <v>0.05</v>
      </c>
      <c r="P12" s="55">
        <f>IF($C12="","",ROUND(H12*'Cài đặt'!$D$32,0))</f>
        <v>6000000</v>
      </c>
      <c r="Q12" s="55">
        <f>IF($C12="","",ROUND(I12*('Cài đặt'!$D$32/'Cài đặt'!$D$12)*('Cài đặt'!$D$33-1),0))</f>
        <v>0</v>
      </c>
      <c r="R12" s="55">
        <f>IF($C12="","",ROUND(J12*('Cài đặt'!$D$32/'Cài đặt'!$D$12)*('Cài đặt'!$D$34-1),0))</f>
        <v>0</v>
      </c>
      <c r="S12" s="55">
        <f>IF($C12="","",ROUND(K12*('Cài đặt'!$D$32/'Cài đặt'!$D$12)*('Cài đặt'!$D$35-1),0))</f>
        <v>0</v>
      </c>
      <c r="T12" s="55">
        <f>IF($C12="","",E12*'Cài đặt'!$D$36)</f>
        <v>800000</v>
      </c>
      <c r="U12" s="55">
        <f>IF($C12="","",IF('Chấm công'!AR13=0,'Cài đặt'!$D$37,0))</f>
        <v>300000</v>
      </c>
      <c r="V12" s="55">
        <f>IF($C12="","",ROUND(L12*'Cài đặt'!$D$39,0))</f>
        <v>59500</v>
      </c>
      <c r="W12" s="55">
        <f>IF($C12="","",N12*'Cài đặt'!$D$40)</f>
        <v>0</v>
      </c>
      <c r="X12" s="55">
        <f>IF($C12="","",ROUND(O12*'Cài đặt'!$D$41*'Cài đặt'!$D$42,0))</f>
        <v>550</v>
      </c>
      <c r="Y12" s="57">
        <f t="shared" si="1"/>
        <v>7160050</v>
      </c>
      <c r="Z12" s="55">
        <f>IF($C12="","",ROUND(P12*'Cài đặt'!$D$38,0))</f>
        <v>630000</v>
      </c>
      <c r="AA12" s="58"/>
      <c r="AB12" s="59">
        <f t="shared" si="2"/>
        <v>6530050</v>
      </c>
      <c r="AC12" s="19"/>
    </row>
    <row r="13" ht="21.0" customHeight="1">
      <c r="A13" s="52">
        <v>7.0</v>
      </c>
      <c r="B13" s="32" t="str">
        <f>IF('Chấm công'!$C14="","",'Chấm công'!$B14&amp;"")</f>
        <v>LX007</v>
      </c>
      <c r="C13" s="53" t="str">
        <f>IF('Chấm công'!$C14="","",'Chấm công'!$C14)</f>
        <v>Vũ Đình Khoa</v>
      </c>
      <c r="D13" s="54" t="str">
        <f>IF('Chấm công'!$C14="","",'Chấm công'!$D14&amp;"")</f>
        <v>29C-777.88</v>
      </c>
      <c r="E13" s="25">
        <f>IF($C13="","",SUM('Chấm công'!AJ14:AN14))</f>
        <v>25</v>
      </c>
      <c r="F13" s="25">
        <f>IF($C13="","",'Chấm công'!AO14+'Chấm công'!AP14)</f>
        <v>0</v>
      </c>
      <c r="G13" s="25">
        <f>IF($C13="","",'Chấm công'!AQ14+'Chấm công'!AR14)</f>
        <v>0</v>
      </c>
      <c r="H13" s="26">
        <f>IF($C13="","",'Chấm công'!AV14)</f>
        <v>25</v>
      </c>
      <c r="I13" s="25">
        <f>IF($C13="","",'Chấm công'!AW14)</f>
        <v>0</v>
      </c>
      <c r="J13" s="25">
        <f>IF($C13="","",'Chấm công'!AT14)</f>
        <v>0</v>
      </c>
      <c r="K13" s="25">
        <f>IF($C13="","",'Chấm công'!AU14)</f>
        <v>0</v>
      </c>
      <c r="L13" s="55">
        <f>IF($C13="","",SUMIFS('Nhật ký hành trình'!$I$8:$I$107,'Nhật ký hành trình'!$D$8:$D$107,$C13,'Nhật ký hành trình'!$B$8:$B$107,"&gt;="&amp;DATE('Cài đặt'!$D$8,'Cài đặt'!$D$7,1),'Nhật ký hành trình'!$B$8:$B$107,"&lt;"&amp;DATE('Cài đặt'!$D$8,'Cài đặt'!$D$7+1,1)))</f>
        <v>150</v>
      </c>
      <c r="M13" s="55">
        <f>IF($C13="","",SUMIFS('Nhật ký hành trình'!$J$8:$J$107,'Nhật ký hành trình'!$D$8:$D$107,$C13,'Nhật ký hành trình'!$B$8:$B$107,"&gt;="&amp;DATE('Cài đặt'!$D$8,'Cài đặt'!$D$7,1),'Nhật ký hành trình'!$B$8:$B$107,"&lt;"&amp;DATE('Cài đặt'!$D$8,'Cài đặt'!$D$7+1,1)))</f>
        <v>2</v>
      </c>
      <c r="N13" s="55">
        <f>IF($C13="","",SUMIFS('Nhật ký hành trình'!$N$8:$N$107,'Nhật ký hành trình'!$D$8:$D$107,$C13,'Nhật ký hành trình'!$B$8:$B$107,"&gt;="&amp;DATE('Cài đặt'!$D$8,'Cài đặt'!$D$7,1),'Nhật ký hành trình'!$B$8:$B$107,"&lt;"&amp;DATE('Cài đặt'!$D$8,'Cài đặt'!$D$7+1,1)))</f>
        <v>0</v>
      </c>
      <c r="O13" s="56">
        <f>IF($C13="","",SUMIFS('Nhật ký hành trình'!$M$8:$M$107,'Nhật ký hành trình'!$D$8:$D$107,$C13,'Nhật ký hành trình'!$B$8:$B$107,"&gt;="&amp;DATE('Cài đặt'!$D$8,'Cài đặt'!$D$7,1),'Nhật ký hành trình'!$B$8:$B$107,"&lt;"&amp;DATE('Cài đặt'!$D$8,'Cài đặt'!$D$7+1,1)))</f>
        <v>0</v>
      </c>
      <c r="P13" s="55">
        <f>IF($C13="","",ROUND(H13*'Cài đặt'!$D$32,0))</f>
        <v>7500000</v>
      </c>
      <c r="Q13" s="55">
        <f>IF($C13="","",ROUND(I13*('Cài đặt'!$D$32/'Cài đặt'!$D$12)*('Cài đặt'!$D$33-1),0))</f>
        <v>0</v>
      </c>
      <c r="R13" s="55">
        <f>IF($C13="","",ROUND(J13*('Cài đặt'!$D$32/'Cài đặt'!$D$12)*('Cài đặt'!$D$34-1),0))</f>
        <v>0</v>
      </c>
      <c r="S13" s="55">
        <f>IF($C13="","",ROUND(K13*('Cài đặt'!$D$32/'Cài đặt'!$D$12)*('Cài đặt'!$D$35-1),0))</f>
        <v>0</v>
      </c>
      <c r="T13" s="55">
        <f>IF($C13="","",E13*'Cài đặt'!$D$36)</f>
        <v>1000000</v>
      </c>
      <c r="U13" s="55">
        <f>IF($C13="","",IF('Chấm công'!AR14=0,'Cài đặt'!$D$37,0))</f>
        <v>300000</v>
      </c>
      <c r="V13" s="55">
        <f>IF($C13="","",ROUND(L13*'Cài đặt'!$D$39,0))</f>
        <v>105000</v>
      </c>
      <c r="W13" s="55">
        <f>IF($C13="","",N13*'Cài đặt'!$D$40)</f>
        <v>0</v>
      </c>
      <c r="X13" s="55">
        <f>IF($C13="","",ROUND(O13*'Cài đặt'!$D$41*'Cài đặt'!$D$42,0))</f>
        <v>0</v>
      </c>
      <c r="Y13" s="57">
        <f t="shared" si="1"/>
        <v>8905000</v>
      </c>
      <c r="Z13" s="55">
        <f>IF($C13="","",ROUND(P13*'Cài đặt'!$D$38,0))</f>
        <v>787500</v>
      </c>
      <c r="AA13" s="58"/>
      <c r="AB13" s="59">
        <f t="shared" si="2"/>
        <v>8117500</v>
      </c>
      <c r="AC13" s="19"/>
    </row>
    <row r="14" ht="21.0" customHeight="1">
      <c r="A14" s="52">
        <v>8.0</v>
      </c>
      <c r="B14" s="32" t="str">
        <f>IF('Chấm công'!$C15="","",'Chấm công'!$B15&amp;"")</f>
        <v>LX008</v>
      </c>
      <c r="C14" s="53" t="str">
        <f>IF('Chấm công'!$C15="","",'Chấm công'!$C15)</f>
        <v>Bùi Xuân Trường</v>
      </c>
      <c r="D14" s="54" t="str">
        <f>IF('Chấm công'!$C15="","",'Chấm công'!$D15&amp;"")</f>
        <v>29C-777.88</v>
      </c>
      <c r="E14" s="25">
        <f>IF($C14="","",SUM('Chấm công'!AJ15:AN15))</f>
        <v>26</v>
      </c>
      <c r="F14" s="25">
        <f>IF($C14="","",'Chấm công'!AO15+'Chấm công'!AP15)</f>
        <v>0</v>
      </c>
      <c r="G14" s="25">
        <f>IF($C14="","",'Chấm công'!AQ15+'Chấm công'!AR15)</f>
        <v>0</v>
      </c>
      <c r="H14" s="26">
        <f>IF($C14="","",'Chấm công'!AV15)</f>
        <v>26</v>
      </c>
      <c r="I14" s="25">
        <f>IF($C14="","",'Chấm công'!AW15)</f>
        <v>8</v>
      </c>
      <c r="J14" s="25">
        <f>IF($C14="","",'Chấm công'!AT15)</f>
        <v>40</v>
      </c>
      <c r="K14" s="25">
        <f>IF($C14="","",'Chấm công'!AU15)</f>
        <v>0</v>
      </c>
      <c r="L14" s="55">
        <f>IF($C14="","",SUMIFS('Nhật ký hành trình'!$I$8:$I$107,'Nhật ký hành trình'!$D$8:$D$107,$C14,'Nhật ký hành trình'!$B$8:$B$107,"&gt;="&amp;DATE('Cài đặt'!$D$8,'Cài đặt'!$D$7,1),'Nhật ký hành trình'!$B$8:$B$107,"&lt;"&amp;DATE('Cài đặt'!$D$8,'Cài đặt'!$D$7+1,1)))</f>
        <v>180</v>
      </c>
      <c r="M14" s="55">
        <f>IF($C14="","",SUMIFS('Nhật ký hành trình'!$J$8:$J$107,'Nhật ký hành trình'!$D$8:$D$107,$C14,'Nhật ký hành trình'!$B$8:$B$107,"&gt;="&amp;DATE('Cài đặt'!$D$8,'Cài đặt'!$D$7,1),'Nhật ký hành trình'!$B$8:$B$107,"&lt;"&amp;DATE('Cài đặt'!$D$8,'Cài đặt'!$D$7+1,1)))</f>
        <v>2</v>
      </c>
      <c r="N14" s="55">
        <f>IF($C14="","",SUMIFS('Nhật ký hành trình'!$N$8:$N$107,'Nhật ký hành trình'!$D$8:$D$107,$C14,'Nhật ký hành trình'!$B$8:$B$107,"&gt;="&amp;DATE('Cài đặt'!$D$8,'Cài đặt'!$D$7,1),'Nhật ký hành trình'!$B$8:$B$107,"&lt;"&amp;DATE('Cài đặt'!$D$8,'Cài đặt'!$D$7+1,1)))</f>
        <v>0</v>
      </c>
      <c r="O14" s="56">
        <f>IF($C14="","",SUMIFS('Nhật ký hành trình'!$M$8:$M$107,'Nhật ký hành trình'!$D$8:$D$107,$C14,'Nhật ký hành trình'!$B$8:$B$107,"&gt;="&amp;DATE('Cài đặt'!$D$8,'Cài đặt'!$D$7,1),'Nhật ký hành trình'!$B$8:$B$107,"&lt;"&amp;DATE('Cài đặt'!$D$8,'Cài đặt'!$D$7+1,1)))</f>
        <v>-1.3</v>
      </c>
      <c r="P14" s="55">
        <f>IF($C14="","",ROUND(H14*'Cài đặt'!$D$32,0))</f>
        <v>7800000</v>
      </c>
      <c r="Q14" s="55">
        <f>IF($C14="","",ROUND(I14*('Cài đặt'!$D$32/'Cài đặt'!$D$12)*('Cài đặt'!$D$33-1),0))</f>
        <v>150000</v>
      </c>
      <c r="R14" s="55">
        <f>IF($C14="","",ROUND(J14*('Cài đặt'!$D$32/'Cài đặt'!$D$12)*('Cài đặt'!$D$34-1),0))</f>
        <v>1500000</v>
      </c>
      <c r="S14" s="55">
        <f>IF($C14="","",ROUND(K14*('Cài đặt'!$D$32/'Cài đặt'!$D$12)*('Cài đặt'!$D$35-1),0))</f>
        <v>0</v>
      </c>
      <c r="T14" s="55">
        <f>IF($C14="","",E14*'Cài đặt'!$D$36)</f>
        <v>1040000</v>
      </c>
      <c r="U14" s="55">
        <f>IF($C14="","",IF('Chấm công'!AR15=0,'Cài đặt'!$D$37,0))</f>
        <v>300000</v>
      </c>
      <c r="V14" s="55">
        <f>IF($C14="","",ROUND(L14*'Cài đặt'!$D$39,0))</f>
        <v>126000</v>
      </c>
      <c r="W14" s="55">
        <f>IF($C14="","",N14*'Cài đặt'!$D$40)</f>
        <v>0</v>
      </c>
      <c r="X14" s="55">
        <f>IF($C14="","",ROUND(O14*'Cài đặt'!$D$41*'Cài đặt'!$D$42,0))</f>
        <v>-14300</v>
      </c>
      <c r="Y14" s="57">
        <f t="shared" si="1"/>
        <v>10901700</v>
      </c>
      <c r="Z14" s="55">
        <f>IF($C14="","",ROUND(P14*'Cài đặt'!$D$38,0))</f>
        <v>819000</v>
      </c>
      <c r="AA14" s="58"/>
      <c r="AB14" s="59">
        <f t="shared" si="2"/>
        <v>10082700</v>
      </c>
      <c r="AC14" s="19"/>
    </row>
    <row r="15" ht="21.0" customHeight="1">
      <c r="A15" s="52">
        <v>9.0</v>
      </c>
      <c r="B15" s="32" t="str">
        <f>IF('Chấm công'!$C16="","",'Chấm công'!$B16&amp;"")</f>
        <v/>
      </c>
      <c r="C15" s="53" t="str">
        <f>IF('Chấm công'!$C16="","",'Chấm công'!$C16)</f>
        <v/>
      </c>
      <c r="D15" s="54" t="str">
        <f>IF('Chấm công'!$C16="","",'Chấm công'!$D16&amp;"")</f>
        <v/>
      </c>
      <c r="E15" s="25" t="str">
        <f>IF($C15="","",SUM('Chấm công'!AJ16:AN16))</f>
        <v/>
      </c>
      <c r="F15" s="25" t="str">
        <f>IF($C15="","",'Chấm công'!AO16+'Chấm công'!AP16)</f>
        <v/>
      </c>
      <c r="G15" s="25" t="str">
        <f>IF($C15="","",'Chấm công'!AQ16+'Chấm công'!AR16)</f>
        <v/>
      </c>
      <c r="H15" s="26" t="str">
        <f>IF($C15="","",'Chấm công'!AV16)</f>
        <v/>
      </c>
      <c r="I15" s="25" t="str">
        <f>IF($C15="","",'Chấm công'!AW16)</f>
        <v/>
      </c>
      <c r="J15" s="25" t="str">
        <f>IF($C15="","",'Chấm công'!AT16)</f>
        <v/>
      </c>
      <c r="K15" s="25" t="str">
        <f>IF($C15="","",'Chấm công'!AU16)</f>
        <v/>
      </c>
      <c r="L15" s="55" t="str">
        <f>IF($C15="","",SUMIFS('Nhật ký hành trình'!$I$8:$I$107,'Nhật ký hành trình'!$D$8:$D$107,$C15,'Nhật ký hành trình'!$B$8:$B$107,"&gt;="&amp;DATE('Cài đặt'!$D$8,'Cài đặt'!$D$7,1),'Nhật ký hành trình'!$B$8:$B$107,"&lt;"&amp;DATE('Cài đặt'!$D$8,'Cài đặt'!$D$7+1,1)))</f>
        <v/>
      </c>
      <c r="M15" s="55" t="str">
        <f>IF($C15="","",SUMIFS('Nhật ký hành trình'!$J$8:$J$107,'Nhật ký hành trình'!$D$8:$D$107,$C15,'Nhật ký hành trình'!$B$8:$B$107,"&gt;="&amp;DATE('Cài đặt'!$D$8,'Cài đặt'!$D$7,1),'Nhật ký hành trình'!$B$8:$B$107,"&lt;"&amp;DATE('Cài đặt'!$D$8,'Cài đặt'!$D$7+1,1)))</f>
        <v/>
      </c>
      <c r="N15" s="55" t="str">
        <f>IF($C15="","",SUMIFS('Nhật ký hành trình'!$N$8:$N$107,'Nhật ký hành trình'!$D$8:$D$107,$C15,'Nhật ký hành trình'!$B$8:$B$107,"&gt;="&amp;DATE('Cài đặt'!$D$8,'Cài đặt'!$D$7,1),'Nhật ký hành trình'!$B$8:$B$107,"&lt;"&amp;DATE('Cài đặt'!$D$8,'Cài đặt'!$D$7+1,1)))</f>
        <v/>
      </c>
      <c r="O15" s="56" t="str">
        <f>IF($C15="","",SUMIFS('Nhật ký hành trình'!$M$8:$M$107,'Nhật ký hành trình'!$D$8:$D$107,$C15,'Nhật ký hành trình'!$B$8:$B$107,"&gt;="&amp;DATE('Cài đặt'!$D$8,'Cài đặt'!$D$7,1),'Nhật ký hành trình'!$B$8:$B$107,"&lt;"&amp;DATE('Cài đặt'!$D$8,'Cài đặt'!$D$7+1,1)))</f>
        <v/>
      </c>
      <c r="P15" s="55" t="str">
        <f>IF($C15="","",ROUND(H15*'Cài đặt'!$D$32,0))</f>
        <v/>
      </c>
      <c r="Q15" s="55" t="str">
        <f>IF($C15="","",ROUND(I15*('Cài đặt'!$D$32/'Cài đặt'!$D$12)*('Cài đặt'!$D$33-1),0))</f>
        <v/>
      </c>
      <c r="R15" s="55" t="str">
        <f>IF($C15="","",ROUND(J15*('Cài đặt'!$D$32/'Cài đặt'!$D$12)*('Cài đặt'!$D$34-1),0))</f>
        <v/>
      </c>
      <c r="S15" s="55" t="str">
        <f>IF($C15="","",ROUND(K15*('Cài đặt'!$D$32/'Cài đặt'!$D$12)*('Cài đặt'!$D$35-1),0))</f>
        <v/>
      </c>
      <c r="T15" s="55" t="str">
        <f>IF($C15="","",E15*'Cài đặt'!$D$36)</f>
        <v/>
      </c>
      <c r="U15" s="55" t="str">
        <f>IF($C15="","",IF('Chấm công'!AR16=0,'Cài đặt'!$D$37,0))</f>
        <v/>
      </c>
      <c r="V15" s="55" t="str">
        <f>IF($C15="","",ROUND(L15*'Cài đặt'!$D$39,0))</f>
        <v/>
      </c>
      <c r="W15" s="55" t="str">
        <f>IF($C15="","",N15*'Cài đặt'!$D$40)</f>
        <v/>
      </c>
      <c r="X15" s="55" t="str">
        <f>IF($C15="","",ROUND(O15*'Cài đặt'!$D$41*'Cài đặt'!$D$42,0))</f>
        <v/>
      </c>
      <c r="Y15" s="57" t="str">
        <f t="shared" si="1"/>
        <v/>
      </c>
      <c r="Z15" s="55" t="str">
        <f>IF($C15="","",ROUND(P15*'Cài đặt'!$D$38,0))</f>
        <v/>
      </c>
      <c r="AA15" s="58"/>
      <c r="AB15" s="59" t="str">
        <f t="shared" si="2"/>
        <v/>
      </c>
      <c r="AC15" s="19"/>
    </row>
    <row r="16" ht="21.0" customHeight="1">
      <c r="A16" s="52">
        <v>10.0</v>
      </c>
      <c r="B16" s="32" t="str">
        <f>IF('Chấm công'!$C17="","",'Chấm công'!$B17&amp;"")</f>
        <v/>
      </c>
      <c r="C16" s="53" t="str">
        <f>IF('Chấm công'!$C17="","",'Chấm công'!$C17)</f>
        <v/>
      </c>
      <c r="D16" s="54" t="str">
        <f>IF('Chấm công'!$C17="","",'Chấm công'!$D17&amp;"")</f>
        <v/>
      </c>
      <c r="E16" s="25" t="str">
        <f>IF($C16="","",SUM('Chấm công'!AJ17:AN17))</f>
        <v/>
      </c>
      <c r="F16" s="25" t="str">
        <f>IF($C16="","",'Chấm công'!AO17+'Chấm công'!AP17)</f>
        <v/>
      </c>
      <c r="G16" s="25" t="str">
        <f>IF($C16="","",'Chấm công'!AQ17+'Chấm công'!AR17)</f>
        <v/>
      </c>
      <c r="H16" s="26" t="str">
        <f>IF($C16="","",'Chấm công'!AV17)</f>
        <v/>
      </c>
      <c r="I16" s="25" t="str">
        <f>IF($C16="","",'Chấm công'!AW17)</f>
        <v/>
      </c>
      <c r="J16" s="25" t="str">
        <f>IF($C16="","",'Chấm công'!AT17)</f>
        <v/>
      </c>
      <c r="K16" s="25" t="str">
        <f>IF($C16="","",'Chấm công'!AU17)</f>
        <v/>
      </c>
      <c r="L16" s="55" t="str">
        <f>IF($C16="","",SUMIFS('Nhật ký hành trình'!$I$8:$I$107,'Nhật ký hành trình'!$D$8:$D$107,$C16,'Nhật ký hành trình'!$B$8:$B$107,"&gt;="&amp;DATE('Cài đặt'!$D$8,'Cài đặt'!$D$7,1),'Nhật ký hành trình'!$B$8:$B$107,"&lt;"&amp;DATE('Cài đặt'!$D$8,'Cài đặt'!$D$7+1,1)))</f>
        <v/>
      </c>
      <c r="M16" s="55" t="str">
        <f>IF($C16="","",SUMIFS('Nhật ký hành trình'!$J$8:$J$107,'Nhật ký hành trình'!$D$8:$D$107,$C16,'Nhật ký hành trình'!$B$8:$B$107,"&gt;="&amp;DATE('Cài đặt'!$D$8,'Cài đặt'!$D$7,1),'Nhật ký hành trình'!$B$8:$B$107,"&lt;"&amp;DATE('Cài đặt'!$D$8,'Cài đặt'!$D$7+1,1)))</f>
        <v/>
      </c>
      <c r="N16" s="55" t="str">
        <f>IF($C16="","",SUMIFS('Nhật ký hành trình'!$N$8:$N$107,'Nhật ký hành trình'!$D$8:$D$107,$C16,'Nhật ký hành trình'!$B$8:$B$107,"&gt;="&amp;DATE('Cài đặt'!$D$8,'Cài đặt'!$D$7,1),'Nhật ký hành trình'!$B$8:$B$107,"&lt;"&amp;DATE('Cài đặt'!$D$8,'Cài đặt'!$D$7+1,1)))</f>
        <v/>
      </c>
      <c r="O16" s="56" t="str">
        <f>IF($C16="","",SUMIFS('Nhật ký hành trình'!$M$8:$M$107,'Nhật ký hành trình'!$D$8:$D$107,$C16,'Nhật ký hành trình'!$B$8:$B$107,"&gt;="&amp;DATE('Cài đặt'!$D$8,'Cài đặt'!$D$7,1),'Nhật ký hành trình'!$B$8:$B$107,"&lt;"&amp;DATE('Cài đặt'!$D$8,'Cài đặt'!$D$7+1,1)))</f>
        <v/>
      </c>
      <c r="P16" s="55" t="str">
        <f>IF($C16="","",ROUND(H16*'Cài đặt'!$D$32,0))</f>
        <v/>
      </c>
      <c r="Q16" s="55" t="str">
        <f>IF($C16="","",ROUND(I16*('Cài đặt'!$D$32/'Cài đặt'!$D$12)*('Cài đặt'!$D$33-1),0))</f>
        <v/>
      </c>
      <c r="R16" s="55" t="str">
        <f>IF($C16="","",ROUND(J16*('Cài đặt'!$D$32/'Cài đặt'!$D$12)*('Cài đặt'!$D$34-1),0))</f>
        <v/>
      </c>
      <c r="S16" s="55" t="str">
        <f>IF($C16="","",ROUND(K16*('Cài đặt'!$D$32/'Cài đặt'!$D$12)*('Cài đặt'!$D$35-1),0))</f>
        <v/>
      </c>
      <c r="T16" s="55" t="str">
        <f>IF($C16="","",E16*'Cài đặt'!$D$36)</f>
        <v/>
      </c>
      <c r="U16" s="55" t="str">
        <f>IF($C16="","",IF('Chấm công'!AR17=0,'Cài đặt'!$D$37,0))</f>
        <v/>
      </c>
      <c r="V16" s="55" t="str">
        <f>IF($C16="","",ROUND(L16*'Cài đặt'!$D$39,0))</f>
        <v/>
      </c>
      <c r="W16" s="55" t="str">
        <f>IF($C16="","",N16*'Cài đặt'!$D$40)</f>
        <v/>
      </c>
      <c r="X16" s="55" t="str">
        <f>IF($C16="","",ROUND(O16*'Cài đặt'!$D$41*'Cài đặt'!$D$42,0))</f>
        <v/>
      </c>
      <c r="Y16" s="57" t="str">
        <f t="shared" si="1"/>
        <v/>
      </c>
      <c r="Z16" s="55" t="str">
        <f>IF($C16="","",ROUND(P16*'Cài đặt'!$D$38,0))</f>
        <v/>
      </c>
      <c r="AA16" s="58"/>
      <c r="AB16" s="59" t="str">
        <f t="shared" si="2"/>
        <v/>
      </c>
      <c r="AC16" s="19"/>
    </row>
    <row r="17" ht="21.0" customHeight="1">
      <c r="A17" s="52">
        <v>11.0</v>
      </c>
      <c r="B17" s="32" t="str">
        <f>IF('Chấm công'!$C18="","",'Chấm công'!$B18&amp;"")</f>
        <v/>
      </c>
      <c r="C17" s="53" t="str">
        <f>IF('Chấm công'!$C18="","",'Chấm công'!$C18)</f>
        <v/>
      </c>
      <c r="D17" s="54" t="str">
        <f>IF('Chấm công'!$C18="","",'Chấm công'!$D18&amp;"")</f>
        <v/>
      </c>
      <c r="E17" s="25" t="str">
        <f>IF($C17="","",SUM('Chấm công'!AJ18:AN18))</f>
        <v/>
      </c>
      <c r="F17" s="25" t="str">
        <f>IF($C17="","",'Chấm công'!AO18+'Chấm công'!AP18)</f>
        <v/>
      </c>
      <c r="G17" s="25" t="str">
        <f>IF($C17="","",'Chấm công'!AQ18+'Chấm công'!AR18)</f>
        <v/>
      </c>
      <c r="H17" s="26" t="str">
        <f>IF($C17="","",'Chấm công'!AV18)</f>
        <v/>
      </c>
      <c r="I17" s="25" t="str">
        <f>IF($C17="","",'Chấm công'!AW18)</f>
        <v/>
      </c>
      <c r="J17" s="25" t="str">
        <f>IF($C17="","",'Chấm công'!AT18)</f>
        <v/>
      </c>
      <c r="K17" s="25" t="str">
        <f>IF($C17="","",'Chấm công'!AU18)</f>
        <v/>
      </c>
      <c r="L17" s="55" t="str">
        <f>IF($C17="","",SUMIFS('Nhật ký hành trình'!$I$8:$I$107,'Nhật ký hành trình'!$D$8:$D$107,$C17,'Nhật ký hành trình'!$B$8:$B$107,"&gt;="&amp;DATE('Cài đặt'!$D$8,'Cài đặt'!$D$7,1),'Nhật ký hành trình'!$B$8:$B$107,"&lt;"&amp;DATE('Cài đặt'!$D$8,'Cài đặt'!$D$7+1,1)))</f>
        <v/>
      </c>
      <c r="M17" s="55" t="str">
        <f>IF($C17="","",SUMIFS('Nhật ký hành trình'!$J$8:$J$107,'Nhật ký hành trình'!$D$8:$D$107,$C17,'Nhật ký hành trình'!$B$8:$B$107,"&gt;="&amp;DATE('Cài đặt'!$D$8,'Cài đặt'!$D$7,1),'Nhật ký hành trình'!$B$8:$B$107,"&lt;"&amp;DATE('Cài đặt'!$D$8,'Cài đặt'!$D$7+1,1)))</f>
        <v/>
      </c>
      <c r="N17" s="55" t="str">
        <f>IF($C17="","",SUMIFS('Nhật ký hành trình'!$N$8:$N$107,'Nhật ký hành trình'!$D$8:$D$107,$C17,'Nhật ký hành trình'!$B$8:$B$107,"&gt;="&amp;DATE('Cài đặt'!$D$8,'Cài đặt'!$D$7,1),'Nhật ký hành trình'!$B$8:$B$107,"&lt;"&amp;DATE('Cài đặt'!$D$8,'Cài đặt'!$D$7+1,1)))</f>
        <v/>
      </c>
      <c r="O17" s="56" t="str">
        <f>IF($C17="","",SUMIFS('Nhật ký hành trình'!$M$8:$M$107,'Nhật ký hành trình'!$D$8:$D$107,$C17,'Nhật ký hành trình'!$B$8:$B$107,"&gt;="&amp;DATE('Cài đặt'!$D$8,'Cài đặt'!$D$7,1),'Nhật ký hành trình'!$B$8:$B$107,"&lt;"&amp;DATE('Cài đặt'!$D$8,'Cài đặt'!$D$7+1,1)))</f>
        <v/>
      </c>
      <c r="P17" s="55" t="str">
        <f>IF($C17="","",ROUND(H17*'Cài đặt'!$D$32,0))</f>
        <v/>
      </c>
      <c r="Q17" s="55" t="str">
        <f>IF($C17="","",ROUND(I17*('Cài đặt'!$D$32/'Cài đặt'!$D$12)*('Cài đặt'!$D$33-1),0))</f>
        <v/>
      </c>
      <c r="R17" s="55" t="str">
        <f>IF($C17="","",ROUND(J17*('Cài đặt'!$D$32/'Cài đặt'!$D$12)*('Cài đặt'!$D$34-1),0))</f>
        <v/>
      </c>
      <c r="S17" s="55" t="str">
        <f>IF($C17="","",ROUND(K17*('Cài đặt'!$D$32/'Cài đặt'!$D$12)*('Cài đặt'!$D$35-1),0))</f>
        <v/>
      </c>
      <c r="T17" s="55" t="str">
        <f>IF($C17="","",E17*'Cài đặt'!$D$36)</f>
        <v/>
      </c>
      <c r="U17" s="55" t="str">
        <f>IF($C17="","",IF('Chấm công'!AR18=0,'Cài đặt'!$D$37,0))</f>
        <v/>
      </c>
      <c r="V17" s="55" t="str">
        <f>IF($C17="","",ROUND(L17*'Cài đặt'!$D$39,0))</f>
        <v/>
      </c>
      <c r="W17" s="55" t="str">
        <f>IF($C17="","",N17*'Cài đặt'!$D$40)</f>
        <v/>
      </c>
      <c r="X17" s="55" t="str">
        <f>IF($C17="","",ROUND(O17*'Cài đặt'!$D$41*'Cài đặt'!$D$42,0))</f>
        <v/>
      </c>
      <c r="Y17" s="57" t="str">
        <f t="shared" si="1"/>
        <v/>
      </c>
      <c r="Z17" s="55" t="str">
        <f>IF($C17="","",ROUND(P17*'Cài đặt'!$D$38,0))</f>
        <v/>
      </c>
      <c r="AA17" s="58"/>
      <c r="AB17" s="59" t="str">
        <f t="shared" si="2"/>
        <v/>
      </c>
      <c r="AC17" s="19"/>
    </row>
    <row r="18" ht="21.0" customHeight="1">
      <c r="A18" s="52">
        <v>12.0</v>
      </c>
      <c r="B18" s="32" t="str">
        <f>IF('Chấm công'!$C19="","",'Chấm công'!$B19&amp;"")</f>
        <v/>
      </c>
      <c r="C18" s="53" t="str">
        <f>IF('Chấm công'!$C19="","",'Chấm công'!$C19)</f>
        <v/>
      </c>
      <c r="D18" s="54" t="str">
        <f>IF('Chấm công'!$C19="","",'Chấm công'!$D19&amp;"")</f>
        <v/>
      </c>
      <c r="E18" s="25" t="str">
        <f>IF($C18="","",SUM('Chấm công'!AJ19:AN19))</f>
        <v/>
      </c>
      <c r="F18" s="25" t="str">
        <f>IF($C18="","",'Chấm công'!AO19+'Chấm công'!AP19)</f>
        <v/>
      </c>
      <c r="G18" s="25" t="str">
        <f>IF($C18="","",'Chấm công'!AQ19+'Chấm công'!AR19)</f>
        <v/>
      </c>
      <c r="H18" s="26" t="str">
        <f>IF($C18="","",'Chấm công'!AV19)</f>
        <v/>
      </c>
      <c r="I18" s="25" t="str">
        <f>IF($C18="","",'Chấm công'!AW19)</f>
        <v/>
      </c>
      <c r="J18" s="25" t="str">
        <f>IF($C18="","",'Chấm công'!AT19)</f>
        <v/>
      </c>
      <c r="K18" s="25" t="str">
        <f>IF($C18="","",'Chấm công'!AU19)</f>
        <v/>
      </c>
      <c r="L18" s="55" t="str">
        <f>IF($C18="","",SUMIFS('Nhật ký hành trình'!$I$8:$I$107,'Nhật ký hành trình'!$D$8:$D$107,$C18,'Nhật ký hành trình'!$B$8:$B$107,"&gt;="&amp;DATE('Cài đặt'!$D$8,'Cài đặt'!$D$7,1),'Nhật ký hành trình'!$B$8:$B$107,"&lt;"&amp;DATE('Cài đặt'!$D$8,'Cài đặt'!$D$7+1,1)))</f>
        <v/>
      </c>
      <c r="M18" s="55" t="str">
        <f>IF($C18="","",SUMIFS('Nhật ký hành trình'!$J$8:$J$107,'Nhật ký hành trình'!$D$8:$D$107,$C18,'Nhật ký hành trình'!$B$8:$B$107,"&gt;="&amp;DATE('Cài đặt'!$D$8,'Cài đặt'!$D$7,1),'Nhật ký hành trình'!$B$8:$B$107,"&lt;"&amp;DATE('Cài đặt'!$D$8,'Cài đặt'!$D$7+1,1)))</f>
        <v/>
      </c>
      <c r="N18" s="55" t="str">
        <f>IF($C18="","",SUMIFS('Nhật ký hành trình'!$N$8:$N$107,'Nhật ký hành trình'!$D$8:$D$107,$C18,'Nhật ký hành trình'!$B$8:$B$107,"&gt;="&amp;DATE('Cài đặt'!$D$8,'Cài đặt'!$D$7,1),'Nhật ký hành trình'!$B$8:$B$107,"&lt;"&amp;DATE('Cài đặt'!$D$8,'Cài đặt'!$D$7+1,1)))</f>
        <v/>
      </c>
      <c r="O18" s="56" t="str">
        <f>IF($C18="","",SUMIFS('Nhật ký hành trình'!$M$8:$M$107,'Nhật ký hành trình'!$D$8:$D$107,$C18,'Nhật ký hành trình'!$B$8:$B$107,"&gt;="&amp;DATE('Cài đặt'!$D$8,'Cài đặt'!$D$7,1),'Nhật ký hành trình'!$B$8:$B$107,"&lt;"&amp;DATE('Cài đặt'!$D$8,'Cài đặt'!$D$7+1,1)))</f>
        <v/>
      </c>
      <c r="P18" s="55" t="str">
        <f>IF($C18="","",ROUND(H18*'Cài đặt'!$D$32,0))</f>
        <v/>
      </c>
      <c r="Q18" s="55" t="str">
        <f>IF($C18="","",ROUND(I18*('Cài đặt'!$D$32/'Cài đặt'!$D$12)*('Cài đặt'!$D$33-1),0))</f>
        <v/>
      </c>
      <c r="R18" s="55" t="str">
        <f>IF($C18="","",ROUND(J18*('Cài đặt'!$D$32/'Cài đặt'!$D$12)*('Cài đặt'!$D$34-1),0))</f>
        <v/>
      </c>
      <c r="S18" s="55" t="str">
        <f>IF($C18="","",ROUND(K18*('Cài đặt'!$D$32/'Cài đặt'!$D$12)*('Cài đặt'!$D$35-1),0))</f>
        <v/>
      </c>
      <c r="T18" s="55" t="str">
        <f>IF($C18="","",E18*'Cài đặt'!$D$36)</f>
        <v/>
      </c>
      <c r="U18" s="55" t="str">
        <f>IF($C18="","",IF('Chấm công'!AR19=0,'Cài đặt'!$D$37,0))</f>
        <v/>
      </c>
      <c r="V18" s="55" t="str">
        <f>IF($C18="","",ROUND(L18*'Cài đặt'!$D$39,0))</f>
        <v/>
      </c>
      <c r="W18" s="55" t="str">
        <f>IF($C18="","",N18*'Cài đặt'!$D$40)</f>
        <v/>
      </c>
      <c r="X18" s="55" t="str">
        <f>IF($C18="","",ROUND(O18*'Cài đặt'!$D$41*'Cài đặt'!$D$42,0))</f>
        <v/>
      </c>
      <c r="Y18" s="57" t="str">
        <f t="shared" si="1"/>
        <v/>
      </c>
      <c r="Z18" s="55" t="str">
        <f>IF($C18="","",ROUND(P18*'Cài đặt'!$D$38,0))</f>
        <v/>
      </c>
      <c r="AA18" s="58"/>
      <c r="AB18" s="59" t="str">
        <f t="shared" si="2"/>
        <v/>
      </c>
      <c r="AC18" s="19"/>
    </row>
    <row r="19" ht="21.0" customHeight="1">
      <c r="A19" s="52">
        <v>13.0</v>
      </c>
      <c r="B19" s="32" t="str">
        <f>IF('Chấm công'!$C20="","",'Chấm công'!$B20&amp;"")</f>
        <v/>
      </c>
      <c r="C19" s="53" t="str">
        <f>IF('Chấm công'!$C20="","",'Chấm công'!$C20)</f>
        <v/>
      </c>
      <c r="D19" s="54" t="str">
        <f>IF('Chấm công'!$C20="","",'Chấm công'!$D20&amp;"")</f>
        <v/>
      </c>
      <c r="E19" s="25" t="str">
        <f>IF($C19="","",SUM('Chấm công'!AJ20:AN20))</f>
        <v/>
      </c>
      <c r="F19" s="25" t="str">
        <f>IF($C19="","",'Chấm công'!AO20+'Chấm công'!AP20)</f>
        <v/>
      </c>
      <c r="G19" s="25" t="str">
        <f>IF($C19="","",'Chấm công'!AQ20+'Chấm công'!AR20)</f>
        <v/>
      </c>
      <c r="H19" s="26" t="str">
        <f>IF($C19="","",'Chấm công'!AV20)</f>
        <v/>
      </c>
      <c r="I19" s="25" t="str">
        <f>IF($C19="","",'Chấm công'!AW20)</f>
        <v/>
      </c>
      <c r="J19" s="25" t="str">
        <f>IF($C19="","",'Chấm công'!AT20)</f>
        <v/>
      </c>
      <c r="K19" s="25" t="str">
        <f>IF($C19="","",'Chấm công'!AU20)</f>
        <v/>
      </c>
      <c r="L19" s="55" t="str">
        <f>IF($C19="","",SUMIFS('Nhật ký hành trình'!$I$8:$I$107,'Nhật ký hành trình'!$D$8:$D$107,$C19,'Nhật ký hành trình'!$B$8:$B$107,"&gt;="&amp;DATE('Cài đặt'!$D$8,'Cài đặt'!$D$7,1),'Nhật ký hành trình'!$B$8:$B$107,"&lt;"&amp;DATE('Cài đặt'!$D$8,'Cài đặt'!$D$7+1,1)))</f>
        <v/>
      </c>
      <c r="M19" s="55" t="str">
        <f>IF($C19="","",SUMIFS('Nhật ký hành trình'!$J$8:$J$107,'Nhật ký hành trình'!$D$8:$D$107,$C19,'Nhật ký hành trình'!$B$8:$B$107,"&gt;="&amp;DATE('Cài đặt'!$D$8,'Cài đặt'!$D$7,1),'Nhật ký hành trình'!$B$8:$B$107,"&lt;"&amp;DATE('Cài đặt'!$D$8,'Cài đặt'!$D$7+1,1)))</f>
        <v/>
      </c>
      <c r="N19" s="55" t="str">
        <f>IF($C19="","",SUMIFS('Nhật ký hành trình'!$N$8:$N$107,'Nhật ký hành trình'!$D$8:$D$107,$C19,'Nhật ký hành trình'!$B$8:$B$107,"&gt;="&amp;DATE('Cài đặt'!$D$8,'Cài đặt'!$D$7,1),'Nhật ký hành trình'!$B$8:$B$107,"&lt;"&amp;DATE('Cài đặt'!$D$8,'Cài đặt'!$D$7+1,1)))</f>
        <v/>
      </c>
      <c r="O19" s="56" t="str">
        <f>IF($C19="","",SUMIFS('Nhật ký hành trình'!$M$8:$M$107,'Nhật ký hành trình'!$D$8:$D$107,$C19,'Nhật ký hành trình'!$B$8:$B$107,"&gt;="&amp;DATE('Cài đặt'!$D$8,'Cài đặt'!$D$7,1),'Nhật ký hành trình'!$B$8:$B$107,"&lt;"&amp;DATE('Cài đặt'!$D$8,'Cài đặt'!$D$7+1,1)))</f>
        <v/>
      </c>
      <c r="P19" s="55" t="str">
        <f>IF($C19="","",ROUND(H19*'Cài đặt'!$D$32,0))</f>
        <v/>
      </c>
      <c r="Q19" s="55" t="str">
        <f>IF($C19="","",ROUND(I19*('Cài đặt'!$D$32/'Cài đặt'!$D$12)*('Cài đặt'!$D$33-1),0))</f>
        <v/>
      </c>
      <c r="R19" s="55" t="str">
        <f>IF($C19="","",ROUND(J19*('Cài đặt'!$D$32/'Cài đặt'!$D$12)*('Cài đặt'!$D$34-1),0))</f>
        <v/>
      </c>
      <c r="S19" s="55" t="str">
        <f>IF($C19="","",ROUND(K19*('Cài đặt'!$D$32/'Cài đặt'!$D$12)*('Cài đặt'!$D$35-1),0))</f>
        <v/>
      </c>
      <c r="T19" s="55" t="str">
        <f>IF($C19="","",E19*'Cài đặt'!$D$36)</f>
        <v/>
      </c>
      <c r="U19" s="55" t="str">
        <f>IF($C19="","",IF('Chấm công'!AR20=0,'Cài đặt'!$D$37,0))</f>
        <v/>
      </c>
      <c r="V19" s="55" t="str">
        <f>IF($C19="","",ROUND(L19*'Cài đặt'!$D$39,0))</f>
        <v/>
      </c>
      <c r="W19" s="55" t="str">
        <f>IF($C19="","",N19*'Cài đặt'!$D$40)</f>
        <v/>
      </c>
      <c r="X19" s="55" t="str">
        <f>IF($C19="","",ROUND(O19*'Cài đặt'!$D$41*'Cài đặt'!$D$42,0))</f>
        <v/>
      </c>
      <c r="Y19" s="57" t="str">
        <f t="shared" si="1"/>
        <v/>
      </c>
      <c r="Z19" s="55" t="str">
        <f>IF($C19="","",ROUND(P19*'Cài đặt'!$D$38,0))</f>
        <v/>
      </c>
      <c r="AA19" s="58"/>
      <c r="AB19" s="59" t="str">
        <f t="shared" si="2"/>
        <v/>
      </c>
      <c r="AC19" s="19"/>
    </row>
    <row r="20" ht="21.0" customHeight="1">
      <c r="A20" s="52">
        <v>14.0</v>
      </c>
      <c r="B20" s="32" t="str">
        <f>IF('Chấm công'!$C21="","",'Chấm công'!$B21&amp;"")</f>
        <v/>
      </c>
      <c r="C20" s="53" t="str">
        <f>IF('Chấm công'!$C21="","",'Chấm công'!$C21)</f>
        <v/>
      </c>
      <c r="D20" s="54" t="str">
        <f>IF('Chấm công'!$C21="","",'Chấm công'!$D21&amp;"")</f>
        <v/>
      </c>
      <c r="E20" s="25" t="str">
        <f>IF($C20="","",SUM('Chấm công'!AJ21:AN21))</f>
        <v/>
      </c>
      <c r="F20" s="25" t="str">
        <f>IF($C20="","",'Chấm công'!AO21+'Chấm công'!AP21)</f>
        <v/>
      </c>
      <c r="G20" s="25" t="str">
        <f>IF($C20="","",'Chấm công'!AQ21+'Chấm công'!AR21)</f>
        <v/>
      </c>
      <c r="H20" s="26" t="str">
        <f>IF($C20="","",'Chấm công'!AV21)</f>
        <v/>
      </c>
      <c r="I20" s="25" t="str">
        <f>IF($C20="","",'Chấm công'!AW21)</f>
        <v/>
      </c>
      <c r="J20" s="25" t="str">
        <f>IF($C20="","",'Chấm công'!AT21)</f>
        <v/>
      </c>
      <c r="K20" s="25" t="str">
        <f>IF($C20="","",'Chấm công'!AU21)</f>
        <v/>
      </c>
      <c r="L20" s="55" t="str">
        <f>IF($C20="","",SUMIFS('Nhật ký hành trình'!$I$8:$I$107,'Nhật ký hành trình'!$D$8:$D$107,$C20,'Nhật ký hành trình'!$B$8:$B$107,"&gt;="&amp;DATE('Cài đặt'!$D$8,'Cài đặt'!$D$7,1),'Nhật ký hành trình'!$B$8:$B$107,"&lt;"&amp;DATE('Cài đặt'!$D$8,'Cài đặt'!$D$7+1,1)))</f>
        <v/>
      </c>
      <c r="M20" s="55" t="str">
        <f>IF($C20="","",SUMIFS('Nhật ký hành trình'!$J$8:$J$107,'Nhật ký hành trình'!$D$8:$D$107,$C20,'Nhật ký hành trình'!$B$8:$B$107,"&gt;="&amp;DATE('Cài đặt'!$D$8,'Cài đặt'!$D$7,1),'Nhật ký hành trình'!$B$8:$B$107,"&lt;"&amp;DATE('Cài đặt'!$D$8,'Cài đặt'!$D$7+1,1)))</f>
        <v/>
      </c>
      <c r="N20" s="55" t="str">
        <f>IF($C20="","",SUMIFS('Nhật ký hành trình'!$N$8:$N$107,'Nhật ký hành trình'!$D$8:$D$107,$C20,'Nhật ký hành trình'!$B$8:$B$107,"&gt;="&amp;DATE('Cài đặt'!$D$8,'Cài đặt'!$D$7,1),'Nhật ký hành trình'!$B$8:$B$107,"&lt;"&amp;DATE('Cài đặt'!$D$8,'Cài đặt'!$D$7+1,1)))</f>
        <v/>
      </c>
      <c r="O20" s="56" t="str">
        <f>IF($C20="","",SUMIFS('Nhật ký hành trình'!$M$8:$M$107,'Nhật ký hành trình'!$D$8:$D$107,$C20,'Nhật ký hành trình'!$B$8:$B$107,"&gt;="&amp;DATE('Cài đặt'!$D$8,'Cài đặt'!$D$7,1),'Nhật ký hành trình'!$B$8:$B$107,"&lt;"&amp;DATE('Cài đặt'!$D$8,'Cài đặt'!$D$7+1,1)))</f>
        <v/>
      </c>
      <c r="P20" s="55" t="str">
        <f>IF($C20="","",ROUND(H20*'Cài đặt'!$D$32,0))</f>
        <v/>
      </c>
      <c r="Q20" s="55" t="str">
        <f>IF($C20="","",ROUND(I20*('Cài đặt'!$D$32/'Cài đặt'!$D$12)*('Cài đặt'!$D$33-1),0))</f>
        <v/>
      </c>
      <c r="R20" s="55" t="str">
        <f>IF($C20="","",ROUND(J20*('Cài đặt'!$D$32/'Cài đặt'!$D$12)*('Cài đặt'!$D$34-1),0))</f>
        <v/>
      </c>
      <c r="S20" s="55" t="str">
        <f>IF($C20="","",ROUND(K20*('Cài đặt'!$D$32/'Cài đặt'!$D$12)*('Cài đặt'!$D$35-1),0))</f>
        <v/>
      </c>
      <c r="T20" s="55" t="str">
        <f>IF($C20="","",E20*'Cài đặt'!$D$36)</f>
        <v/>
      </c>
      <c r="U20" s="55" t="str">
        <f>IF($C20="","",IF('Chấm công'!AR21=0,'Cài đặt'!$D$37,0))</f>
        <v/>
      </c>
      <c r="V20" s="55" t="str">
        <f>IF($C20="","",ROUND(L20*'Cài đặt'!$D$39,0))</f>
        <v/>
      </c>
      <c r="W20" s="55" t="str">
        <f>IF($C20="","",N20*'Cài đặt'!$D$40)</f>
        <v/>
      </c>
      <c r="X20" s="55" t="str">
        <f>IF($C20="","",ROUND(O20*'Cài đặt'!$D$41*'Cài đặt'!$D$42,0))</f>
        <v/>
      </c>
      <c r="Y20" s="57" t="str">
        <f t="shared" si="1"/>
        <v/>
      </c>
      <c r="Z20" s="55" t="str">
        <f>IF($C20="","",ROUND(P20*'Cài đặt'!$D$38,0))</f>
        <v/>
      </c>
      <c r="AA20" s="58"/>
      <c r="AB20" s="59" t="str">
        <f t="shared" si="2"/>
        <v/>
      </c>
      <c r="AC20" s="19"/>
    </row>
    <row r="21" ht="21.0" customHeight="1">
      <c r="A21" s="52">
        <v>15.0</v>
      </c>
      <c r="B21" s="32" t="str">
        <f>IF('Chấm công'!$C22="","",'Chấm công'!$B22&amp;"")</f>
        <v/>
      </c>
      <c r="C21" s="53" t="str">
        <f>IF('Chấm công'!$C22="","",'Chấm công'!$C22)</f>
        <v/>
      </c>
      <c r="D21" s="54" t="str">
        <f>IF('Chấm công'!$C22="","",'Chấm công'!$D22&amp;"")</f>
        <v/>
      </c>
      <c r="E21" s="25" t="str">
        <f>IF($C21="","",SUM('Chấm công'!AJ22:AN22))</f>
        <v/>
      </c>
      <c r="F21" s="25" t="str">
        <f>IF($C21="","",'Chấm công'!AO22+'Chấm công'!AP22)</f>
        <v/>
      </c>
      <c r="G21" s="25" t="str">
        <f>IF($C21="","",'Chấm công'!AQ22+'Chấm công'!AR22)</f>
        <v/>
      </c>
      <c r="H21" s="26" t="str">
        <f>IF($C21="","",'Chấm công'!AV22)</f>
        <v/>
      </c>
      <c r="I21" s="25" t="str">
        <f>IF($C21="","",'Chấm công'!AW22)</f>
        <v/>
      </c>
      <c r="J21" s="25" t="str">
        <f>IF($C21="","",'Chấm công'!AT22)</f>
        <v/>
      </c>
      <c r="K21" s="25" t="str">
        <f>IF($C21="","",'Chấm công'!AU22)</f>
        <v/>
      </c>
      <c r="L21" s="55" t="str">
        <f>IF($C21="","",SUMIFS('Nhật ký hành trình'!$I$8:$I$107,'Nhật ký hành trình'!$D$8:$D$107,$C21,'Nhật ký hành trình'!$B$8:$B$107,"&gt;="&amp;DATE('Cài đặt'!$D$8,'Cài đặt'!$D$7,1),'Nhật ký hành trình'!$B$8:$B$107,"&lt;"&amp;DATE('Cài đặt'!$D$8,'Cài đặt'!$D$7+1,1)))</f>
        <v/>
      </c>
      <c r="M21" s="55" t="str">
        <f>IF($C21="","",SUMIFS('Nhật ký hành trình'!$J$8:$J$107,'Nhật ký hành trình'!$D$8:$D$107,$C21,'Nhật ký hành trình'!$B$8:$B$107,"&gt;="&amp;DATE('Cài đặt'!$D$8,'Cài đặt'!$D$7,1),'Nhật ký hành trình'!$B$8:$B$107,"&lt;"&amp;DATE('Cài đặt'!$D$8,'Cài đặt'!$D$7+1,1)))</f>
        <v/>
      </c>
      <c r="N21" s="55" t="str">
        <f>IF($C21="","",SUMIFS('Nhật ký hành trình'!$N$8:$N$107,'Nhật ký hành trình'!$D$8:$D$107,$C21,'Nhật ký hành trình'!$B$8:$B$107,"&gt;="&amp;DATE('Cài đặt'!$D$8,'Cài đặt'!$D$7,1),'Nhật ký hành trình'!$B$8:$B$107,"&lt;"&amp;DATE('Cài đặt'!$D$8,'Cài đặt'!$D$7+1,1)))</f>
        <v/>
      </c>
      <c r="O21" s="56" t="str">
        <f>IF($C21="","",SUMIFS('Nhật ký hành trình'!$M$8:$M$107,'Nhật ký hành trình'!$D$8:$D$107,$C21,'Nhật ký hành trình'!$B$8:$B$107,"&gt;="&amp;DATE('Cài đặt'!$D$8,'Cài đặt'!$D$7,1),'Nhật ký hành trình'!$B$8:$B$107,"&lt;"&amp;DATE('Cài đặt'!$D$8,'Cài đặt'!$D$7+1,1)))</f>
        <v/>
      </c>
      <c r="P21" s="55" t="str">
        <f>IF($C21="","",ROUND(H21*'Cài đặt'!$D$32,0))</f>
        <v/>
      </c>
      <c r="Q21" s="55" t="str">
        <f>IF($C21="","",ROUND(I21*('Cài đặt'!$D$32/'Cài đặt'!$D$12)*('Cài đặt'!$D$33-1),0))</f>
        <v/>
      </c>
      <c r="R21" s="55" t="str">
        <f>IF($C21="","",ROUND(J21*('Cài đặt'!$D$32/'Cài đặt'!$D$12)*('Cài đặt'!$D$34-1),0))</f>
        <v/>
      </c>
      <c r="S21" s="55" t="str">
        <f>IF($C21="","",ROUND(K21*('Cài đặt'!$D$32/'Cài đặt'!$D$12)*('Cài đặt'!$D$35-1),0))</f>
        <v/>
      </c>
      <c r="T21" s="55" t="str">
        <f>IF($C21="","",E21*'Cài đặt'!$D$36)</f>
        <v/>
      </c>
      <c r="U21" s="55" t="str">
        <f>IF($C21="","",IF('Chấm công'!AR22=0,'Cài đặt'!$D$37,0))</f>
        <v/>
      </c>
      <c r="V21" s="55" t="str">
        <f>IF($C21="","",ROUND(L21*'Cài đặt'!$D$39,0))</f>
        <v/>
      </c>
      <c r="W21" s="55" t="str">
        <f>IF($C21="","",N21*'Cài đặt'!$D$40)</f>
        <v/>
      </c>
      <c r="X21" s="55" t="str">
        <f>IF($C21="","",ROUND(O21*'Cài đặt'!$D$41*'Cài đặt'!$D$42,0))</f>
        <v/>
      </c>
      <c r="Y21" s="57" t="str">
        <f t="shared" si="1"/>
        <v/>
      </c>
      <c r="Z21" s="55" t="str">
        <f>IF($C21="","",ROUND(P21*'Cài đặt'!$D$38,0))</f>
        <v/>
      </c>
      <c r="AA21" s="58"/>
      <c r="AB21" s="59" t="str">
        <f t="shared" si="2"/>
        <v/>
      </c>
      <c r="AC21" s="19"/>
    </row>
    <row r="22" ht="21.0" customHeight="1">
      <c r="A22" s="52">
        <v>16.0</v>
      </c>
      <c r="B22" s="32" t="str">
        <f>IF('Chấm công'!$C23="","",'Chấm công'!$B23&amp;"")</f>
        <v/>
      </c>
      <c r="C22" s="53" t="str">
        <f>IF('Chấm công'!$C23="","",'Chấm công'!$C23)</f>
        <v/>
      </c>
      <c r="D22" s="54" t="str">
        <f>IF('Chấm công'!$C23="","",'Chấm công'!$D23&amp;"")</f>
        <v/>
      </c>
      <c r="E22" s="25" t="str">
        <f>IF($C22="","",SUM('Chấm công'!AJ23:AN23))</f>
        <v/>
      </c>
      <c r="F22" s="25" t="str">
        <f>IF($C22="","",'Chấm công'!AO23+'Chấm công'!AP23)</f>
        <v/>
      </c>
      <c r="G22" s="25" t="str">
        <f>IF($C22="","",'Chấm công'!AQ23+'Chấm công'!AR23)</f>
        <v/>
      </c>
      <c r="H22" s="26" t="str">
        <f>IF($C22="","",'Chấm công'!AV23)</f>
        <v/>
      </c>
      <c r="I22" s="25" t="str">
        <f>IF($C22="","",'Chấm công'!AW23)</f>
        <v/>
      </c>
      <c r="J22" s="25" t="str">
        <f>IF($C22="","",'Chấm công'!AT23)</f>
        <v/>
      </c>
      <c r="K22" s="25" t="str">
        <f>IF($C22="","",'Chấm công'!AU23)</f>
        <v/>
      </c>
      <c r="L22" s="55" t="str">
        <f>IF($C22="","",SUMIFS('Nhật ký hành trình'!$I$8:$I$107,'Nhật ký hành trình'!$D$8:$D$107,$C22,'Nhật ký hành trình'!$B$8:$B$107,"&gt;="&amp;DATE('Cài đặt'!$D$8,'Cài đặt'!$D$7,1),'Nhật ký hành trình'!$B$8:$B$107,"&lt;"&amp;DATE('Cài đặt'!$D$8,'Cài đặt'!$D$7+1,1)))</f>
        <v/>
      </c>
      <c r="M22" s="55" t="str">
        <f>IF($C22="","",SUMIFS('Nhật ký hành trình'!$J$8:$J$107,'Nhật ký hành trình'!$D$8:$D$107,$C22,'Nhật ký hành trình'!$B$8:$B$107,"&gt;="&amp;DATE('Cài đặt'!$D$8,'Cài đặt'!$D$7,1),'Nhật ký hành trình'!$B$8:$B$107,"&lt;"&amp;DATE('Cài đặt'!$D$8,'Cài đặt'!$D$7+1,1)))</f>
        <v/>
      </c>
      <c r="N22" s="55" t="str">
        <f>IF($C22="","",SUMIFS('Nhật ký hành trình'!$N$8:$N$107,'Nhật ký hành trình'!$D$8:$D$107,$C22,'Nhật ký hành trình'!$B$8:$B$107,"&gt;="&amp;DATE('Cài đặt'!$D$8,'Cài đặt'!$D$7,1),'Nhật ký hành trình'!$B$8:$B$107,"&lt;"&amp;DATE('Cài đặt'!$D$8,'Cài đặt'!$D$7+1,1)))</f>
        <v/>
      </c>
      <c r="O22" s="56" t="str">
        <f>IF($C22="","",SUMIFS('Nhật ký hành trình'!$M$8:$M$107,'Nhật ký hành trình'!$D$8:$D$107,$C22,'Nhật ký hành trình'!$B$8:$B$107,"&gt;="&amp;DATE('Cài đặt'!$D$8,'Cài đặt'!$D$7,1),'Nhật ký hành trình'!$B$8:$B$107,"&lt;"&amp;DATE('Cài đặt'!$D$8,'Cài đặt'!$D$7+1,1)))</f>
        <v/>
      </c>
      <c r="P22" s="55" t="str">
        <f>IF($C22="","",ROUND(H22*'Cài đặt'!$D$32,0))</f>
        <v/>
      </c>
      <c r="Q22" s="55" t="str">
        <f>IF($C22="","",ROUND(I22*('Cài đặt'!$D$32/'Cài đặt'!$D$12)*('Cài đặt'!$D$33-1),0))</f>
        <v/>
      </c>
      <c r="R22" s="55" t="str">
        <f>IF($C22="","",ROUND(J22*('Cài đặt'!$D$32/'Cài đặt'!$D$12)*('Cài đặt'!$D$34-1),0))</f>
        <v/>
      </c>
      <c r="S22" s="55" t="str">
        <f>IF($C22="","",ROUND(K22*('Cài đặt'!$D$32/'Cài đặt'!$D$12)*('Cài đặt'!$D$35-1),0))</f>
        <v/>
      </c>
      <c r="T22" s="55" t="str">
        <f>IF($C22="","",E22*'Cài đặt'!$D$36)</f>
        <v/>
      </c>
      <c r="U22" s="55" t="str">
        <f>IF($C22="","",IF('Chấm công'!AR23=0,'Cài đặt'!$D$37,0))</f>
        <v/>
      </c>
      <c r="V22" s="55" t="str">
        <f>IF($C22="","",ROUND(L22*'Cài đặt'!$D$39,0))</f>
        <v/>
      </c>
      <c r="W22" s="55" t="str">
        <f>IF($C22="","",N22*'Cài đặt'!$D$40)</f>
        <v/>
      </c>
      <c r="X22" s="55" t="str">
        <f>IF($C22="","",ROUND(O22*'Cài đặt'!$D$41*'Cài đặt'!$D$42,0))</f>
        <v/>
      </c>
      <c r="Y22" s="57" t="str">
        <f t="shared" si="1"/>
        <v/>
      </c>
      <c r="Z22" s="55" t="str">
        <f>IF($C22="","",ROUND(P22*'Cài đặt'!$D$38,0))</f>
        <v/>
      </c>
      <c r="AA22" s="58"/>
      <c r="AB22" s="59" t="str">
        <f t="shared" si="2"/>
        <v/>
      </c>
      <c r="AC22" s="19"/>
    </row>
    <row r="23" ht="21.0" customHeight="1">
      <c r="A23" s="52">
        <v>17.0</v>
      </c>
      <c r="B23" s="32" t="str">
        <f>IF('Chấm công'!$C24="","",'Chấm công'!$B24&amp;"")</f>
        <v/>
      </c>
      <c r="C23" s="53" t="str">
        <f>IF('Chấm công'!$C24="","",'Chấm công'!$C24)</f>
        <v/>
      </c>
      <c r="D23" s="54" t="str">
        <f>IF('Chấm công'!$C24="","",'Chấm công'!$D24&amp;"")</f>
        <v/>
      </c>
      <c r="E23" s="25" t="str">
        <f>IF($C23="","",SUM('Chấm công'!AJ24:AN24))</f>
        <v/>
      </c>
      <c r="F23" s="25" t="str">
        <f>IF($C23="","",'Chấm công'!AO24+'Chấm công'!AP24)</f>
        <v/>
      </c>
      <c r="G23" s="25" t="str">
        <f>IF($C23="","",'Chấm công'!AQ24+'Chấm công'!AR24)</f>
        <v/>
      </c>
      <c r="H23" s="26" t="str">
        <f>IF($C23="","",'Chấm công'!AV24)</f>
        <v/>
      </c>
      <c r="I23" s="25" t="str">
        <f>IF($C23="","",'Chấm công'!AW24)</f>
        <v/>
      </c>
      <c r="J23" s="25" t="str">
        <f>IF($C23="","",'Chấm công'!AT24)</f>
        <v/>
      </c>
      <c r="K23" s="25" t="str">
        <f>IF($C23="","",'Chấm công'!AU24)</f>
        <v/>
      </c>
      <c r="L23" s="55" t="str">
        <f>IF($C23="","",SUMIFS('Nhật ký hành trình'!$I$8:$I$107,'Nhật ký hành trình'!$D$8:$D$107,$C23,'Nhật ký hành trình'!$B$8:$B$107,"&gt;="&amp;DATE('Cài đặt'!$D$8,'Cài đặt'!$D$7,1),'Nhật ký hành trình'!$B$8:$B$107,"&lt;"&amp;DATE('Cài đặt'!$D$8,'Cài đặt'!$D$7+1,1)))</f>
        <v/>
      </c>
      <c r="M23" s="55" t="str">
        <f>IF($C23="","",SUMIFS('Nhật ký hành trình'!$J$8:$J$107,'Nhật ký hành trình'!$D$8:$D$107,$C23,'Nhật ký hành trình'!$B$8:$B$107,"&gt;="&amp;DATE('Cài đặt'!$D$8,'Cài đặt'!$D$7,1),'Nhật ký hành trình'!$B$8:$B$107,"&lt;"&amp;DATE('Cài đặt'!$D$8,'Cài đặt'!$D$7+1,1)))</f>
        <v/>
      </c>
      <c r="N23" s="55" t="str">
        <f>IF($C23="","",SUMIFS('Nhật ký hành trình'!$N$8:$N$107,'Nhật ký hành trình'!$D$8:$D$107,$C23,'Nhật ký hành trình'!$B$8:$B$107,"&gt;="&amp;DATE('Cài đặt'!$D$8,'Cài đặt'!$D$7,1),'Nhật ký hành trình'!$B$8:$B$107,"&lt;"&amp;DATE('Cài đặt'!$D$8,'Cài đặt'!$D$7+1,1)))</f>
        <v/>
      </c>
      <c r="O23" s="56" t="str">
        <f>IF($C23="","",SUMIFS('Nhật ký hành trình'!$M$8:$M$107,'Nhật ký hành trình'!$D$8:$D$107,$C23,'Nhật ký hành trình'!$B$8:$B$107,"&gt;="&amp;DATE('Cài đặt'!$D$8,'Cài đặt'!$D$7,1),'Nhật ký hành trình'!$B$8:$B$107,"&lt;"&amp;DATE('Cài đặt'!$D$8,'Cài đặt'!$D$7+1,1)))</f>
        <v/>
      </c>
      <c r="P23" s="55" t="str">
        <f>IF($C23="","",ROUND(H23*'Cài đặt'!$D$32,0))</f>
        <v/>
      </c>
      <c r="Q23" s="55" t="str">
        <f>IF($C23="","",ROUND(I23*('Cài đặt'!$D$32/'Cài đặt'!$D$12)*('Cài đặt'!$D$33-1),0))</f>
        <v/>
      </c>
      <c r="R23" s="55" t="str">
        <f>IF($C23="","",ROUND(J23*('Cài đặt'!$D$32/'Cài đặt'!$D$12)*('Cài đặt'!$D$34-1),0))</f>
        <v/>
      </c>
      <c r="S23" s="55" t="str">
        <f>IF($C23="","",ROUND(K23*('Cài đặt'!$D$32/'Cài đặt'!$D$12)*('Cài đặt'!$D$35-1),0))</f>
        <v/>
      </c>
      <c r="T23" s="55" t="str">
        <f>IF($C23="","",E23*'Cài đặt'!$D$36)</f>
        <v/>
      </c>
      <c r="U23" s="55" t="str">
        <f>IF($C23="","",IF('Chấm công'!AR24=0,'Cài đặt'!$D$37,0))</f>
        <v/>
      </c>
      <c r="V23" s="55" t="str">
        <f>IF($C23="","",ROUND(L23*'Cài đặt'!$D$39,0))</f>
        <v/>
      </c>
      <c r="W23" s="55" t="str">
        <f>IF($C23="","",N23*'Cài đặt'!$D$40)</f>
        <v/>
      </c>
      <c r="X23" s="55" t="str">
        <f>IF($C23="","",ROUND(O23*'Cài đặt'!$D$41*'Cài đặt'!$D$42,0))</f>
        <v/>
      </c>
      <c r="Y23" s="57" t="str">
        <f t="shared" si="1"/>
        <v/>
      </c>
      <c r="Z23" s="55" t="str">
        <f>IF($C23="","",ROUND(P23*'Cài đặt'!$D$38,0))</f>
        <v/>
      </c>
      <c r="AA23" s="58"/>
      <c r="AB23" s="59" t="str">
        <f t="shared" si="2"/>
        <v/>
      </c>
      <c r="AC23" s="19"/>
    </row>
    <row r="24" ht="21.0" customHeight="1">
      <c r="A24" s="52">
        <v>18.0</v>
      </c>
      <c r="B24" s="32" t="str">
        <f>IF('Chấm công'!$C25="","",'Chấm công'!$B25&amp;"")</f>
        <v/>
      </c>
      <c r="C24" s="53" t="str">
        <f>IF('Chấm công'!$C25="","",'Chấm công'!$C25)</f>
        <v/>
      </c>
      <c r="D24" s="54" t="str">
        <f>IF('Chấm công'!$C25="","",'Chấm công'!$D25&amp;"")</f>
        <v/>
      </c>
      <c r="E24" s="25" t="str">
        <f>IF($C24="","",SUM('Chấm công'!AJ25:AN25))</f>
        <v/>
      </c>
      <c r="F24" s="25" t="str">
        <f>IF($C24="","",'Chấm công'!AO25+'Chấm công'!AP25)</f>
        <v/>
      </c>
      <c r="G24" s="25" t="str">
        <f>IF($C24="","",'Chấm công'!AQ25+'Chấm công'!AR25)</f>
        <v/>
      </c>
      <c r="H24" s="26" t="str">
        <f>IF($C24="","",'Chấm công'!AV25)</f>
        <v/>
      </c>
      <c r="I24" s="25" t="str">
        <f>IF($C24="","",'Chấm công'!AW25)</f>
        <v/>
      </c>
      <c r="J24" s="25" t="str">
        <f>IF($C24="","",'Chấm công'!AT25)</f>
        <v/>
      </c>
      <c r="K24" s="25" t="str">
        <f>IF($C24="","",'Chấm công'!AU25)</f>
        <v/>
      </c>
      <c r="L24" s="55" t="str">
        <f>IF($C24="","",SUMIFS('Nhật ký hành trình'!$I$8:$I$107,'Nhật ký hành trình'!$D$8:$D$107,$C24,'Nhật ký hành trình'!$B$8:$B$107,"&gt;="&amp;DATE('Cài đặt'!$D$8,'Cài đặt'!$D$7,1),'Nhật ký hành trình'!$B$8:$B$107,"&lt;"&amp;DATE('Cài đặt'!$D$8,'Cài đặt'!$D$7+1,1)))</f>
        <v/>
      </c>
      <c r="M24" s="55" t="str">
        <f>IF($C24="","",SUMIFS('Nhật ký hành trình'!$J$8:$J$107,'Nhật ký hành trình'!$D$8:$D$107,$C24,'Nhật ký hành trình'!$B$8:$B$107,"&gt;="&amp;DATE('Cài đặt'!$D$8,'Cài đặt'!$D$7,1),'Nhật ký hành trình'!$B$8:$B$107,"&lt;"&amp;DATE('Cài đặt'!$D$8,'Cài đặt'!$D$7+1,1)))</f>
        <v/>
      </c>
      <c r="N24" s="55" t="str">
        <f>IF($C24="","",SUMIFS('Nhật ký hành trình'!$N$8:$N$107,'Nhật ký hành trình'!$D$8:$D$107,$C24,'Nhật ký hành trình'!$B$8:$B$107,"&gt;="&amp;DATE('Cài đặt'!$D$8,'Cài đặt'!$D$7,1),'Nhật ký hành trình'!$B$8:$B$107,"&lt;"&amp;DATE('Cài đặt'!$D$8,'Cài đặt'!$D$7+1,1)))</f>
        <v/>
      </c>
      <c r="O24" s="56" t="str">
        <f>IF($C24="","",SUMIFS('Nhật ký hành trình'!$M$8:$M$107,'Nhật ký hành trình'!$D$8:$D$107,$C24,'Nhật ký hành trình'!$B$8:$B$107,"&gt;="&amp;DATE('Cài đặt'!$D$8,'Cài đặt'!$D$7,1),'Nhật ký hành trình'!$B$8:$B$107,"&lt;"&amp;DATE('Cài đặt'!$D$8,'Cài đặt'!$D$7+1,1)))</f>
        <v/>
      </c>
      <c r="P24" s="55" t="str">
        <f>IF($C24="","",ROUND(H24*'Cài đặt'!$D$32,0))</f>
        <v/>
      </c>
      <c r="Q24" s="55" t="str">
        <f>IF($C24="","",ROUND(I24*('Cài đặt'!$D$32/'Cài đặt'!$D$12)*('Cài đặt'!$D$33-1),0))</f>
        <v/>
      </c>
      <c r="R24" s="55" t="str">
        <f>IF($C24="","",ROUND(J24*('Cài đặt'!$D$32/'Cài đặt'!$D$12)*('Cài đặt'!$D$34-1),0))</f>
        <v/>
      </c>
      <c r="S24" s="55" t="str">
        <f>IF($C24="","",ROUND(K24*('Cài đặt'!$D$32/'Cài đặt'!$D$12)*('Cài đặt'!$D$35-1),0))</f>
        <v/>
      </c>
      <c r="T24" s="55" t="str">
        <f>IF($C24="","",E24*'Cài đặt'!$D$36)</f>
        <v/>
      </c>
      <c r="U24" s="55" t="str">
        <f>IF($C24="","",IF('Chấm công'!AR25=0,'Cài đặt'!$D$37,0))</f>
        <v/>
      </c>
      <c r="V24" s="55" t="str">
        <f>IF($C24="","",ROUND(L24*'Cài đặt'!$D$39,0))</f>
        <v/>
      </c>
      <c r="W24" s="55" t="str">
        <f>IF($C24="","",N24*'Cài đặt'!$D$40)</f>
        <v/>
      </c>
      <c r="X24" s="55" t="str">
        <f>IF($C24="","",ROUND(O24*'Cài đặt'!$D$41*'Cài đặt'!$D$42,0))</f>
        <v/>
      </c>
      <c r="Y24" s="57" t="str">
        <f t="shared" si="1"/>
        <v/>
      </c>
      <c r="Z24" s="55" t="str">
        <f>IF($C24="","",ROUND(P24*'Cài đặt'!$D$38,0))</f>
        <v/>
      </c>
      <c r="AA24" s="58"/>
      <c r="AB24" s="59" t="str">
        <f t="shared" si="2"/>
        <v/>
      </c>
      <c r="AC24" s="19"/>
    </row>
    <row r="25" ht="21.0" customHeight="1">
      <c r="A25" s="52">
        <v>19.0</v>
      </c>
      <c r="B25" s="32" t="str">
        <f>IF('Chấm công'!$C26="","",'Chấm công'!$B26&amp;"")</f>
        <v/>
      </c>
      <c r="C25" s="53" t="str">
        <f>IF('Chấm công'!$C26="","",'Chấm công'!$C26)</f>
        <v/>
      </c>
      <c r="D25" s="54" t="str">
        <f>IF('Chấm công'!$C26="","",'Chấm công'!$D26&amp;"")</f>
        <v/>
      </c>
      <c r="E25" s="25" t="str">
        <f>IF($C25="","",SUM('Chấm công'!AJ26:AN26))</f>
        <v/>
      </c>
      <c r="F25" s="25" t="str">
        <f>IF($C25="","",'Chấm công'!AO26+'Chấm công'!AP26)</f>
        <v/>
      </c>
      <c r="G25" s="25" t="str">
        <f>IF($C25="","",'Chấm công'!AQ26+'Chấm công'!AR26)</f>
        <v/>
      </c>
      <c r="H25" s="26" t="str">
        <f>IF($C25="","",'Chấm công'!AV26)</f>
        <v/>
      </c>
      <c r="I25" s="25" t="str">
        <f>IF($C25="","",'Chấm công'!AW26)</f>
        <v/>
      </c>
      <c r="J25" s="25" t="str">
        <f>IF($C25="","",'Chấm công'!AT26)</f>
        <v/>
      </c>
      <c r="K25" s="25" t="str">
        <f>IF($C25="","",'Chấm công'!AU26)</f>
        <v/>
      </c>
      <c r="L25" s="55" t="str">
        <f>IF($C25="","",SUMIFS('Nhật ký hành trình'!$I$8:$I$107,'Nhật ký hành trình'!$D$8:$D$107,$C25,'Nhật ký hành trình'!$B$8:$B$107,"&gt;="&amp;DATE('Cài đặt'!$D$8,'Cài đặt'!$D$7,1),'Nhật ký hành trình'!$B$8:$B$107,"&lt;"&amp;DATE('Cài đặt'!$D$8,'Cài đặt'!$D$7+1,1)))</f>
        <v/>
      </c>
      <c r="M25" s="55" t="str">
        <f>IF($C25="","",SUMIFS('Nhật ký hành trình'!$J$8:$J$107,'Nhật ký hành trình'!$D$8:$D$107,$C25,'Nhật ký hành trình'!$B$8:$B$107,"&gt;="&amp;DATE('Cài đặt'!$D$8,'Cài đặt'!$D$7,1),'Nhật ký hành trình'!$B$8:$B$107,"&lt;"&amp;DATE('Cài đặt'!$D$8,'Cài đặt'!$D$7+1,1)))</f>
        <v/>
      </c>
      <c r="N25" s="55" t="str">
        <f>IF($C25="","",SUMIFS('Nhật ký hành trình'!$N$8:$N$107,'Nhật ký hành trình'!$D$8:$D$107,$C25,'Nhật ký hành trình'!$B$8:$B$107,"&gt;="&amp;DATE('Cài đặt'!$D$8,'Cài đặt'!$D$7,1),'Nhật ký hành trình'!$B$8:$B$107,"&lt;"&amp;DATE('Cài đặt'!$D$8,'Cài đặt'!$D$7+1,1)))</f>
        <v/>
      </c>
      <c r="O25" s="56" t="str">
        <f>IF($C25="","",SUMIFS('Nhật ký hành trình'!$M$8:$M$107,'Nhật ký hành trình'!$D$8:$D$107,$C25,'Nhật ký hành trình'!$B$8:$B$107,"&gt;="&amp;DATE('Cài đặt'!$D$8,'Cài đặt'!$D$7,1),'Nhật ký hành trình'!$B$8:$B$107,"&lt;"&amp;DATE('Cài đặt'!$D$8,'Cài đặt'!$D$7+1,1)))</f>
        <v/>
      </c>
      <c r="P25" s="55" t="str">
        <f>IF($C25="","",ROUND(H25*'Cài đặt'!$D$32,0))</f>
        <v/>
      </c>
      <c r="Q25" s="55" t="str">
        <f>IF($C25="","",ROUND(I25*('Cài đặt'!$D$32/'Cài đặt'!$D$12)*('Cài đặt'!$D$33-1),0))</f>
        <v/>
      </c>
      <c r="R25" s="55" t="str">
        <f>IF($C25="","",ROUND(J25*('Cài đặt'!$D$32/'Cài đặt'!$D$12)*('Cài đặt'!$D$34-1),0))</f>
        <v/>
      </c>
      <c r="S25" s="55" t="str">
        <f>IF($C25="","",ROUND(K25*('Cài đặt'!$D$32/'Cài đặt'!$D$12)*('Cài đặt'!$D$35-1),0))</f>
        <v/>
      </c>
      <c r="T25" s="55" t="str">
        <f>IF($C25="","",E25*'Cài đặt'!$D$36)</f>
        <v/>
      </c>
      <c r="U25" s="55" t="str">
        <f>IF($C25="","",IF('Chấm công'!AR26=0,'Cài đặt'!$D$37,0))</f>
        <v/>
      </c>
      <c r="V25" s="55" t="str">
        <f>IF($C25="","",ROUND(L25*'Cài đặt'!$D$39,0))</f>
        <v/>
      </c>
      <c r="W25" s="55" t="str">
        <f>IF($C25="","",N25*'Cài đặt'!$D$40)</f>
        <v/>
      </c>
      <c r="X25" s="55" t="str">
        <f>IF($C25="","",ROUND(O25*'Cài đặt'!$D$41*'Cài đặt'!$D$42,0))</f>
        <v/>
      </c>
      <c r="Y25" s="57" t="str">
        <f t="shared" si="1"/>
        <v/>
      </c>
      <c r="Z25" s="55" t="str">
        <f>IF($C25="","",ROUND(P25*'Cài đặt'!$D$38,0))</f>
        <v/>
      </c>
      <c r="AA25" s="58"/>
      <c r="AB25" s="59" t="str">
        <f t="shared" si="2"/>
        <v/>
      </c>
      <c r="AC25" s="19"/>
    </row>
    <row r="26" ht="21.0" customHeight="1">
      <c r="A26" s="52">
        <v>20.0</v>
      </c>
      <c r="B26" s="32" t="str">
        <f>IF('Chấm công'!$C27="","",'Chấm công'!$B27&amp;"")</f>
        <v/>
      </c>
      <c r="C26" s="53" t="str">
        <f>IF('Chấm công'!$C27="","",'Chấm công'!$C27)</f>
        <v/>
      </c>
      <c r="D26" s="54" t="str">
        <f>IF('Chấm công'!$C27="","",'Chấm công'!$D27&amp;"")</f>
        <v/>
      </c>
      <c r="E26" s="25" t="str">
        <f>IF($C26="","",SUM('Chấm công'!AJ27:AN27))</f>
        <v/>
      </c>
      <c r="F26" s="25" t="str">
        <f>IF($C26="","",'Chấm công'!AO27+'Chấm công'!AP27)</f>
        <v/>
      </c>
      <c r="G26" s="25" t="str">
        <f>IF($C26="","",'Chấm công'!AQ27+'Chấm công'!AR27)</f>
        <v/>
      </c>
      <c r="H26" s="26" t="str">
        <f>IF($C26="","",'Chấm công'!AV27)</f>
        <v/>
      </c>
      <c r="I26" s="25" t="str">
        <f>IF($C26="","",'Chấm công'!AW27)</f>
        <v/>
      </c>
      <c r="J26" s="25" t="str">
        <f>IF($C26="","",'Chấm công'!AT27)</f>
        <v/>
      </c>
      <c r="K26" s="25" t="str">
        <f>IF($C26="","",'Chấm công'!AU27)</f>
        <v/>
      </c>
      <c r="L26" s="55" t="str">
        <f>IF($C26="","",SUMIFS('Nhật ký hành trình'!$I$8:$I$107,'Nhật ký hành trình'!$D$8:$D$107,$C26,'Nhật ký hành trình'!$B$8:$B$107,"&gt;="&amp;DATE('Cài đặt'!$D$8,'Cài đặt'!$D$7,1),'Nhật ký hành trình'!$B$8:$B$107,"&lt;"&amp;DATE('Cài đặt'!$D$8,'Cài đặt'!$D$7+1,1)))</f>
        <v/>
      </c>
      <c r="M26" s="55" t="str">
        <f>IF($C26="","",SUMIFS('Nhật ký hành trình'!$J$8:$J$107,'Nhật ký hành trình'!$D$8:$D$107,$C26,'Nhật ký hành trình'!$B$8:$B$107,"&gt;="&amp;DATE('Cài đặt'!$D$8,'Cài đặt'!$D$7,1),'Nhật ký hành trình'!$B$8:$B$107,"&lt;"&amp;DATE('Cài đặt'!$D$8,'Cài đặt'!$D$7+1,1)))</f>
        <v/>
      </c>
      <c r="N26" s="55" t="str">
        <f>IF($C26="","",SUMIFS('Nhật ký hành trình'!$N$8:$N$107,'Nhật ký hành trình'!$D$8:$D$107,$C26,'Nhật ký hành trình'!$B$8:$B$107,"&gt;="&amp;DATE('Cài đặt'!$D$8,'Cài đặt'!$D$7,1),'Nhật ký hành trình'!$B$8:$B$107,"&lt;"&amp;DATE('Cài đặt'!$D$8,'Cài đặt'!$D$7+1,1)))</f>
        <v/>
      </c>
      <c r="O26" s="56" t="str">
        <f>IF($C26="","",SUMIFS('Nhật ký hành trình'!$M$8:$M$107,'Nhật ký hành trình'!$D$8:$D$107,$C26,'Nhật ký hành trình'!$B$8:$B$107,"&gt;="&amp;DATE('Cài đặt'!$D$8,'Cài đặt'!$D$7,1),'Nhật ký hành trình'!$B$8:$B$107,"&lt;"&amp;DATE('Cài đặt'!$D$8,'Cài đặt'!$D$7+1,1)))</f>
        <v/>
      </c>
      <c r="P26" s="55" t="str">
        <f>IF($C26="","",ROUND(H26*'Cài đặt'!$D$32,0))</f>
        <v/>
      </c>
      <c r="Q26" s="55" t="str">
        <f>IF($C26="","",ROUND(I26*('Cài đặt'!$D$32/'Cài đặt'!$D$12)*('Cài đặt'!$D$33-1),0))</f>
        <v/>
      </c>
      <c r="R26" s="55" t="str">
        <f>IF($C26="","",ROUND(J26*('Cài đặt'!$D$32/'Cài đặt'!$D$12)*('Cài đặt'!$D$34-1),0))</f>
        <v/>
      </c>
      <c r="S26" s="55" t="str">
        <f>IF($C26="","",ROUND(K26*('Cài đặt'!$D$32/'Cài đặt'!$D$12)*('Cài đặt'!$D$35-1),0))</f>
        <v/>
      </c>
      <c r="T26" s="55" t="str">
        <f>IF($C26="","",E26*'Cài đặt'!$D$36)</f>
        <v/>
      </c>
      <c r="U26" s="55" t="str">
        <f>IF($C26="","",IF('Chấm công'!AR27=0,'Cài đặt'!$D$37,0))</f>
        <v/>
      </c>
      <c r="V26" s="55" t="str">
        <f>IF($C26="","",ROUND(L26*'Cài đặt'!$D$39,0))</f>
        <v/>
      </c>
      <c r="W26" s="55" t="str">
        <f>IF($C26="","",N26*'Cài đặt'!$D$40)</f>
        <v/>
      </c>
      <c r="X26" s="55" t="str">
        <f>IF($C26="","",ROUND(O26*'Cài đặt'!$D$41*'Cài đặt'!$D$42,0))</f>
        <v/>
      </c>
      <c r="Y26" s="57" t="str">
        <f t="shared" si="1"/>
        <v/>
      </c>
      <c r="Z26" s="55" t="str">
        <f>IF($C26="","",ROUND(P26*'Cài đặt'!$D$38,0))</f>
        <v/>
      </c>
      <c r="AA26" s="58"/>
      <c r="AB26" s="59" t="str">
        <f t="shared" si="2"/>
        <v/>
      </c>
      <c r="AC26" s="19"/>
    </row>
    <row r="27" ht="24.0" customHeight="1">
      <c r="A27" s="28" t="s">
        <v>44</v>
      </c>
      <c r="B27" s="8"/>
      <c r="C27" s="8"/>
      <c r="D27" s="9"/>
      <c r="E27" s="31">
        <f t="shared" ref="E27:AB27" si="3">SUM(E7:E26)</f>
        <v>192</v>
      </c>
      <c r="F27" s="31">
        <f t="shared" si="3"/>
        <v>2</v>
      </c>
      <c r="G27" s="31">
        <f t="shared" si="3"/>
        <v>2</v>
      </c>
      <c r="H27" s="31">
        <f t="shared" si="3"/>
        <v>201.5</v>
      </c>
      <c r="I27" s="31">
        <f t="shared" si="3"/>
        <v>44</v>
      </c>
      <c r="J27" s="31">
        <f t="shared" si="3"/>
        <v>255</v>
      </c>
      <c r="K27" s="31">
        <f t="shared" si="3"/>
        <v>0</v>
      </c>
      <c r="L27" s="59">
        <f t="shared" si="3"/>
        <v>1515</v>
      </c>
      <c r="M27" s="59">
        <f t="shared" si="3"/>
        <v>13</v>
      </c>
      <c r="N27" s="59">
        <f t="shared" si="3"/>
        <v>2</v>
      </c>
      <c r="O27" s="60">
        <f t="shared" si="3"/>
        <v>-6.65</v>
      </c>
      <c r="P27" s="59">
        <f t="shared" si="3"/>
        <v>60450000</v>
      </c>
      <c r="Q27" s="59">
        <f t="shared" si="3"/>
        <v>825000</v>
      </c>
      <c r="R27" s="59">
        <f t="shared" si="3"/>
        <v>9562500</v>
      </c>
      <c r="S27" s="59">
        <f t="shared" si="3"/>
        <v>0</v>
      </c>
      <c r="T27" s="59">
        <f t="shared" si="3"/>
        <v>7680000</v>
      </c>
      <c r="U27" s="59">
        <f t="shared" si="3"/>
        <v>2100000</v>
      </c>
      <c r="V27" s="59">
        <f t="shared" si="3"/>
        <v>1060500</v>
      </c>
      <c r="W27" s="59">
        <f t="shared" si="3"/>
        <v>300000</v>
      </c>
      <c r="X27" s="59">
        <f t="shared" si="3"/>
        <v>-73150</v>
      </c>
      <c r="Y27" s="59">
        <f t="shared" si="3"/>
        <v>81904850</v>
      </c>
      <c r="Z27" s="59">
        <f t="shared" si="3"/>
        <v>6347250</v>
      </c>
      <c r="AA27" s="59">
        <f t="shared" si="3"/>
        <v>0</v>
      </c>
      <c r="AB27" s="59">
        <f t="shared" si="3"/>
        <v>75557600</v>
      </c>
      <c r="AC27" s="32"/>
    </row>
    <row r="28" ht="15.75" customHeight="1">
      <c r="A28" s="37" t="s">
        <v>80</v>
      </c>
    </row>
    <row r="29" ht="15.75" customHeight="1"/>
    <row r="30" ht="15.75" customHeight="1">
      <c r="C30" s="39" t="s">
        <v>48</v>
      </c>
      <c r="H30" s="39" t="s">
        <v>81</v>
      </c>
      <c r="V30" s="39" t="s">
        <v>82</v>
      </c>
    </row>
    <row r="31" ht="15.75" customHeight="1">
      <c r="C31" s="42" t="s">
        <v>51</v>
      </c>
      <c r="H31" s="42" t="s">
        <v>51</v>
      </c>
      <c r="V31" s="42" t="s">
        <v>51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1">
    <mergeCell ref="L5:O5"/>
    <mergeCell ref="P5:Y5"/>
    <mergeCell ref="Z5:AB5"/>
    <mergeCell ref="AC5:AC6"/>
    <mergeCell ref="A1:AC1"/>
    <mergeCell ref="A2:AC2"/>
    <mergeCell ref="A3:AC3"/>
    <mergeCell ref="A5:A6"/>
    <mergeCell ref="B5:B6"/>
    <mergeCell ref="C5:C6"/>
    <mergeCell ref="D5:D6"/>
    <mergeCell ref="H30:L30"/>
    <mergeCell ref="H31:L31"/>
    <mergeCell ref="E5:G5"/>
    <mergeCell ref="H5:K5"/>
    <mergeCell ref="A27:D27"/>
    <mergeCell ref="A28:AC28"/>
    <mergeCell ref="C30:D30"/>
    <mergeCell ref="V30:AB30"/>
    <mergeCell ref="C31:D31"/>
    <mergeCell ref="V31:AB31"/>
  </mergeCells>
  <printOptions/>
  <pageMargins bottom="1.0" footer="0.0" header="0.0" left="0.3" right="0.3" top="1.0"/>
  <pageSetup paperSize="8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DBA74"/>
    <pageSetUpPr fitToPage="1"/>
  </sheetPr>
  <sheetViews>
    <sheetView showGridLines="0" workbookViewId="0">
      <pane ySplit="7.0" topLeftCell="A8" activePane="bottomLeft" state="frozen"/>
      <selection activeCell="B9" sqref="B9" pane="bottomLeft"/>
    </sheetView>
  </sheetViews>
  <sheetFormatPr customHeight="1" defaultColWidth="14.43" defaultRowHeight="15.0"/>
  <cols>
    <col customWidth="1" min="1" max="1" width="5.0"/>
    <col customWidth="1" min="2" max="2" width="12.0"/>
    <col customWidth="1" min="3" max="3" width="7.0"/>
    <col customWidth="1" min="4" max="4" width="20.0"/>
    <col customWidth="1" min="5" max="5" width="14.0"/>
    <col customWidth="1" min="6" max="6" width="34.0"/>
    <col customWidth="1" min="7" max="8" width="10.0"/>
    <col customWidth="1" min="9" max="9" width="9.0"/>
    <col customWidth="1" min="10" max="10" width="8.0"/>
    <col customWidth="1" min="11" max="12" width="11.0"/>
    <col customWidth="1" min="13" max="13" width="12.0"/>
    <col customWidth="1" min="14" max="14" width="9.0"/>
    <col customWidth="1" min="15" max="15" width="13.0"/>
    <col customWidth="1" min="16" max="16" width="15.0"/>
    <col customWidth="1" min="17" max="17" width="24.0"/>
    <col customWidth="1" min="18" max="26" width="8.71"/>
  </cols>
  <sheetData>
    <row r="1" ht="24.0" customHeight="1">
      <c r="A1" s="1" t="str">
        <f>'Cài đặt'!D5</f>
        <v>CÔNG TY TNHH VẬN TẢI &amp; DỊCH VỤ MẪU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ht="39.75" customHeight="1">
      <c r="A2" s="4" t="s">
        <v>83</v>
      </c>
    </row>
    <row r="3" ht="21.75" customHeight="1">
      <c r="A3" s="5" t="str">
        <f>"Tháng "&amp;'Cài đặt'!D7&amp;" năm "&amp;'Cài đặt'!D8&amp;"   |   Bộ phận: "&amp;'Cài đặt'!D6</f>
        <v>Tháng 11 năm 2026   |   Bộ phận: Đội xe – Phòng Hành chính, Hà Nội</v>
      </c>
    </row>
    <row r="4" ht="18.0" customHeight="1">
      <c r="A4" s="61" t="s">
        <v>84</v>
      </c>
      <c r="B4" s="2"/>
      <c r="C4" s="2"/>
      <c r="D4" s="3"/>
      <c r="E4" s="61" t="s">
        <v>85</v>
      </c>
      <c r="F4" s="2"/>
      <c r="G4" s="3"/>
      <c r="H4" s="61" t="s">
        <v>86</v>
      </c>
      <c r="I4" s="2"/>
      <c r="J4" s="2"/>
      <c r="K4" s="2"/>
      <c r="L4" s="3"/>
      <c r="M4" s="61" t="s">
        <v>87</v>
      </c>
      <c r="N4" s="2"/>
      <c r="O4" s="2"/>
      <c r="P4" s="3"/>
    </row>
    <row r="5" ht="30.0" customHeight="1">
      <c r="A5" s="62">
        <f>SUM(I8:I107)</f>
        <v>1515</v>
      </c>
      <c r="B5" s="8"/>
      <c r="C5" s="8"/>
      <c r="D5" s="9"/>
      <c r="E5" s="63">
        <f>SUM(J8:J107)</f>
        <v>13</v>
      </c>
      <c r="F5" s="8"/>
      <c r="G5" s="9"/>
      <c r="H5" s="64">
        <f>IFERROR(SUMIFS(K8:K107,I8:I107,"&gt;0")/SUMIFS(I8:I107,K8:K107,"&gt;0")*100,"-")</f>
        <v>12.01320132</v>
      </c>
      <c r="I5" s="8"/>
      <c r="J5" s="8"/>
      <c r="K5" s="8"/>
      <c r="L5" s="9"/>
      <c r="M5" s="63">
        <f>COUNTIF(P8:P107,"Cần bảo dưỡng")+COUNTIF(P8:P107,"Sự cố")</f>
        <v>1</v>
      </c>
      <c r="N5" s="8"/>
      <c r="O5" s="8"/>
      <c r="P5" s="9"/>
    </row>
    <row r="6" ht="7.5" customHeight="1"/>
    <row r="7" ht="43.5" customHeight="1">
      <c r="A7" s="65" t="s">
        <v>1</v>
      </c>
      <c r="B7" s="65" t="s">
        <v>88</v>
      </c>
      <c r="C7" s="66" t="s">
        <v>89</v>
      </c>
      <c r="D7" s="65" t="s">
        <v>90</v>
      </c>
      <c r="E7" s="65" t="s">
        <v>4</v>
      </c>
      <c r="F7" s="65" t="s">
        <v>91</v>
      </c>
      <c r="G7" s="65" t="s">
        <v>92</v>
      </c>
      <c r="H7" s="65" t="s">
        <v>93</v>
      </c>
      <c r="I7" s="66" t="s">
        <v>63</v>
      </c>
      <c r="J7" s="65" t="s">
        <v>64</v>
      </c>
      <c r="K7" s="65" t="s">
        <v>94</v>
      </c>
      <c r="L7" s="66" t="s">
        <v>95</v>
      </c>
      <c r="M7" s="66" t="s">
        <v>96</v>
      </c>
      <c r="N7" s="65" t="s">
        <v>97</v>
      </c>
      <c r="O7" s="65" t="s">
        <v>98</v>
      </c>
      <c r="P7" s="65" t="s">
        <v>99</v>
      </c>
      <c r="Q7" s="65" t="s">
        <v>8</v>
      </c>
    </row>
    <row r="8" ht="24.0" customHeight="1">
      <c r="A8" s="67">
        <v>1.0</v>
      </c>
      <c r="B8" s="68">
        <v>46328.0</v>
      </c>
      <c r="C8" s="54" t="str">
        <f t="shared" ref="C8:C107" si="1">IF(B8="","",CHOOSE(WEEKDAY(B8,2),"T2","T3","T4","T5","T6","T7","CN"))</f>
        <v>T2</v>
      </c>
      <c r="D8" s="27" t="s">
        <v>15</v>
      </c>
      <c r="E8" s="21" t="s">
        <v>16</v>
      </c>
      <c r="F8" s="69" t="s">
        <v>100</v>
      </c>
      <c r="G8" s="70">
        <v>45200.0</v>
      </c>
      <c r="H8" s="70">
        <v>45296.0</v>
      </c>
      <c r="I8" s="71">
        <f t="shared" ref="I8:I107" si="2">IF(OR(G8="",H8=""),"",IF(H8&lt;G8,"Lỗi",H8-G8))</f>
        <v>96</v>
      </c>
      <c r="J8" s="19">
        <v>2.0</v>
      </c>
      <c r="K8" s="72">
        <v>10.5</v>
      </c>
      <c r="L8" s="73">
        <f t="array" ref="L8">IF(OR(NOT(ISNUMBER(I8)),E8=""),"",IFERROR(I8*INDEX('Cài đặt'!$D$48:$D$57,MATCH(E8,'Cài đặt'!$B$48:$B$57,0))/100,""))</f>
        <v>8.64</v>
      </c>
      <c r="M8" s="74">
        <f t="shared" ref="M8:M107" si="3">IF(OR(L8="",K8=""),"",ROUND(L8-K8,2))</f>
        <v>-1.86</v>
      </c>
      <c r="N8" s="19">
        <v>0.0</v>
      </c>
      <c r="O8" s="75">
        <v>60000.0</v>
      </c>
      <c r="P8" s="21" t="s">
        <v>101</v>
      </c>
      <c r="Q8" s="69"/>
    </row>
    <row r="9" ht="24.0" customHeight="1">
      <c r="A9" s="67">
        <v>2.0</v>
      </c>
      <c r="B9" s="68">
        <v>46328.0</v>
      </c>
      <c r="C9" s="54" t="str">
        <f t="shared" si="1"/>
        <v>T2</v>
      </c>
      <c r="D9" s="27" t="s">
        <v>23</v>
      </c>
      <c r="E9" s="21" t="s">
        <v>24</v>
      </c>
      <c r="F9" s="69" t="s">
        <v>102</v>
      </c>
      <c r="G9" s="70">
        <v>82010.0</v>
      </c>
      <c r="H9" s="70">
        <v>82240.0</v>
      </c>
      <c r="I9" s="71">
        <f t="shared" si="2"/>
        <v>230</v>
      </c>
      <c r="J9" s="19">
        <v>1.0</v>
      </c>
      <c r="K9" s="72">
        <v>24.0</v>
      </c>
      <c r="L9" s="73">
        <f t="array" ref="L9">IF(OR(NOT(ISNUMBER(I9)),E9=""),"",IFERROR(I9*INDEX('Cài đặt'!$D$48:$D$57,MATCH(E9,'Cài đặt'!$B$48:$B$57,0))/100,""))</f>
        <v>25.3</v>
      </c>
      <c r="M9" s="74">
        <f t="shared" si="3"/>
        <v>1.3</v>
      </c>
      <c r="N9" s="19">
        <v>0.0</v>
      </c>
      <c r="O9" s="75">
        <v>180000.0</v>
      </c>
      <c r="P9" s="21" t="s">
        <v>101</v>
      </c>
      <c r="Q9" s="69"/>
    </row>
    <row r="10" ht="24.0" customHeight="1">
      <c r="A10" s="67">
        <v>3.0</v>
      </c>
      <c r="B10" s="68">
        <v>46328.0</v>
      </c>
      <c r="C10" s="54" t="str">
        <f t="shared" si="1"/>
        <v>T2</v>
      </c>
      <c r="D10" s="27" t="s">
        <v>31</v>
      </c>
      <c r="E10" s="21" t="s">
        <v>32</v>
      </c>
      <c r="F10" s="69" t="s">
        <v>103</v>
      </c>
      <c r="G10" s="70">
        <v>120400.0</v>
      </c>
      <c r="H10" s="70">
        <v>120710.0</v>
      </c>
      <c r="I10" s="71">
        <f t="shared" si="2"/>
        <v>310</v>
      </c>
      <c r="J10" s="19">
        <v>1.0</v>
      </c>
      <c r="K10" s="72">
        <v>40.0</v>
      </c>
      <c r="L10" s="73">
        <f t="array" ref="L10">IF(OR(NOT(ISNUMBER(I10)),E10=""),"",IFERROR(I10*INDEX('Cài đặt'!$D$48:$D$57,MATCH(E10,'Cài đặt'!$B$48:$B$57,0))/100,""))</f>
        <v>37.2</v>
      </c>
      <c r="M10" s="74">
        <f t="shared" si="3"/>
        <v>-2.8</v>
      </c>
      <c r="N10" s="19">
        <v>1.0</v>
      </c>
      <c r="O10" s="75">
        <v>350000.0</v>
      </c>
      <c r="P10" s="21" t="s">
        <v>101</v>
      </c>
      <c r="Q10" s="69"/>
    </row>
    <row r="11" ht="24.0" customHeight="1">
      <c r="A11" s="67">
        <v>4.0</v>
      </c>
      <c r="B11" s="68">
        <v>46329.0</v>
      </c>
      <c r="C11" s="54" t="str">
        <f t="shared" si="1"/>
        <v>T3</v>
      </c>
      <c r="D11" s="27" t="s">
        <v>36</v>
      </c>
      <c r="E11" s="21" t="s">
        <v>37</v>
      </c>
      <c r="F11" s="69" t="s">
        <v>104</v>
      </c>
      <c r="G11" s="70">
        <v>33100.0</v>
      </c>
      <c r="H11" s="70">
        <v>33185.0</v>
      </c>
      <c r="I11" s="71">
        <f t="shared" si="2"/>
        <v>85</v>
      </c>
      <c r="J11" s="19">
        <v>3.0</v>
      </c>
      <c r="K11" s="72">
        <v>11.0</v>
      </c>
      <c r="L11" s="73">
        <f t="array" ref="L11">IF(OR(NOT(ISNUMBER(I11)),E11=""),"",IFERROR(I11*INDEX('Cài đặt'!$D$48:$D$57,MATCH(E11,'Cài đặt'!$B$48:$B$57,0))/100,""))</f>
        <v>11.05</v>
      </c>
      <c r="M11" s="74">
        <f t="shared" si="3"/>
        <v>0.05</v>
      </c>
      <c r="N11" s="19">
        <v>0.0</v>
      </c>
      <c r="O11" s="75">
        <v>40000.0</v>
      </c>
      <c r="P11" s="21" t="s">
        <v>101</v>
      </c>
      <c r="Q11" s="69"/>
    </row>
    <row r="12" ht="24.0" customHeight="1">
      <c r="A12" s="67">
        <v>5.0</v>
      </c>
      <c r="B12" s="68">
        <v>46329.0</v>
      </c>
      <c r="C12" s="54" t="str">
        <f t="shared" si="1"/>
        <v>T3</v>
      </c>
      <c r="D12" s="27" t="s">
        <v>40</v>
      </c>
      <c r="E12" s="21" t="s">
        <v>41</v>
      </c>
      <c r="F12" s="69" t="s">
        <v>105</v>
      </c>
      <c r="G12" s="70">
        <v>56000.0</v>
      </c>
      <c r="H12" s="70">
        <v>56150.0</v>
      </c>
      <c r="I12" s="71">
        <f t="shared" si="2"/>
        <v>150</v>
      </c>
      <c r="J12" s="19">
        <v>2.0</v>
      </c>
      <c r="K12" s="72">
        <v>21.0</v>
      </c>
      <c r="L12" s="73">
        <f t="array" ref="L12">IF(OR(NOT(ISNUMBER(I12)),E12=""),"",IFERROR(I12*INDEX('Cài đặt'!$D$48:$D$57,MATCH(E12,'Cài đặt'!$B$48:$B$57,0))/100,""))</f>
        <v>21</v>
      </c>
      <c r="M12" s="74">
        <f t="shared" si="3"/>
        <v>0</v>
      </c>
      <c r="N12" s="19">
        <v>0.0</v>
      </c>
      <c r="O12" s="75">
        <v>90000.0</v>
      </c>
      <c r="P12" s="21" t="s">
        <v>101</v>
      </c>
      <c r="Q12" s="69"/>
    </row>
    <row r="13" ht="24.0" customHeight="1">
      <c r="A13" s="67">
        <v>6.0</v>
      </c>
      <c r="B13" s="68">
        <v>46330.0</v>
      </c>
      <c r="C13" s="54" t="str">
        <f t="shared" si="1"/>
        <v>T4</v>
      </c>
      <c r="D13" s="27" t="s">
        <v>29</v>
      </c>
      <c r="E13" s="21" t="s">
        <v>24</v>
      </c>
      <c r="F13" s="69" t="s">
        <v>106</v>
      </c>
      <c r="G13" s="70">
        <v>82240.0</v>
      </c>
      <c r="H13" s="70">
        <v>82500.0</v>
      </c>
      <c r="I13" s="71">
        <f t="shared" si="2"/>
        <v>260</v>
      </c>
      <c r="J13" s="19">
        <v>1.0</v>
      </c>
      <c r="K13" s="72">
        <v>29.0</v>
      </c>
      <c r="L13" s="73">
        <f t="array" ref="L13">IF(OR(NOT(ISNUMBER(I13)),E13=""),"",IFERROR(I13*INDEX('Cài đặt'!$D$48:$D$57,MATCH(E13,'Cài đặt'!$B$48:$B$57,0))/100,""))</f>
        <v>28.6</v>
      </c>
      <c r="M13" s="74">
        <f t="shared" si="3"/>
        <v>-0.4</v>
      </c>
      <c r="N13" s="19">
        <v>0.0</v>
      </c>
      <c r="O13" s="75">
        <v>160000.0</v>
      </c>
      <c r="P13" s="21" t="s">
        <v>101</v>
      </c>
      <c r="Q13" s="69"/>
    </row>
    <row r="14" ht="24.0" customHeight="1">
      <c r="A14" s="67">
        <v>7.0</v>
      </c>
      <c r="B14" s="68">
        <v>46330.0</v>
      </c>
      <c r="C14" s="54" t="str">
        <f t="shared" si="1"/>
        <v>T4</v>
      </c>
      <c r="D14" s="27" t="s">
        <v>20</v>
      </c>
      <c r="E14" s="21" t="s">
        <v>16</v>
      </c>
      <c r="F14" s="69" t="s">
        <v>107</v>
      </c>
      <c r="G14" s="70">
        <v>45296.0</v>
      </c>
      <c r="H14" s="70">
        <v>45500.0</v>
      </c>
      <c r="I14" s="71">
        <f t="shared" si="2"/>
        <v>204</v>
      </c>
      <c r="J14" s="19">
        <v>1.0</v>
      </c>
      <c r="K14" s="72">
        <v>20.0</v>
      </c>
      <c r="L14" s="73">
        <f t="array" ref="L14">IF(OR(NOT(ISNUMBER(I14)),E14=""),"",IFERROR(I14*INDEX('Cài đặt'!$D$48:$D$57,MATCH(E14,'Cài đặt'!$B$48:$B$57,0))/100,""))</f>
        <v>18.36</v>
      </c>
      <c r="M14" s="74">
        <f t="shared" si="3"/>
        <v>-1.64</v>
      </c>
      <c r="N14" s="19">
        <v>1.0</v>
      </c>
      <c r="O14" s="75">
        <v>150000.0</v>
      </c>
      <c r="P14" s="21" t="s">
        <v>108</v>
      </c>
      <c r="Q14" s="69" t="s">
        <v>109</v>
      </c>
    </row>
    <row r="15" ht="24.0" customHeight="1">
      <c r="A15" s="67">
        <v>8.0</v>
      </c>
      <c r="B15" s="68">
        <v>46331.0</v>
      </c>
      <c r="C15" s="54" t="str">
        <f t="shared" si="1"/>
        <v>T5</v>
      </c>
      <c r="D15" s="27" t="s">
        <v>43</v>
      </c>
      <c r="E15" s="21" t="s">
        <v>41</v>
      </c>
      <c r="F15" s="69" t="s">
        <v>110</v>
      </c>
      <c r="G15" s="70">
        <v>56150.0</v>
      </c>
      <c r="H15" s="70">
        <v>56330.0</v>
      </c>
      <c r="I15" s="71">
        <f t="shared" si="2"/>
        <v>180</v>
      </c>
      <c r="J15" s="19">
        <v>2.0</v>
      </c>
      <c r="K15" s="72">
        <v>26.5</v>
      </c>
      <c r="L15" s="73">
        <f t="array" ref="L15">IF(OR(NOT(ISNUMBER(I15)),E15=""),"",IFERROR(I15*INDEX('Cài đặt'!$D$48:$D$57,MATCH(E15,'Cài đặt'!$B$48:$B$57,0))/100,""))</f>
        <v>25.2</v>
      </c>
      <c r="M15" s="74">
        <f t="shared" si="3"/>
        <v>-1.3</v>
      </c>
      <c r="N15" s="19">
        <v>0.0</v>
      </c>
      <c r="O15" s="75">
        <v>110000.0</v>
      </c>
      <c r="P15" s="21" t="s">
        <v>101</v>
      </c>
      <c r="Q15" s="69"/>
    </row>
    <row r="16" ht="24.0" customHeight="1">
      <c r="A16" s="67">
        <v>9.0</v>
      </c>
      <c r="B16" s="68"/>
      <c r="C16" s="54" t="str">
        <f t="shared" si="1"/>
        <v/>
      </c>
      <c r="D16" s="27"/>
      <c r="E16" s="21"/>
      <c r="F16" s="69"/>
      <c r="G16" s="70"/>
      <c r="H16" s="70"/>
      <c r="I16" s="71" t="str">
        <f t="shared" si="2"/>
        <v/>
      </c>
      <c r="J16" s="19"/>
      <c r="K16" s="72"/>
      <c r="L16" s="73" t="str">
        <f t="array" ref="L16">IF(OR(NOT(ISNUMBER(I16)),E16=""),"",IFERROR(I16*INDEX('Cài đặt'!$D$48:$D$57,MATCH(E16,'Cài đặt'!$B$48:$B$57,0))/100,""))</f>
        <v/>
      </c>
      <c r="M16" s="74" t="str">
        <f t="shared" si="3"/>
        <v/>
      </c>
      <c r="N16" s="19"/>
      <c r="O16" s="75"/>
      <c r="P16" s="21"/>
      <c r="Q16" s="69"/>
    </row>
    <row r="17" ht="24.0" customHeight="1">
      <c r="A17" s="67">
        <v>10.0</v>
      </c>
      <c r="B17" s="68"/>
      <c r="C17" s="54" t="str">
        <f t="shared" si="1"/>
        <v/>
      </c>
      <c r="D17" s="27"/>
      <c r="E17" s="21"/>
      <c r="F17" s="69"/>
      <c r="G17" s="70"/>
      <c r="H17" s="70"/>
      <c r="I17" s="71" t="str">
        <f t="shared" si="2"/>
        <v/>
      </c>
      <c r="J17" s="19"/>
      <c r="K17" s="72"/>
      <c r="L17" s="73" t="str">
        <f t="array" ref="L17">IF(OR(NOT(ISNUMBER(I17)),E17=""),"",IFERROR(I17*INDEX('Cài đặt'!$D$48:$D$57,MATCH(E17,'Cài đặt'!$B$48:$B$57,0))/100,""))</f>
        <v/>
      </c>
      <c r="M17" s="74" t="str">
        <f t="shared" si="3"/>
        <v/>
      </c>
      <c r="N17" s="19"/>
      <c r="O17" s="75"/>
      <c r="P17" s="21"/>
      <c r="Q17" s="69"/>
    </row>
    <row r="18" ht="24.0" customHeight="1">
      <c r="A18" s="67">
        <v>11.0</v>
      </c>
      <c r="B18" s="68"/>
      <c r="C18" s="54" t="str">
        <f t="shared" si="1"/>
        <v/>
      </c>
      <c r="D18" s="27"/>
      <c r="E18" s="21"/>
      <c r="F18" s="69"/>
      <c r="G18" s="70"/>
      <c r="H18" s="70"/>
      <c r="I18" s="71" t="str">
        <f t="shared" si="2"/>
        <v/>
      </c>
      <c r="J18" s="19"/>
      <c r="K18" s="72"/>
      <c r="L18" s="73" t="str">
        <f t="array" ref="L18">IF(OR(NOT(ISNUMBER(I18)),E18=""),"",IFERROR(I18*INDEX('Cài đặt'!$D$48:$D$57,MATCH(E18,'Cài đặt'!$B$48:$B$57,0))/100,""))</f>
        <v/>
      </c>
      <c r="M18" s="74" t="str">
        <f t="shared" si="3"/>
        <v/>
      </c>
      <c r="N18" s="19"/>
      <c r="O18" s="75"/>
      <c r="P18" s="21"/>
      <c r="Q18" s="69"/>
    </row>
    <row r="19" ht="24.0" customHeight="1">
      <c r="A19" s="67">
        <v>12.0</v>
      </c>
      <c r="B19" s="68"/>
      <c r="C19" s="54" t="str">
        <f t="shared" si="1"/>
        <v/>
      </c>
      <c r="D19" s="27"/>
      <c r="E19" s="21"/>
      <c r="F19" s="69"/>
      <c r="G19" s="70"/>
      <c r="H19" s="70"/>
      <c r="I19" s="71" t="str">
        <f t="shared" si="2"/>
        <v/>
      </c>
      <c r="J19" s="19"/>
      <c r="K19" s="72"/>
      <c r="L19" s="73" t="str">
        <f t="array" ref="L19">IF(OR(NOT(ISNUMBER(I19)),E19=""),"",IFERROR(I19*INDEX('Cài đặt'!$D$48:$D$57,MATCH(E19,'Cài đặt'!$B$48:$B$57,0))/100,""))</f>
        <v/>
      </c>
      <c r="M19" s="74" t="str">
        <f t="shared" si="3"/>
        <v/>
      </c>
      <c r="N19" s="19"/>
      <c r="O19" s="75"/>
      <c r="P19" s="21"/>
      <c r="Q19" s="69"/>
    </row>
    <row r="20" ht="24.0" customHeight="1">
      <c r="A20" s="67">
        <v>13.0</v>
      </c>
      <c r="B20" s="68"/>
      <c r="C20" s="54" t="str">
        <f t="shared" si="1"/>
        <v/>
      </c>
      <c r="D20" s="27"/>
      <c r="E20" s="21"/>
      <c r="F20" s="69"/>
      <c r="G20" s="70"/>
      <c r="H20" s="70"/>
      <c r="I20" s="71" t="str">
        <f t="shared" si="2"/>
        <v/>
      </c>
      <c r="J20" s="19"/>
      <c r="K20" s="72"/>
      <c r="L20" s="73" t="str">
        <f t="array" ref="L20">IF(OR(NOT(ISNUMBER(I20)),E20=""),"",IFERROR(I20*INDEX('Cài đặt'!$D$48:$D$57,MATCH(E20,'Cài đặt'!$B$48:$B$57,0))/100,""))</f>
        <v/>
      </c>
      <c r="M20" s="74" t="str">
        <f t="shared" si="3"/>
        <v/>
      </c>
      <c r="N20" s="19"/>
      <c r="O20" s="75"/>
      <c r="P20" s="21"/>
      <c r="Q20" s="69"/>
    </row>
    <row r="21" ht="24.0" customHeight="1">
      <c r="A21" s="67">
        <v>14.0</v>
      </c>
      <c r="B21" s="68"/>
      <c r="C21" s="54" t="str">
        <f t="shared" si="1"/>
        <v/>
      </c>
      <c r="D21" s="27"/>
      <c r="E21" s="21"/>
      <c r="F21" s="69"/>
      <c r="G21" s="70"/>
      <c r="H21" s="70"/>
      <c r="I21" s="71" t="str">
        <f t="shared" si="2"/>
        <v/>
      </c>
      <c r="J21" s="19"/>
      <c r="K21" s="72"/>
      <c r="L21" s="73" t="str">
        <f t="array" ref="L21">IF(OR(NOT(ISNUMBER(I21)),E21=""),"",IFERROR(I21*INDEX('Cài đặt'!$D$48:$D$57,MATCH(E21,'Cài đặt'!$B$48:$B$57,0))/100,""))</f>
        <v/>
      </c>
      <c r="M21" s="74" t="str">
        <f t="shared" si="3"/>
        <v/>
      </c>
      <c r="N21" s="19"/>
      <c r="O21" s="75"/>
      <c r="P21" s="21"/>
      <c r="Q21" s="69"/>
    </row>
    <row r="22" ht="24.0" customHeight="1">
      <c r="A22" s="67">
        <v>15.0</v>
      </c>
      <c r="B22" s="68"/>
      <c r="C22" s="54" t="str">
        <f t="shared" si="1"/>
        <v/>
      </c>
      <c r="D22" s="27"/>
      <c r="E22" s="21"/>
      <c r="F22" s="69"/>
      <c r="G22" s="70"/>
      <c r="H22" s="70"/>
      <c r="I22" s="71" t="str">
        <f t="shared" si="2"/>
        <v/>
      </c>
      <c r="J22" s="19"/>
      <c r="K22" s="72"/>
      <c r="L22" s="73" t="str">
        <f t="array" ref="L22">IF(OR(NOT(ISNUMBER(I22)),E22=""),"",IFERROR(I22*INDEX('Cài đặt'!$D$48:$D$57,MATCH(E22,'Cài đặt'!$B$48:$B$57,0))/100,""))</f>
        <v/>
      </c>
      <c r="M22" s="74" t="str">
        <f t="shared" si="3"/>
        <v/>
      </c>
      <c r="N22" s="19"/>
      <c r="O22" s="75"/>
      <c r="P22" s="21"/>
      <c r="Q22" s="69"/>
    </row>
    <row r="23" ht="24.0" customHeight="1">
      <c r="A23" s="67">
        <v>16.0</v>
      </c>
      <c r="B23" s="68"/>
      <c r="C23" s="54" t="str">
        <f t="shared" si="1"/>
        <v/>
      </c>
      <c r="D23" s="27"/>
      <c r="E23" s="21"/>
      <c r="F23" s="69"/>
      <c r="G23" s="70"/>
      <c r="H23" s="70"/>
      <c r="I23" s="71" t="str">
        <f t="shared" si="2"/>
        <v/>
      </c>
      <c r="J23" s="19"/>
      <c r="K23" s="72"/>
      <c r="L23" s="73" t="str">
        <f t="array" ref="L23">IF(OR(NOT(ISNUMBER(I23)),E23=""),"",IFERROR(I23*INDEX('Cài đặt'!$D$48:$D$57,MATCH(E23,'Cài đặt'!$B$48:$B$57,0))/100,""))</f>
        <v/>
      </c>
      <c r="M23" s="74" t="str">
        <f t="shared" si="3"/>
        <v/>
      </c>
      <c r="N23" s="19"/>
      <c r="O23" s="75"/>
      <c r="P23" s="21"/>
      <c r="Q23" s="69"/>
    </row>
    <row r="24" ht="24.0" customHeight="1">
      <c r="A24" s="67">
        <v>17.0</v>
      </c>
      <c r="B24" s="68"/>
      <c r="C24" s="54" t="str">
        <f t="shared" si="1"/>
        <v/>
      </c>
      <c r="D24" s="27"/>
      <c r="E24" s="21"/>
      <c r="F24" s="69"/>
      <c r="G24" s="70"/>
      <c r="H24" s="70"/>
      <c r="I24" s="71" t="str">
        <f t="shared" si="2"/>
        <v/>
      </c>
      <c r="J24" s="19"/>
      <c r="K24" s="72"/>
      <c r="L24" s="73" t="str">
        <f t="array" ref="L24">IF(OR(NOT(ISNUMBER(I24)),E24=""),"",IFERROR(I24*INDEX('Cài đặt'!$D$48:$D$57,MATCH(E24,'Cài đặt'!$B$48:$B$57,0))/100,""))</f>
        <v/>
      </c>
      <c r="M24" s="74" t="str">
        <f t="shared" si="3"/>
        <v/>
      </c>
      <c r="N24" s="19"/>
      <c r="O24" s="75"/>
      <c r="P24" s="21"/>
      <c r="Q24" s="69"/>
    </row>
    <row r="25" ht="24.0" customHeight="1">
      <c r="A25" s="67">
        <v>18.0</v>
      </c>
      <c r="B25" s="68"/>
      <c r="C25" s="54" t="str">
        <f t="shared" si="1"/>
        <v/>
      </c>
      <c r="D25" s="27"/>
      <c r="E25" s="21"/>
      <c r="F25" s="69"/>
      <c r="G25" s="70"/>
      <c r="H25" s="70"/>
      <c r="I25" s="71" t="str">
        <f t="shared" si="2"/>
        <v/>
      </c>
      <c r="J25" s="19"/>
      <c r="K25" s="72"/>
      <c r="L25" s="73" t="str">
        <f t="array" ref="L25">IF(OR(NOT(ISNUMBER(I25)),E25=""),"",IFERROR(I25*INDEX('Cài đặt'!$D$48:$D$57,MATCH(E25,'Cài đặt'!$B$48:$B$57,0))/100,""))</f>
        <v/>
      </c>
      <c r="M25" s="74" t="str">
        <f t="shared" si="3"/>
        <v/>
      </c>
      <c r="N25" s="19"/>
      <c r="O25" s="75"/>
      <c r="P25" s="21"/>
      <c r="Q25" s="69"/>
    </row>
    <row r="26" ht="24.0" customHeight="1">
      <c r="A26" s="67">
        <v>19.0</v>
      </c>
      <c r="B26" s="68"/>
      <c r="C26" s="54" t="str">
        <f t="shared" si="1"/>
        <v/>
      </c>
      <c r="D26" s="27"/>
      <c r="E26" s="21"/>
      <c r="F26" s="69"/>
      <c r="G26" s="70"/>
      <c r="H26" s="70"/>
      <c r="I26" s="71" t="str">
        <f t="shared" si="2"/>
        <v/>
      </c>
      <c r="J26" s="19"/>
      <c r="K26" s="72"/>
      <c r="L26" s="73" t="str">
        <f t="array" ref="L26">IF(OR(NOT(ISNUMBER(I26)),E26=""),"",IFERROR(I26*INDEX('Cài đặt'!$D$48:$D$57,MATCH(E26,'Cài đặt'!$B$48:$B$57,0))/100,""))</f>
        <v/>
      </c>
      <c r="M26" s="74" t="str">
        <f t="shared" si="3"/>
        <v/>
      </c>
      <c r="N26" s="19"/>
      <c r="O26" s="75"/>
      <c r="P26" s="21"/>
      <c r="Q26" s="69"/>
    </row>
    <row r="27" ht="24.0" customHeight="1">
      <c r="A27" s="67">
        <v>20.0</v>
      </c>
      <c r="B27" s="68"/>
      <c r="C27" s="54" t="str">
        <f t="shared" si="1"/>
        <v/>
      </c>
      <c r="D27" s="27"/>
      <c r="E27" s="21"/>
      <c r="F27" s="69"/>
      <c r="G27" s="70"/>
      <c r="H27" s="70"/>
      <c r="I27" s="71" t="str">
        <f t="shared" si="2"/>
        <v/>
      </c>
      <c r="J27" s="19"/>
      <c r="K27" s="72"/>
      <c r="L27" s="73" t="str">
        <f t="array" ref="L27">IF(OR(NOT(ISNUMBER(I27)),E27=""),"",IFERROR(I27*INDEX('Cài đặt'!$D$48:$D$57,MATCH(E27,'Cài đặt'!$B$48:$B$57,0))/100,""))</f>
        <v/>
      </c>
      <c r="M27" s="74" t="str">
        <f t="shared" si="3"/>
        <v/>
      </c>
      <c r="N27" s="19"/>
      <c r="O27" s="75"/>
      <c r="P27" s="21"/>
      <c r="Q27" s="69"/>
    </row>
    <row r="28" ht="24.0" customHeight="1">
      <c r="A28" s="67">
        <v>21.0</v>
      </c>
      <c r="B28" s="68"/>
      <c r="C28" s="54" t="str">
        <f t="shared" si="1"/>
        <v/>
      </c>
      <c r="D28" s="27"/>
      <c r="E28" s="21"/>
      <c r="F28" s="69"/>
      <c r="G28" s="70"/>
      <c r="H28" s="70"/>
      <c r="I28" s="71" t="str">
        <f t="shared" si="2"/>
        <v/>
      </c>
      <c r="J28" s="19"/>
      <c r="K28" s="72"/>
      <c r="L28" s="73" t="str">
        <f t="array" ref="L28">IF(OR(NOT(ISNUMBER(I28)),E28=""),"",IFERROR(I28*INDEX('Cài đặt'!$D$48:$D$57,MATCH(E28,'Cài đặt'!$B$48:$B$57,0))/100,""))</f>
        <v/>
      </c>
      <c r="M28" s="74" t="str">
        <f t="shared" si="3"/>
        <v/>
      </c>
      <c r="N28" s="19"/>
      <c r="O28" s="75"/>
      <c r="P28" s="21"/>
      <c r="Q28" s="69"/>
    </row>
    <row r="29" ht="24.0" customHeight="1">
      <c r="A29" s="67">
        <v>22.0</v>
      </c>
      <c r="B29" s="68"/>
      <c r="C29" s="54" t="str">
        <f t="shared" si="1"/>
        <v/>
      </c>
      <c r="D29" s="27"/>
      <c r="E29" s="21"/>
      <c r="F29" s="69"/>
      <c r="G29" s="70"/>
      <c r="H29" s="70"/>
      <c r="I29" s="71" t="str">
        <f t="shared" si="2"/>
        <v/>
      </c>
      <c r="J29" s="19"/>
      <c r="K29" s="72"/>
      <c r="L29" s="73" t="str">
        <f t="array" ref="L29">IF(OR(NOT(ISNUMBER(I29)),E29=""),"",IFERROR(I29*INDEX('Cài đặt'!$D$48:$D$57,MATCH(E29,'Cài đặt'!$B$48:$B$57,0))/100,""))</f>
        <v/>
      </c>
      <c r="M29" s="74" t="str">
        <f t="shared" si="3"/>
        <v/>
      </c>
      <c r="N29" s="19"/>
      <c r="O29" s="75"/>
      <c r="P29" s="21"/>
      <c r="Q29" s="69"/>
    </row>
    <row r="30" ht="24.0" customHeight="1">
      <c r="A30" s="67">
        <v>23.0</v>
      </c>
      <c r="B30" s="68"/>
      <c r="C30" s="54" t="str">
        <f t="shared" si="1"/>
        <v/>
      </c>
      <c r="D30" s="27"/>
      <c r="E30" s="21"/>
      <c r="F30" s="69"/>
      <c r="G30" s="70"/>
      <c r="H30" s="70"/>
      <c r="I30" s="71" t="str">
        <f t="shared" si="2"/>
        <v/>
      </c>
      <c r="J30" s="19"/>
      <c r="K30" s="72"/>
      <c r="L30" s="73" t="str">
        <f t="array" ref="L30">IF(OR(NOT(ISNUMBER(I30)),E30=""),"",IFERROR(I30*INDEX('Cài đặt'!$D$48:$D$57,MATCH(E30,'Cài đặt'!$B$48:$B$57,0))/100,""))</f>
        <v/>
      </c>
      <c r="M30" s="74" t="str">
        <f t="shared" si="3"/>
        <v/>
      </c>
      <c r="N30" s="19"/>
      <c r="O30" s="75"/>
      <c r="P30" s="21"/>
      <c r="Q30" s="69"/>
    </row>
    <row r="31" ht="24.0" customHeight="1">
      <c r="A31" s="67">
        <v>24.0</v>
      </c>
      <c r="B31" s="68"/>
      <c r="C31" s="54" t="str">
        <f t="shared" si="1"/>
        <v/>
      </c>
      <c r="D31" s="27"/>
      <c r="E31" s="21"/>
      <c r="F31" s="69"/>
      <c r="G31" s="70"/>
      <c r="H31" s="70"/>
      <c r="I31" s="71" t="str">
        <f t="shared" si="2"/>
        <v/>
      </c>
      <c r="J31" s="19"/>
      <c r="K31" s="72"/>
      <c r="L31" s="73" t="str">
        <f t="array" ref="L31">IF(OR(NOT(ISNUMBER(I31)),E31=""),"",IFERROR(I31*INDEX('Cài đặt'!$D$48:$D$57,MATCH(E31,'Cài đặt'!$B$48:$B$57,0))/100,""))</f>
        <v/>
      </c>
      <c r="M31" s="74" t="str">
        <f t="shared" si="3"/>
        <v/>
      </c>
      <c r="N31" s="19"/>
      <c r="O31" s="75"/>
      <c r="P31" s="21"/>
      <c r="Q31" s="69"/>
    </row>
    <row r="32" ht="24.0" customHeight="1">
      <c r="A32" s="67">
        <v>25.0</v>
      </c>
      <c r="B32" s="68"/>
      <c r="C32" s="54" t="str">
        <f t="shared" si="1"/>
        <v/>
      </c>
      <c r="D32" s="27"/>
      <c r="E32" s="21"/>
      <c r="F32" s="69"/>
      <c r="G32" s="70"/>
      <c r="H32" s="70"/>
      <c r="I32" s="71" t="str">
        <f t="shared" si="2"/>
        <v/>
      </c>
      <c r="J32" s="19"/>
      <c r="K32" s="72"/>
      <c r="L32" s="73" t="str">
        <f t="array" ref="L32">IF(OR(NOT(ISNUMBER(I32)),E32=""),"",IFERROR(I32*INDEX('Cài đặt'!$D$48:$D$57,MATCH(E32,'Cài đặt'!$B$48:$B$57,0))/100,""))</f>
        <v/>
      </c>
      <c r="M32" s="74" t="str">
        <f t="shared" si="3"/>
        <v/>
      </c>
      <c r="N32" s="19"/>
      <c r="O32" s="75"/>
      <c r="P32" s="21"/>
      <c r="Q32" s="69"/>
    </row>
    <row r="33" ht="24.0" customHeight="1">
      <c r="A33" s="67">
        <v>26.0</v>
      </c>
      <c r="B33" s="68"/>
      <c r="C33" s="54" t="str">
        <f t="shared" si="1"/>
        <v/>
      </c>
      <c r="D33" s="27"/>
      <c r="E33" s="21"/>
      <c r="F33" s="69"/>
      <c r="G33" s="70"/>
      <c r="H33" s="70"/>
      <c r="I33" s="71" t="str">
        <f t="shared" si="2"/>
        <v/>
      </c>
      <c r="J33" s="19"/>
      <c r="K33" s="72"/>
      <c r="L33" s="73" t="str">
        <f t="array" ref="L33">IF(OR(NOT(ISNUMBER(I33)),E33=""),"",IFERROR(I33*INDEX('Cài đặt'!$D$48:$D$57,MATCH(E33,'Cài đặt'!$B$48:$B$57,0))/100,""))</f>
        <v/>
      </c>
      <c r="M33" s="74" t="str">
        <f t="shared" si="3"/>
        <v/>
      </c>
      <c r="N33" s="19"/>
      <c r="O33" s="75"/>
      <c r="P33" s="21"/>
      <c r="Q33" s="69"/>
    </row>
    <row r="34" ht="24.0" customHeight="1">
      <c r="A34" s="67">
        <v>27.0</v>
      </c>
      <c r="B34" s="68"/>
      <c r="C34" s="54" t="str">
        <f t="shared" si="1"/>
        <v/>
      </c>
      <c r="D34" s="27"/>
      <c r="E34" s="21"/>
      <c r="F34" s="69"/>
      <c r="G34" s="70"/>
      <c r="H34" s="70"/>
      <c r="I34" s="71" t="str">
        <f t="shared" si="2"/>
        <v/>
      </c>
      <c r="J34" s="19"/>
      <c r="K34" s="72"/>
      <c r="L34" s="73" t="str">
        <f t="array" ref="L34">IF(OR(NOT(ISNUMBER(I34)),E34=""),"",IFERROR(I34*INDEX('Cài đặt'!$D$48:$D$57,MATCH(E34,'Cài đặt'!$B$48:$B$57,0))/100,""))</f>
        <v/>
      </c>
      <c r="M34" s="74" t="str">
        <f t="shared" si="3"/>
        <v/>
      </c>
      <c r="N34" s="19"/>
      <c r="O34" s="75"/>
      <c r="P34" s="21"/>
      <c r="Q34" s="69"/>
    </row>
    <row r="35" ht="24.0" customHeight="1">
      <c r="A35" s="67">
        <v>28.0</v>
      </c>
      <c r="B35" s="68"/>
      <c r="C35" s="54" t="str">
        <f t="shared" si="1"/>
        <v/>
      </c>
      <c r="D35" s="27"/>
      <c r="E35" s="21"/>
      <c r="F35" s="69"/>
      <c r="G35" s="70"/>
      <c r="H35" s="70"/>
      <c r="I35" s="71" t="str">
        <f t="shared" si="2"/>
        <v/>
      </c>
      <c r="J35" s="19"/>
      <c r="K35" s="72"/>
      <c r="L35" s="73" t="str">
        <f t="array" ref="L35">IF(OR(NOT(ISNUMBER(I35)),E35=""),"",IFERROR(I35*INDEX('Cài đặt'!$D$48:$D$57,MATCH(E35,'Cài đặt'!$B$48:$B$57,0))/100,""))</f>
        <v/>
      </c>
      <c r="M35" s="74" t="str">
        <f t="shared" si="3"/>
        <v/>
      </c>
      <c r="N35" s="19"/>
      <c r="O35" s="75"/>
      <c r="P35" s="21"/>
      <c r="Q35" s="69"/>
    </row>
    <row r="36" ht="24.0" customHeight="1">
      <c r="A36" s="67">
        <v>29.0</v>
      </c>
      <c r="B36" s="68"/>
      <c r="C36" s="54" t="str">
        <f t="shared" si="1"/>
        <v/>
      </c>
      <c r="D36" s="27"/>
      <c r="E36" s="21"/>
      <c r="F36" s="69"/>
      <c r="G36" s="70"/>
      <c r="H36" s="70"/>
      <c r="I36" s="71" t="str">
        <f t="shared" si="2"/>
        <v/>
      </c>
      <c r="J36" s="19"/>
      <c r="K36" s="72"/>
      <c r="L36" s="73" t="str">
        <f t="array" ref="L36">IF(OR(NOT(ISNUMBER(I36)),E36=""),"",IFERROR(I36*INDEX('Cài đặt'!$D$48:$D$57,MATCH(E36,'Cài đặt'!$B$48:$B$57,0))/100,""))</f>
        <v/>
      </c>
      <c r="M36" s="74" t="str">
        <f t="shared" si="3"/>
        <v/>
      </c>
      <c r="N36" s="19"/>
      <c r="O36" s="75"/>
      <c r="P36" s="21"/>
      <c r="Q36" s="69"/>
    </row>
    <row r="37" ht="24.0" customHeight="1">
      <c r="A37" s="67">
        <v>30.0</v>
      </c>
      <c r="B37" s="68"/>
      <c r="C37" s="54" t="str">
        <f t="shared" si="1"/>
        <v/>
      </c>
      <c r="D37" s="27"/>
      <c r="E37" s="21"/>
      <c r="F37" s="69"/>
      <c r="G37" s="70"/>
      <c r="H37" s="70"/>
      <c r="I37" s="71" t="str">
        <f t="shared" si="2"/>
        <v/>
      </c>
      <c r="J37" s="19"/>
      <c r="K37" s="72"/>
      <c r="L37" s="73" t="str">
        <f t="array" ref="L37">IF(OR(NOT(ISNUMBER(I37)),E37=""),"",IFERROR(I37*INDEX('Cài đặt'!$D$48:$D$57,MATCH(E37,'Cài đặt'!$B$48:$B$57,0))/100,""))</f>
        <v/>
      </c>
      <c r="M37" s="74" t="str">
        <f t="shared" si="3"/>
        <v/>
      </c>
      <c r="N37" s="19"/>
      <c r="O37" s="75"/>
      <c r="P37" s="21"/>
      <c r="Q37" s="69"/>
    </row>
    <row r="38" ht="24.0" customHeight="1">
      <c r="A38" s="67">
        <v>31.0</v>
      </c>
      <c r="B38" s="68"/>
      <c r="C38" s="54" t="str">
        <f t="shared" si="1"/>
        <v/>
      </c>
      <c r="D38" s="27"/>
      <c r="E38" s="21"/>
      <c r="F38" s="69"/>
      <c r="G38" s="70"/>
      <c r="H38" s="70"/>
      <c r="I38" s="71" t="str">
        <f t="shared" si="2"/>
        <v/>
      </c>
      <c r="J38" s="19"/>
      <c r="K38" s="72"/>
      <c r="L38" s="73" t="str">
        <f t="array" ref="L38">IF(OR(NOT(ISNUMBER(I38)),E38=""),"",IFERROR(I38*INDEX('Cài đặt'!$D$48:$D$57,MATCH(E38,'Cài đặt'!$B$48:$B$57,0))/100,""))</f>
        <v/>
      </c>
      <c r="M38" s="74" t="str">
        <f t="shared" si="3"/>
        <v/>
      </c>
      <c r="N38" s="19"/>
      <c r="O38" s="75"/>
      <c r="P38" s="21"/>
      <c r="Q38" s="69"/>
    </row>
    <row r="39" ht="24.0" customHeight="1">
      <c r="A39" s="67">
        <v>32.0</v>
      </c>
      <c r="B39" s="68"/>
      <c r="C39" s="54" t="str">
        <f t="shared" si="1"/>
        <v/>
      </c>
      <c r="D39" s="27"/>
      <c r="E39" s="21"/>
      <c r="F39" s="69"/>
      <c r="G39" s="70"/>
      <c r="H39" s="70"/>
      <c r="I39" s="71" t="str">
        <f t="shared" si="2"/>
        <v/>
      </c>
      <c r="J39" s="19"/>
      <c r="K39" s="72"/>
      <c r="L39" s="73" t="str">
        <f t="array" ref="L39">IF(OR(NOT(ISNUMBER(I39)),E39=""),"",IFERROR(I39*INDEX('Cài đặt'!$D$48:$D$57,MATCH(E39,'Cài đặt'!$B$48:$B$57,0))/100,""))</f>
        <v/>
      </c>
      <c r="M39" s="74" t="str">
        <f t="shared" si="3"/>
        <v/>
      </c>
      <c r="N39" s="19"/>
      <c r="O39" s="75"/>
      <c r="P39" s="21"/>
      <c r="Q39" s="69"/>
    </row>
    <row r="40" ht="24.0" customHeight="1">
      <c r="A40" s="67">
        <v>33.0</v>
      </c>
      <c r="B40" s="68"/>
      <c r="C40" s="54" t="str">
        <f t="shared" si="1"/>
        <v/>
      </c>
      <c r="D40" s="27"/>
      <c r="E40" s="21"/>
      <c r="F40" s="69"/>
      <c r="G40" s="70"/>
      <c r="H40" s="70"/>
      <c r="I40" s="71" t="str">
        <f t="shared" si="2"/>
        <v/>
      </c>
      <c r="J40" s="19"/>
      <c r="K40" s="72"/>
      <c r="L40" s="73" t="str">
        <f t="array" ref="L40">IF(OR(NOT(ISNUMBER(I40)),E40=""),"",IFERROR(I40*INDEX('Cài đặt'!$D$48:$D$57,MATCH(E40,'Cài đặt'!$B$48:$B$57,0))/100,""))</f>
        <v/>
      </c>
      <c r="M40" s="74" t="str">
        <f t="shared" si="3"/>
        <v/>
      </c>
      <c r="N40" s="19"/>
      <c r="O40" s="75"/>
      <c r="P40" s="21"/>
      <c r="Q40" s="69"/>
    </row>
    <row r="41" ht="24.0" customHeight="1">
      <c r="A41" s="67">
        <v>34.0</v>
      </c>
      <c r="B41" s="68"/>
      <c r="C41" s="54" t="str">
        <f t="shared" si="1"/>
        <v/>
      </c>
      <c r="D41" s="27"/>
      <c r="E41" s="21"/>
      <c r="F41" s="69"/>
      <c r="G41" s="70"/>
      <c r="H41" s="70"/>
      <c r="I41" s="71" t="str">
        <f t="shared" si="2"/>
        <v/>
      </c>
      <c r="J41" s="19"/>
      <c r="K41" s="72"/>
      <c r="L41" s="73" t="str">
        <f t="array" ref="L41">IF(OR(NOT(ISNUMBER(I41)),E41=""),"",IFERROR(I41*INDEX('Cài đặt'!$D$48:$D$57,MATCH(E41,'Cài đặt'!$B$48:$B$57,0))/100,""))</f>
        <v/>
      </c>
      <c r="M41" s="74" t="str">
        <f t="shared" si="3"/>
        <v/>
      </c>
      <c r="N41" s="19"/>
      <c r="O41" s="75"/>
      <c r="P41" s="21"/>
      <c r="Q41" s="69"/>
    </row>
    <row r="42" ht="24.0" customHeight="1">
      <c r="A42" s="67">
        <v>35.0</v>
      </c>
      <c r="B42" s="68"/>
      <c r="C42" s="54" t="str">
        <f t="shared" si="1"/>
        <v/>
      </c>
      <c r="D42" s="27"/>
      <c r="E42" s="21"/>
      <c r="F42" s="69"/>
      <c r="G42" s="70"/>
      <c r="H42" s="70"/>
      <c r="I42" s="71" t="str">
        <f t="shared" si="2"/>
        <v/>
      </c>
      <c r="J42" s="19"/>
      <c r="K42" s="72"/>
      <c r="L42" s="73" t="str">
        <f t="array" ref="L42">IF(OR(NOT(ISNUMBER(I42)),E42=""),"",IFERROR(I42*INDEX('Cài đặt'!$D$48:$D$57,MATCH(E42,'Cài đặt'!$B$48:$B$57,0))/100,""))</f>
        <v/>
      </c>
      <c r="M42" s="74" t="str">
        <f t="shared" si="3"/>
        <v/>
      </c>
      <c r="N42" s="19"/>
      <c r="O42" s="75"/>
      <c r="P42" s="21"/>
      <c r="Q42" s="69"/>
    </row>
    <row r="43" ht="24.0" customHeight="1">
      <c r="A43" s="67">
        <v>36.0</v>
      </c>
      <c r="B43" s="68"/>
      <c r="C43" s="54" t="str">
        <f t="shared" si="1"/>
        <v/>
      </c>
      <c r="D43" s="27"/>
      <c r="E43" s="21"/>
      <c r="F43" s="69"/>
      <c r="G43" s="70"/>
      <c r="H43" s="70"/>
      <c r="I43" s="71" t="str">
        <f t="shared" si="2"/>
        <v/>
      </c>
      <c r="J43" s="19"/>
      <c r="K43" s="72"/>
      <c r="L43" s="73" t="str">
        <f t="array" ref="L43">IF(OR(NOT(ISNUMBER(I43)),E43=""),"",IFERROR(I43*INDEX('Cài đặt'!$D$48:$D$57,MATCH(E43,'Cài đặt'!$B$48:$B$57,0))/100,""))</f>
        <v/>
      </c>
      <c r="M43" s="74" t="str">
        <f t="shared" si="3"/>
        <v/>
      </c>
      <c r="N43" s="19"/>
      <c r="O43" s="75"/>
      <c r="P43" s="21"/>
      <c r="Q43" s="69"/>
    </row>
    <row r="44" ht="24.0" customHeight="1">
      <c r="A44" s="67">
        <v>37.0</v>
      </c>
      <c r="B44" s="68"/>
      <c r="C44" s="54" t="str">
        <f t="shared" si="1"/>
        <v/>
      </c>
      <c r="D44" s="27"/>
      <c r="E44" s="21"/>
      <c r="F44" s="69"/>
      <c r="G44" s="70"/>
      <c r="H44" s="70"/>
      <c r="I44" s="71" t="str">
        <f t="shared" si="2"/>
        <v/>
      </c>
      <c r="J44" s="19"/>
      <c r="K44" s="72"/>
      <c r="L44" s="73" t="str">
        <f t="array" ref="L44">IF(OR(NOT(ISNUMBER(I44)),E44=""),"",IFERROR(I44*INDEX('Cài đặt'!$D$48:$D$57,MATCH(E44,'Cài đặt'!$B$48:$B$57,0))/100,""))</f>
        <v/>
      </c>
      <c r="M44" s="74" t="str">
        <f t="shared" si="3"/>
        <v/>
      </c>
      <c r="N44" s="19"/>
      <c r="O44" s="75"/>
      <c r="P44" s="21"/>
      <c r="Q44" s="69"/>
    </row>
    <row r="45" ht="24.0" customHeight="1">
      <c r="A45" s="67">
        <v>38.0</v>
      </c>
      <c r="B45" s="68"/>
      <c r="C45" s="54" t="str">
        <f t="shared" si="1"/>
        <v/>
      </c>
      <c r="D45" s="27"/>
      <c r="E45" s="21"/>
      <c r="F45" s="69"/>
      <c r="G45" s="70"/>
      <c r="H45" s="70"/>
      <c r="I45" s="71" t="str">
        <f t="shared" si="2"/>
        <v/>
      </c>
      <c r="J45" s="19"/>
      <c r="K45" s="72"/>
      <c r="L45" s="73" t="str">
        <f t="array" ref="L45">IF(OR(NOT(ISNUMBER(I45)),E45=""),"",IFERROR(I45*INDEX('Cài đặt'!$D$48:$D$57,MATCH(E45,'Cài đặt'!$B$48:$B$57,0))/100,""))</f>
        <v/>
      </c>
      <c r="M45" s="74" t="str">
        <f t="shared" si="3"/>
        <v/>
      </c>
      <c r="N45" s="19"/>
      <c r="O45" s="75"/>
      <c r="P45" s="21"/>
      <c r="Q45" s="69"/>
    </row>
    <row r="46" ht="24.0" customHeight="1">
      <c r="A46" s="67">
        <v>39.0</v>
      </c>
      <c r="B46" s="68"/>
      <c r="C46" s="54" t="str">
        <f t="shared" si="1"/>
        <v/>
      </c>
      <c r="D46" s="27"/>
      <c r="E46" s="21"/>
      <c r="F46" s="69"/>
      <c r="G46" s="70"/>
      <c r="H46" s="70"/>
      <c r="I46" s="71" t="str">
        <f t="shared" si="2"/>
        <v/>
      </c>
      <c r="J46" s="19"/>
      <c r="K46" s="72"/>
      <c r="L46" s="73" t="str">
        <f t="array" ref="L46">IF(OR(NOT(ISNUMBER(I46)),E46=""),"",IFERROR(I46*INDEX('Cài đặt'!$D$48:$D$57,MATCH(E46,'Cài đặt'!$B$48:$B$57,0))/100,""))</f>
        <v/>
      </c>
      <c r="M46" s="74" t="str">
        <f t="shared" si="3"/>
        <v/>
      </c>
      <c r="N46" s="19"/>
      <c r="O46" s="75"/>
      <c r="P46" s="21"/>
      <c r="Q46" s="69"/>
    </row>
    <row r="47" ht="24.0" customHeight="1">
      <c r="A47" s="67">
        <v>40.0</v>
      </c>
      <c r="B47" s="68"/>
      <c r="C47" s="54" t="str">
        <f t="shared" si="1"/>
        <v/>
      </c>
      <c r="D47" s="27"/>
      <c r="E47" s="21"/>
      <c r="F47" s="69"/>
      <c r="G47" s="70"/>
      <c r="H47" s="70"/>
      <c r="I47" s="71" t="str">
        <f t="shared" si="2"/>
        <v/>
      </c>
      <c r="J47" s="19"/>
      <c r="K47" s="72"/>
      <c r="L47" s="73" t="str">
        <f t="array" ref="L47">IF(OR(NOT(ISNUMBER(I47)),E47=""),"",IFERROR(I47*INDEX('Cài đặt'!$D$48:$D$57,MATCH(E47,'Cài đặt'!$B$48:$B$57,0))/100,""))</f>
        <v/>
      </c>
      <c r="M47" s="74" t="str">
        <f t="shared" si="3"/>
        <v/>
      </c>
      <c r="N47" s="19"/>
      <c r="O47" s="75"/>
      <c r="P47" s="21"/>
      <c r="Q47" s="69"/>
    </row>
    <row r="48" ht="24.0" customHeight="1">
      <c r="A48" s="67">
        <v>41.0</v>
      </c>
      <c r="B48" s="68"/>
      <c r="C48" s="54" t="str">
        <f t="shared" si="1"/>
        <v/>
      </c>
      <c r="D48" s="27"/>
      <c r="E48" s="21"/>
      <c r="F48" s="69"/>
      <c r="G48" s="70"/>
      <c r="H48" s="70"/>
      <c r="I48" s="71" t="str">
        <f t="shared" si="2"/>
        <v/>
      </c>
      <c r="J48" s="19"/>
      <c r="K48" s="72"/>
      <c r="L48" s="73" t="str">
        <f t="array" ref="L48">IF(OR(NOT(ISNUMBER(I48)),E48=""),"",IFERROR(I48*INDEX('Cài đặt'!$D$48:$D$57,MATCH(E48,'Cài đặt'!$B$48:$B$57,0))/100,""))</f>
        <v/>
      </c>
      <c r="M48" s="74" t="str">
        <f t="shared" si="3"/>
        <v/>
      </c>
      <c r="N48" s="19"/>
      <c r="O48" s="75"/>
      <c r="P48" s="21"/>
      <c r="Q48" s="69"/>
    </row>
    <row r="49" ht="24.0" customHeight="1">
      <c r="A49" s="67">
        <v>42.0</v>
      </c>
      <c r="B49" s="68"/>
      <c r="C49" s="54" t="str">
        <f t="shared" si="1"/>
        <v/>
      </c>
      <c r="D49" s="27"/>
      <c r="E49" s="21"/>
      <c r="F49" s="69"/>
      <c r="G49" s="70"/>
      <c r="H49" s="70"/>
      <c r="I49" s="71" t="str">
        <f t="shared" si="2"/>
        <v/>
      </c>
      <c r="J49" s="19"/>
      <c r="K49" s="72"/>
      <c r="L49" s="73" t="str">
        <f t="array" ref="L49">IF(OR(NOT(ISNUMBER(I49)),E49=""),"",IFERROR(I49*INDEX('Cài đặt'!$D$48:$D$57,MATCH(E49,'Cài đặt'!$B$48:$B$57,0))/100,""))</f>
        <v/>
      </c>
      <c r="M49" s="74" t="str">
        <f t="shared" si="3"/>
        <v/>
      </c>
      <c r="N49" s="19"/>
      <c r="O49" s="75"/>
      <c r="P49" s="21"/>
      <c r="Q49" s="69"/>
    </row>
    <row r="50" ht="24.0" customHeight="1">
      <c r="A50" s="67">
        <v>43.0</v>
      </c>
      <c r="B50" s="68"/>
      <c r="C50" s="54" t="str">
        <f t="shared" si="1"/>
        <v/>
      </c>
      <c r="D50" s="27"/>
      <c r="E50" s="21"/>
      <c r="F50" s="69"/>
      <c r="G50" s="70"/>
      <c r="H50" s="70"/>
      <c r="I50" s="71" t="str">
        <f t="shared" si="2"/>
        <v/>
      </c>
      <c r="J50" s="19"/>
      <c r="K50" s="72"/>
      <c r="L50" s="73" t="str">
        <f t="array" ref="L50">IF(OR(NOT(ISNUMBER(I50)),E50=""),"",IFERROR(I50*INDEX('Cài đặt'!$D$48:$D$57,MATCH(E50,'Cài đặt'!$B$48:$B$57,0))/100,""))</f>
        <v/>
      </c>
      <c r="M50" s="74" t="str">
        <f t="shared" si="3"/>
        <v/>
      </c>
      <c r="N50" s="19"/>
      <c r="O50" s="75"/>
      <c r="P50" s="21"/>
      <c r="Q50" s="69"/>
    </row>
    <row r="51" ht="24.0" customHeight="1">
      <c r="A51" s="67">
        <v>44.0</v>
      </c>
      <c r="B51" s="68"/>
      <c r="C51" s="54" t="str">
        <f t="shared" si="1"/>
        <v/>
      </c>
      <c r="D51" s="27"/>
      <c r="E51" s="21"/>
      <c r="F51" s="69"/>
      <c r="G51" s="70"/>
      <c r="H51" s="70"/>
      <c r="I51" s="71" t="str">
        <f t="shared" si="2"/>
        <v/>
      </c>
      <c r="J51" s="19"/>
      <c r="K51" s="72"/>
      <c r="L51" s="73" t="str">
        <f t="array" ref="L51">IF(OR(NOT(ISNUMBER(I51)),E51=""),"",IFERROR(I51*INDEX('Cài đặt'!$D$48:$D$57,MATCH(E51,'Cài đặt'!$B$48:$B$57,0))/100,""))</f>
        <v/>
      </c>
      <c r="M51" s="74" t="str">
        <f t="shared" si="3"/>
        <v/>
      </c>
      <c r="N51" s="19"/>
      <c r="O51" s="75"/>
      <c r="P51" s="21"/>
      <c r="Q51" s="69"/>
    </row>
    <row r="52" ht="24.0" customHeight="1">
      <c r="A52" s="67">
        <v>45.0</v>
      </c>
      <c r="B52" s="68"/>
      <c r="C52" s="54" t="str">
        <f t="shared" si="1"/>
        <v/>
      </c>
      <c r="D52" s="27"/>
      <c r="E52" s="21"/>
      <c r="F52" s="69"/>
      <c r="G52" s="70"/>
      <c r="H52" s="70"/>
      <c r="I52" s="71" t="str">
        <f t="shared" si="2"/>
        <v/>
      </c>
      <c r="J52" s="19"/>
      <c r="K52" s="72"/>
      <c r="L52" s="73" t="str">
        <f t="array" ref="L52">IF(OR(NOT(ISNUMBER(I52)),E52=""),"",IFERROR(I52*INDEX('Cài đặt'!$D$48:$D$57,MATCH(E52,'Cài đặt'!$B$48:$B$57,0))/100,""))</f>
        <v/>
      </c>
      <c r="M52" s="74" t="str">
        <f t="shared" si="3"/>
        <v/>
      </c>
      <c r="N52" s="19"/>
      <c r="O52" s="75"/>
      <c r="P52" s="21"/>
      <c r="Q52" s="69"/>
    </row>
    <row r="53" ht="24.0" customHeight="1">
      <c r="A53" s="67">
        <v>46.0</v>
      </c>
      <c r="B53" s="68"/>
      <c r="C53" s="54" t="str">
        <f t="shared" si="1"/>
        <v/>
      </c>
      <c r="D53" s="27"/>
      <c r="E53" s="21"/>
      <c r="F53" s="69"/>
      <c r="G53" s="70"/>
      <c r="H53" s="70"/>
      <c r="I53" s="71" t="str">
        <f t="shared" si="2"/>
        <v/>
      </c>
      <c r="J53" s="19"/>
      <c r="K53" s="72"/>
      <c r="L53" s="73" t="str">
        <f t="array" ref="L53">IF(OR(NOT(ISNUMBER(I53)),E53=""),"",IFERROR(I53*INDEX('Cài đặt'!$D$48:$D$57,MATCH(E53,'Cài đặt'!$B$48:$B$57,0))/100,""))</f>
        <v/>
      </c>
      <c r="M53" s="74" t="str">
        <f t="shared" si="3"/>
        <v/>
      </c>
      <c r="N53" s="19"/>
      <c r="O53" s="75"/>
      <c r="P53" s="21"/>
      <c r="Q53" s="69"/>
    </row>
    <row r="54" ht="24.0" customHeight="1">
      <c r="A54" s="67">
        <v>47.0</v>
      </c>
      <c r="B54" s="68"/>
      <c r="C54" s="54" t="str">
        <f t="shared" si="1"/>
        <v/>
      </c>
      <c r="D54" s="27"/>
      <c r="E54" s="21"/>
      <c r="F54" s="69"/>
      <c r="G54" s="70"/>
      <c r="H54" s="70"/>
      <c r="I54" s="71" t="str">
        <f t="shared" si="2"/>
        <v/>
      </c>
      <c r="J54" s="19"/>
      <c r="K54" s="72"/>
      <c r="L54" s="73" t="str">
        <f t="array" ref="L54">IF(OR(NOT(ISNUMBER(I54)),E54=""),"",IFERROR(I54*INDEX('Cài đặt'!$D$48:$D$57,MATCH(E54,'Cài đặt'!$B$48:$B$57,0))/100,""))</f>
        <v/>
      </c>
      <c r="M54" s="74" t="str">
        <f t="shared" si="3"/>
        <v/>
      </c>
      <c r="N54" s="19"/>
      <c r="O54" s="75"/>
      <c r="P54" s="21"/>
      <c r="Q54" s="69"/>
    </row>
    <row r="55" ht="24.0" customHeight="1">
      <c r="A55" s="67">
        <v>48.0</v>
      </c>
      <c r="B55" s="68"/>
      <c r="C55" s="54" t="str">
        <f t="shared" si="1"/>
        <v/>
      </c>
      <c r="D55" s="27"/>
      <c r="E55" s="21"/>
      <c r="F55" s="69"/>
      <c r="G55" s="70"/>
      <c r="H55" s="70"/>
      <c r="I55" s="71" t="str">
        <f t="shared" si="2"/>
        <v/>
      </c>
      <c r="J55" s="19"/>
      <c r="K55" s="72"/>
      <c r="L55" s="73" t="str">
        <f t="array" ref="L55">IF(OR(NOT(ISNUMBER(I55)),E55=""),"",IFERROR(I55*INDEX('Cài đặt'!$D$48:$D$57,MATCH(E55,'Cài đặt'!$B$48:$B$57,0))/100,""))</f>
        <v/>
      </c>
      <c r="M55" s="74" t="str">
        <f t="shared" si="3"/>
        <v/>
      </c>
      <c r="N55" s="19"/>
      <c r="O55" s="75"/>
      <c r="P55" s="21"/>
      <c r="Q55" s="69"/>
    </row>
    <row r="56" ht="24.0" customHeight="1">
      <c r="A56" s="67">
        <v>49.0</v>
      </c>
      <c r="B56" s="68"/>
      <c r="C56" s="54" t="str">
        <f t="shared" si="1"/>
        <v/>
      </c>
      <c r="D56" s="27"/>
      <c r="E56" s="21"/>
      <c r="F56" s="69"/>
      <c r="G56" s="70"/>
      <c r="H56" s="70"/>
      <c r="I56" s="71" t="str">
        <f t="shared" si="2"/>
        <v/>
      </c>
      <c r="J56" s="19"/>
      <c r="K56" s="72"/>
      <c r="L56" s="73" t="str">
        <f t="array" ref="L56">IF(OR(NOT(ISNUMBER(I56)),E56=""),"",IFERROR(I56*INDEX('Cài đặt'!$D$48:$D$57,MATCH(E56,'Cài đặt'!$B$48:$B$57,0))/100,""))</f>
        <v/>
      </c>
      <c r="M56" s="74" t="str">
        <f t="shared" si="3"/>
        <v/>
      </c>
      <c r="N56" s="19"/>
      <c r="O56" s="75"/>
      <c r="P56" s="21"/>
      <c r="Q56" s="69"/>
    </row>
    <row r="57" ht="24.0" customHeight="1">
      <c r="A57" s="67">
        <v>50.0</v>
      </c>
      <c r="B57" s="68"/>
      <c r="C57" s="54" t="str">
        <f t="shared" si="1"/>
        <v/>
      </c>
      <c r="D57" s="27"/>
      <c r="E57" s="21"/>
      <c r="F57" s="69"/>
      <c r="G57" s="70"/>
      <c r="H57" s="70"/>
      <c r="I57" s="71" t="str">
        <f t="shared" si="2"/>
        <v/>
      </c>
      <c r="J57" s="19"/>
      <c r="K57" s="72"/>
      <c r="L57" s="73" t="str">
        <f t="array" ref="L57">IF(OR(NOT(ISNUMBER(I57)),E57=""),"",IFERROR(I57*INDEX('Cài đặt'!$D$48:$D$57,MATCH(E57,'Cài đặt'!$B$48:$B$57,0))/100,""))</f>
        <v/>
      </c>
      <c r="M57" s="74" t="str">
        <f t="shared" si="3"/>
        <v/>
      </c>
      <c r="N57" s="19"/>
      <c r="O57" s="75"/>
      <c r="P57" s="21"/>
      <c r="Q57" s="69"/>
    </row>
    <row r="58" ht="24.0" customHeight="1">
      <c r="A58" s="67">
        <v>51.0</v>
      </c>
      <c r="B58" s="68"/>
      <c r="C58" s="54" t="str">
        <f t="shared" si="1"/>
        <v/>
      </c>
      <c r="D58" s="27"/>
      <c r="E58" s="21"/>
      <c r="F58" s="69"/>
      <c r="G58" s="70"/>
      <c r="H58" s="70"/>
      <c r="I58" s="71" t="str">
        <f t="shared" si="2"/>
        <v/>
      </c>
      <c r="J58" s="19"/>
      <c r="K58" s="72"/>
      <c r="L58" s="73" t="str">
        <f t="array" ref="L58">IF(OR(NOT(ISNUMBER(I58)),E58=""),"",IFERROR(I58*INDEX('Cài đặt'!$D$48:$D$57,MATCH(E58,'Cài đặt'!$B$48:$B$57,0))/100,""))</f>
        <v/>
      </c>
      <c r="M58" s="74" t="str">
        <f t="shared" si="3"/>
        <v/>
      </c>
      <c r="N58" s="19"/>
      <c r="O58" s="75"/>
      <c r="P58" s="21"/>
      <c r="Q58" s="69"/>
    </row>
    <row r="59" ht="24.0" customHeight="1">
      <c r="A59" s="67">
        <v>52.0</v>
      </c>
      <c r="B59" s="68"/>
      <c r="C59" s="54" t="str">
        <f t="shared" si="1"/>
        <v/>
      </c>
      <c r="D59" s="27"/>
      <c r="E59" s="21"/>
      <c r="F59" s="69"/>
      <c r="G59" s="70"/>
      <c r="H59" s="70"/>
      <c r="I59" s="71" t="str">
        <f t="shared" si="2"/>
        <v/>
      </c>
      <c r="J59" s="19"/>
      <c r="K59" s="72"/>
      <c r="L59" s="73" t="str">
        <f t="array" ref="L59">IF(OR(NOT(ISNUMBER(I59)),E59=""),"",IFERROR(I59*INDEX('Cài đặt'!$D$48:$D$57,MATCH(E59,'Cài đặt'!$B$48:$B$57,0))/100,""))</f>
        <v/>
      </c>
      <c r="M59" s="74" t="str">
        <f t="shared" si="3"/>
        <v/>
      </c>
      <c r="N59" s="19"/>
      <c r="O59" s="75"/>
      <c r="P59" s="21"/>
      <c r="Q59" s="69"/>
    </row>
    <row r="60" ht="24.0" customHeight="1">
      <c r="A60" s="67">
        <v>53.0</v>
      </c>
      <c r="B60" s="68"/>
      <c r="C60" s="54" t="str">
        <f t="shared" si="1"/>
        <v/>
      </c>
      <c r="D60" s="27"/>
      <c r="E60" s="21"/>
      <c r="F60" s="69"/>
      <c r="G60" s="70"/>
      <c r="H60" s="70"/>
      <c r="I60" s="71" t="str">
        <f t="shared" si="2"/>
        <v/>
      </c>
      <c r="J60" s="19"/>
      <c r="K60" s="72"/>
      <c r="L60" s="73" t="str">
        <f t="array" ref="L60">IF(OR(NOT(ISNUMBER(I60)),E60=""),"",IFERROR(I60*INDEX('Cài đặt'!$D$48:$D$57,MATCH(E60,'Cài đặt'!$B$48:$B$57,0))/100,""))</f>
        <v/>
      </c>
      <c r="M60" s="74" t="str">
        <f t="shared" si="3"/>
        <v/>
      </c>
      <c r="N60" s="19"/>
      <c r="O60" s="75"/>
      <c r="P60" s="21"/>
      <c r="Q60" s="69"/>
    </row>
    <row r="61" ht="24.0" customHeight="1">
      <c r="A61" s="67">
        <v>54.0</v>
      </c>
      <c r="B61" s="68"/>
      <c r="C61" s="54" t="str">
        <f t="shared" si="1"/>
        <v/>
      </c>
      <c r="D61" s="27"/>
      <c r="E61" s="21"/>
      <c r="F61" s="69"/>
      <c r="G61" s="70"/>
      <c r="H61" s="70"/>
      <c r="I61" s="71" t="str">
        <f t="shared" si="2"/>
        <v/>
      </c>
      <c r="J61" s="19"/>
      <c r="K61" s="72"/>
      <c r="L61" s="73" t="str">
        <f t="array" ref="L61">IF(OR(NOT(ISNUMBER(I61)),E61=""),"",IFERROR(I61*INDEX('Cài đặt'!$D$48:$D$57,MATCH(E61,'Cài đặt'!$B$48:$B$57,0))/100,""))</f>
        <v/>
      </c>
      <c r="M61" s="74" t="str">
        <f t="shared" si="3"/>
        <v/>
      </c>
      <c r="N61" s="19"/>
      <c r="O61" s="75"/>
      <c r="P61" s="21"/>
      <c r="Q61" s="69"/>
    </row>
    <row r="62" ht="24.0" customHeight="1">
      <c r="A62" s="67">
        <v>55.0</v>
      </c>
      <c r="B62" s="68"/>
      <c r="C62" s="54" t="str">
        <f t="shared" si="1"/>
        <v/>
      </c>
      <c r="D62" s="27"/>
      <c r="E62" s="21"/>
      <c r="F62" s="69"/>
      <c r="G62" s="70"/>
      <c r="H62" s="70"/>
      <c r="I62" s="71" t="str">
        <f t="shared" si="2"/>
        <v/>
      </c>
      <c r="J62" s="19"/>
      <c r="K62" s="72"/>
      <c r="L62" s="73" t="str">
        <f t="array" ref="L62">IF(OR(NOT(ISNUMBER(I62)),E62=""),"",IFERROR(I62*INDEX('Cài đặt'!$D$48:$D$57,MATCH(E62,'Cài đặt'!$B$48:$B$57,0))/100,""))</f>
        <v/>
      </c>
      <c r="M62" s="74" t="str">
        <f t="shared" si="3"/>
        <v/>
      </c>
      <c r="N62" s="19"/>
      <c r="O62" s="75"/>
      <c r="P62" s="21"/>
      <c r="Q62" s="69"/>
    </row>
    <row r="63" ht="24.0" customHeight="1">
      <c r="A63" s="67">
        <v>56.0</v>
      </c>
      <c r="B63" s="68"/>
      <c r="C63" s="54" t="str">
        <f t="shared" si="1"/>
        <v/>
      </c>
      <c r="D63" s="27"/>
      <c r="E63" s="21"/>
      <c r="F63" s="69"/>
      <c r="G63" s="70"/>
      <c r="H63" s="70"/>
      <c r="I63" s="71" t="str">
        <f t="shared" si="2"/>
        <v/>
      </c>
      <c r="J63" s="19"/>
      <c r="K63" s="72"/>
      <c r="L63" s="73" t="str">
        <f t="array" ref="L63">IF(OR(NOT(ISNUMBER(I63)),E63=""),"",IFERROR(I63*INDEX('Cài đặt'!$D$48:$D$57,MATCH(E63,'Cài đặt'!$B$48:$B$57,0))/100,""))</f>
        <v/>
      </c>
      <c r="M63" s="74" t="str">
        <f t="shared" si="3"/>
        <v/>
      </c>
      <c r="N63" s="19"/>
      <c r="O63" s="75"/>
      <c r="P63" s="21"/>
      <c r="Q63" s="69"/>
    </row>
    <row r="64" ht="24.0" customHeight="1">
      <c r="A64" s="67">
        <v>57.0</v>
      </c>
      <c r="B64" s="68"/>
      <c r="C64" s="54" t="str">
        <f t="shared" si="1"/>
        <v/>
      </c>
      <c r="D64" s="27"/>
      <c r="E64" s="21"/>
      <c r="F64" s="69"/>
      <c r="G64" s="70"/>
      <c r="H64" s="70"/>
      <c r="I64" s="71" t="str">
        <f t="shared" si="2"/>
        <v/>
      </c>
      <c r="J64" s="19"/>
      <c r="K64" s="72"/>
      <c r="L64" s="73" t="str">
        <f t="array" ref="L64">IF(OR(NOT(ISNUMBER(I64)),E64=""),"",IFERROR(I64*INDEX('Cài đặt'!$D$48:$D$57,MATCH(E64,'Cài đặt'!$B$48:$B$57,0))/100,""))</f>
        <v/>
      </c>
      <c r="M64" s="74" t="str">
        <f t="shared" si="3"/>
        <v/>
      </c>
      <c r="N64" s="19"/>
      <c r="O64" s="75"/>
      <c r="P64" s="21"/>
      <c r="Q64" s="69"/>
    </row>
    <row r="65" ht="24.0" customHeight="1">
      <c r="A65" s="67">
        <v>58.0</v>
      </c>
      <c r="B65" s="68"/>
      <c r="C65" s="54" t="str">
        <f t="shared" si="1"/>
        <v/>
      </c>
      <c r="D65" s="27"/>
      <c r="E65" s="21"/>
      <c r="F65" s="69"/>
      <c r="G65" s="70"/>
      <c r="H65" s="70"/>
      <c r="I65" s="71" t="str">
        <f t="shared" si="2"/>
        <v/>
      </c>
      <c r="J65" s="19"/>
      <c r="K65" s="72"/>
      <c r="L65" s="73" t="str">
        <f t="array" ref="L65">IF(OR(NOT(ISNUMBER(I65)),E65=""),"",IFERROR(I65*INDEX('Cài đặt'!$D$48:$D$57,MATCH(E65,'Cài đặt'!$B$48:$B$57,0))/100,""))</f>
        <v/>
      </c>
      <c r="M65" s="74" t="str">
        <f t="shared" si="3"/>
        <v/>
      </c>
      <c r="N65" s="19"/>
      <c r="O65" s="75"/>
      <c r="P65" s="21"/>
      <c r="Q65" s="69"/>
    </row>
    <row r="66" ht="24.0" customHeight="1">
      <c r="A66" s="67">
        <v>59.0</v>
      </c>
      <c r="B66" s="68"/>
      <c r="C66" s="54" t="str">
        <f t="shared" si="1"/>
        <v/>
      </c>
      <c r="D66" s="27"/>
      <c r="E66" s="21"/>
      <c r="F66" s="69"/>
      <c r="G66" s="70"/>
      <c r="H66" s="70"/>
      <c r="I66" s="71" t="str">
        <f t="shared" si="2"/>
        <v/>
      </c>
      <c r="J66" s="19"/>
      <c r="K66" s="72"/>
      <c r="L66" s="73" t="str">
        <f t="array" ref="L66">IF(OR(NOT(ISNUMBER(I66)),E66=""),"",IFERROR(I66*INDEX('Cài đặt'!$D$48:$D$57,MATCH(E66,'Cài đặt'!$B$48:$B$57,0))/100,""))</f>
        <v/>
      </c>
      <c r="M66" s="74" t="str">
        <f t="shared" si="3"/>
        <v/>
      </c>
      <c r="N66" s="19"/>
      <c r="O66" s="75"/>
      <c r="P66" s="21"/>
      <c r="Q66" s="69"/>
    </row>
    <row r="67" ht="24.0" customHeight="1">
      <c r="A67" s="67">
        <v>60.0</v>
      </c>
      <c r="B67" s="68"/>
      <c r="C67" s="54" t="str">
        <f t="shared" si="1"/>
        <v/>
      </c>
      <c r="D67" s="27"/>
      <c r="E67" s="21"/>
      <c r="F67" s="69"/>
      <c r="G67" s="70"/>
      <c r="H67" s="70"/>
      <c r="I67" s="71" t="str">
        <f t="shared" si="2"/>
        <v/>
      </c>
      <c r="J67" s="19"/>
      <c r="K67" s="72"/>
      <c r="L67" s="73" t="str">
        <f t="array" ref="L67">IF(OR(NOT(ISNUMBER(I67)),E67=""),"",IFERROR(I67*INDEX('Cài đặt'!$D$48:$D$57,MATCH(E67,'Cài đặt'!$B$48:$B$57,0))/100,""))</f>
        <v/>
      </c>
      <c r="M67" s="74" t="str">
        <f t="shared" si="3"/>
        <v/>
      </c>
      <c r="N67" s="19"/>
      <c r="O67" s="75"/>
      <c r="P67" s="21"/>
      <c r="Q67" s="69"/>
    </row>
    <row r="68" ht="24.0" customHeight="1">
      <c r="A68" s="67">
        <v>61.0</v>
      </c>
      <c r="B68" s="68"/>
      <c r="C68" s="54" t="str">
        <f t="shared" si="1"/>
        <v/>
      </c>
      <c r="D68" s="27"/>
      <c r="E68" s="21"/>
      <c r="F68" s="69"/>
      <c r="G68" s="70"/>
      <c r="H68" s="70"/>
      <c r="I68" s="71" t="str">
        <f t="shared" si="2"/>
        <v/>
      </c>
      <c r="J68" s="19"/>
      <c r="K68" s="72"/>
      <c r="L68" s="73" t="str">
        <f t="array" ref="L68">IF(OR(NOT(ISNUMBER(I68)),E68=""),"",IFERROR(I68*INDEX('Cài đặt'!$D$48:$D$57,MATCH(E68,'Cài đặt'!$B$48:$B$57,0))/100,""))</f>
        <v/>
      </c>
      <c r="M68" s="74" t="str">
        <f t="shared" si="3"/>
        <v/>
      </c>
      <c r="N68" s="19"/>
      <c r="O68" s="75"/>
      <c r="P68" s="21"/>
      <c r="Q68" s="69"/>
    </row>
    <row r="69" ht="24.0" customHeight="1">
      <c r="A69" s="67">
        <v>62.0</v>
      </c>
      <c r="B69" s="68"/>
      <c r="C69" s="54" t="str">
        <f t="shared" si="1"/>
        <v/>
      </c>
      <c r="D69" s="27"/>
      <c r="E69" s="21"/>
      <c r="F69" s="69"/>
      <c r="G69" s="70"/>
      <c r="H69" s="70"/>
      <c r="I69" s="71" t="str">
        <f t="shared" si="2"/>
        <v/>
      </c>
      <c r="J69" s="19"/>
      <c r="K69" s="72"/>
      <c r="L69" s="73" t="str">
        <f t="array" ref="L69">IF(OR(NOT(ISNUMBER(I69)),E69=""),"",IFERROR(I69*INDEX('Cài đặt'!$D$48:$D$57,MATCH(E69,'Cài đặt'!$B$48:$B$57,0))/100,""))</f>
        <v/>
      </c>
      <c r="M69" s="74" t="str">
        <f t="shared" si="3"/>
        <v/>
      </c>
      <c r="N69" s="19"/>
      <c r="O69" s="75"/>
      <c r="P69" s="21"/>
      <c r="Q69" s="69"/>
    </row>
    <row r="70" ht="24.0" customHeight="1">
      <c r="A70" s="67">
        <v>63.0</v>
      </c>
      <c r="B70" s="68"/>
      <c r="C70" s="54" t="str">
        <f t="shared" si="1"/>
        <v/>
      </c>
      <c r="D70" s="27"/>
      <c r="E70" s="21"/>
      <c r="F70" s="69"/>
      <c r="G70" s="70"/>
      <c r="H70" s="70"/>
      <c r="I70" s="71" t="str">
        <f t="shared" si="2"/>
        <v/>
      </c>
      <c r="J70" s="19"/>
      <c r="K70" s="72"/>
      <c r="L70" s="73" t="str">
        <f t="array" ref="L70">IF(OR(NOT(ISNUMBER(I70)),E70=""),"",IFERROR(I70*INDEX('Cài đặt'!$D$48:$D$57,MATCH(E70,'Cài đặt'!$B$48:$B$57,0))/100,""))</f>
        <v/>
      </c>
      <c r="M70" s="74" t="str">
        <f t="shared" si="3"/>
        <v/>
      </c>
      <c r="N70" s="19"/>
      <c r="O70" s="75"/>
      <c r="P70" s="21"/>
      <c r="Q70" s="69"/>
    </row>
    <row r="71" ht="24.0" customHeight="1">
      <c r="A71" s="67">
        <v>64.0</v>
      </c>
      <c r="B71" s="68"/>
      <c r="C71" s="54" t="str">
        <f t="shared" si="1"/>
        <v/>
      </c>
      <c r="D71" s="27"/>
      <c r="E71" s="21"/>
      <c r="F71" s="69"/>
      <c r="G71" s="70"/>
      <c r="H71" s="70"/>
      <c r="I71" s="71" t="str">
        <f t="shared" si="2"/>
        <v/>
      </c>
      <c r="J71" s="19"/>
      <c r="K71" s="72"/>
      <c r="L71" s="73" t="str">
        <f t="array" ref="L71">IF(OR(NOT(ISNUMBER(I71)),E71=""),"",IFERROR(I71*INDEX('Cài đặt'!$D$48:$D$57,MATCH(E71,'Cài đặt'!$B$48:$B$57,0))/100,""))</f>
        <v/>
      </c>
      <c r="M71" s="74" t="str">
        <f t="shared" si="3"/>
        <v/>
      </c>
      <c r="N71" s="19"/>
      <c r="O71" s="75"/>
      <c r="P71" s="21"/>
      <c r="Q71" s="69"/>
    </row>
    <row r="72" ht="24.0" customHeight="1">
      <c r="A72" s="67">
        <v>65.0</v>
      </c>
      <c r="B72" s="68"/>
      <c r="C72" s="54" t="str">
        <f t="shared" si="1"/>
        <v/>
      </c>
      <c r="D72" s="27"/>
      <c r="E72" s="21"/>
      <c r="F72" s="69"/>
      <c r="G72" s="70"/>
      <c r="H72" s="70"/>
      <c r="I72" s="71" t="str">
        <f t="shared" si="2"/>
        <v/>
      </c>
      <c r="J72" s="19"/>
      <c r="K72" s="72"/>
      <c r="L72" s="73" t="str">
        <f t="array" ref="L72">IF(OR(NOT(ISNUMBER(I72)),E72=""),"",IFERROR(I72*INDEX('Cài đặt'!$D$48:$D$57,MATCH(E72,'Cài đặt'!$B$48:$B$57,0))/100,""))</f>
        <v/>
      </c>
      <c r="M72" s="74" t="str">
        <f t="shared" si="3"/>
        <v/>
      </c>
      <c r="N72" s="19"/>
      <c r="O72" s="75"/>
      <c r="P72" s="21"/>
      <c r="Q72" s="69"/>
    </row>
    <row r="73" ht="24.0" customHeight="1">
      <c r="A73" s="67">
        <v>66.0</v>
      </c>
      <c r="B73" s="68"/>
      <c r="C73" s="54" t="str">
        <f t="shared" si="1"/>
        <v/>
      </c>
      <c r="D73" s="27"/>
      <c r="E73" s="21"/>
      <c r="F73" s="69"/>
      <c r="G73" s="70"/>
      <c r="H73" s="70"/>
      <c r="I73" s="71" t="str">
        <f t="shared" si="2"/>
        <v/>
      </c>
      <c r="J73" s="19"/>
      <c r="K73" s="72"/>
      <c r="L73" s="73" t="str">
        <f t="array" ref="L73">IF(OR(NOT(ISNUMBER(I73)),E73=""),"",IFERROR(I73*INDEX('Cài đặt'!$D$48:$D$57,MATCH(E73,'Cài đặt'!$B$48:$B$57,0))/100,""))</f>
        <v/>
      </c>
      <c r="M73" s="74" t="str">
        <f t="shared" si="3"/>
        <v/>
      </c>
      <c r="N73" s="19"/>
      <c r="O73" s="75"/>
      <c r="P73" s="21"/>
      <c r="Q73" s="69"/>
    </row>
    <row r="74" ht="24.0" customHeight="1">
      <c r="A74" s="67">
        <v>67.0</v>
      </c>
      <c r="B74" s="68"/>
      <c r="C74" s="54" t="str">
        <f t="shared" si="1"/>
        <v/>
      </c>
      <c r="D74" s="27"/>
      <c r="E74" s="21"/>
      <c r="F74" s="69"/>
      <c r="G74" s="70"/>
      <c r="H74" s="70"/>
      <c r="I74" s="71" t="str">
        <f t="shared" si="2"/>
        <v/>
      </c>
      <c r="J74" s="19"/>
      <c r="K74" s="72"/>
      <c r="L74" s="73" t="str">
        <f t="array" ref="L74">IF(OR(NOT(ISNUMBER(I74)),E74=""),"",IFERROR(I74*INDEX('Cài đặt'!$D$48:$D$57,MATCH(E74,'Cài đặt'!$B$48:$B$57,0))/100,""))</f>
        <v/>
      </c>
      <c r="M74" s="74" t="str">
        <f t="shared" si="3"/>
        <v/>
      </c>
      <c r="N74" s="19"/>
      <c r="O74" s="75"/>
      <c r="P74" s="21"/>
      <c r="Q74" s="69"/>
    </row>
    <row r="75" ht="24.0" customHeight="1">
      <c r="A75" s="67">
        <v>68.0</v>
      </c>
      <c r="B75" s="68"/>
      <c r="C75" s="54" t="str">
        <f t="shared" si="1"/>
        <v/>
      </c>
      <c r="D75" s="27"/>
      <c r="E75" s="21"/>
      <c r="F75" s="69"/>
      <c r="G75" s="70"/>
      <c r="H75" s="70"/>
      <c r="I75" s="71" t="str">
        <f t="shared" si="2"/>
        <v/>
      </c>
      <c r="J75" s="19"/>
      <c r="K75" s="72"/>
      <c r="L75" s="73" t="str">
        <f t="array" ref="L75">IF(OR(NOT(ISNUMBER(I75)),E75=""),"",IFERROR(I75*INDEX('Cài đặt'!$D$48:$D$57,MATCH(E75,'Cài đặt'!$B$48:$B$57,0))/100,""))</f>
        <v/>
      </c>
      <c r="M75" s="74" t="str">
        <f t="shared" si="3"/>
        <v/>
      </c>
      <c r="N75" s="19"/>
      <c r="O75" s="75"/>
      <c r="P75" s="21"/>
      <c r="Q75" s="69"/>
    </row>
    <row r="76" ht="24.0" customHeight="1">
      <c r="A76" s="67">
        <v>69.0</v>
      </c>
      <c r="B76" s="68"/>
      <c r="C76" s="54" t="str">
        <f t="shared" si="1"/>
        <v/>
      </c>
      <c r="D76" s="27"/>
      <c r="E76" s="21"/>
      <c r="F76" s="69"/>
      <c r="G76" s="70"/>
      <c r="H76" s="70"/>
      <c r="I76" s="71" t="str">
        <f t="shared" si="2"/>
        <v/>
      </c>
      <c r="J76" s="19"/>
      <c r="K76" s="72"/>
      <c r="L76" s="73" t="str">
        <f t="array" ref="L76">IF(OR(NOT(ISNUMBER(I76)),E76=""),"",IFERROR(I76*INDEX('Cài đặt'!$D$48:$D$57,MATCH(E76,'Cài đặt'!$B$48:$B$57,0))/100,""))</f>
        <v/>
      </c>
      <c r="M76" s="74" t="str">
        <f t="shared" si="3"/>
        <v/>
      </c>
      <c r="N76" s="19"/>
      <c r="O76" s="75"/>
      <c r="P76" s="21"/>
      <c r="Q76" s="69"/>
    </row>
    <row r="77" ht="24.0" customHeight="1">
      <c r="A77" s="67">
        <v>70.0</v>
      </c>
      <c r="B77" s="68"/>
      <c r="C77" s="54" t="str">
        <f t="shared" si="1"/>
        <v/>
      </c>
      <c r="D77" s="27"/>
      <c r="E77" s="21"/>
      <c r="F77" s="69"/>
      <c r="G77" s="70"/>
      <c r="H77" s="70"/>
      <c r="I77" s="71" t="str">
        <f t="shared" si="2"/>
        <v/>
      </c>
      <c r="J77" s="19"/>
      <c r="K77" s="72"/>
      <c r="L77" s="73" t="str">
        <f t="array" ref="L77">IF(OR(NOT(ISNUMBER(I77)),E77=""),"",IFERROR(I77*INDEX('Cài đặt'!$D$48:$D$57,MATCH(E77,'Cài đặt'!$B$48:$B$57,0))/100,""))</f>
        <v/>
      </c>
      <c r="M77" s="74" t="str">
        <f t="shared" si="3"/>
        <v/>
      </c>
      <c r="N77" s="19"/>
      <c r="O77" s="75"/>
      <c r="P77" s="21"/>
      <c r="Q77" s="69"/>
    </row>
    <row r="78" ht="24.0" customHeight="1">
      <c r="A78" s="67">
        <v>71.0</v>
      </c>
      <c r="B78" s="68"/>
      <c r="C78" s="54" t="str">
        <f t="shared" si="1"/>
        <v/>
      </c>
      <c r="D78" s="27"/>
      <c r="E78" s="21"/>
      <c r="F78" s="69"/>
      <c r="G78" s="70"/>
      <c r="H78" s="70"/>
      <c r="I78" s="71" t="str">
        <f t="shared" si="2"/>
        <v/>
      </c>
      <c r="J78" s="19"/>
      <c r="K78" s="72"/>
      <c r="L78" s="73" t="str">
        <f t="array" ref="L78">IF(OR(NOT(ISNUMBER(I78)),E78=""),"",IFERROR(I78*INDEX('Cài đặt'!$D$48:$D$57,MATCH(E78,'Cài đặt'!$B$48:$B$57,0))/100,""))</f>
        <v/>
      </c>
      <c r="M78" s="74" t="str">
        <f t="shared" si="3"/>
        <v/>
      </c>
      <c r="N78" s="19"/>
      <c r="O78" s="75"/>
      <c r="P78" s="21"/>
      <c r="Q78" s="69"/>
    </row>
    <row r="79" ht="24.0" customHeight="1">
      <c r="A79" s="67">
        <v>72.0</v>
      </c>
      <c r="B79" s="68"/>
      <c r="C79" s="54" t="str">
        <f t="shared" si="1"/>
        <v/>
      </c>
      <c r="D79" s="27"/>
      <c r="E79" s="21"/>
      <c r="F79" s="69"/>
      <c r="G79" s="70"/>
      <c r="H79" s="70"/>
      <c r="I79" s="71" t="str">
        <f t="shared" si="2"/>
        <v/>
      </c>
      <c r="J79" s="19"/>
      <c r="K79" s="72"/>
      <c r="L79" s="73" t="str">
        <f t="array" ref="L79">IF(OR(NOT(ISNUMBER(I79)),E79=""),"",IFERROR(I79*INDEX('Cài đặt'!$D$48:$D$57,MATCH(E79,'Cài đặt'!$B$48:$B$57,0))/100,""))</f>
        <v/>
      </c>
      <c r="M79" s="74" t="str">
        <f t="shared" si="3"/>
        <v/>
      </c>
      <c r="N79" s="19"/>
      <c r="O79" s="75"/>
      <c r="P79" s="21"/>
      <c r="Q79" s="69"/>
    </row>
    <row r="80" ht="24.0" customHeight="1">
      <c r="A80" s="67">
        <v>73.0</v>
      </c>
      <c r="B80" s="68"/>
      <c r="C80" s="54" t="str">
        <f t="shared" si="1"/>
        <v/>
      </c>
      <c r="D80" s="27"/>
      <c r="E80" s="21"/>
      <c r="F80" s="69"/>
      <c r="G80" s="70"/>
      <c r="H80" s="70"/>
      <c r="I80" s="71" t="str">
        <f t="shared" si="2"/>
        <v/>
      </c>
      <c r="J80" s="19"/>
      <c r="K80" s="72"/>
      <c r="L80" s="73" t="str">
        <f t="array" ref="L80">IF(OR(NOT(ISNUMBER(I80)),E80=""),"",IFERROR(I80*INDEX('Cài đặt'!$D$48:$D$57,MATCH(E80,'Cài đặt'!$B$48:$B$57,0))/100,""))</f>
        <v/>
      </c>
      <c r="M80" s="74" t="str">
        <f t="shared" si="3"/>
        <v/>
      </c>
      <c r="N80" s="19"/>
      <c r="O80" s="75"/>
      <c r="P80" s="21"/>
      <c r="Q80" s="69"/>
    </row>
    <row r="81" ht="24.0" customHeight="1">
      <c r="A81" s="67">
        <v>74.0</v>
      </c>
      <c r="B81" s="68"/>
      <c r="C81" s="54" t="str">
        <f t="shared" si="1"/>
        <v/>
      </c>
      <c r="D81" s="27"/>
      <c r="E81" s="21"/>
      <c r="F81" s="69"/>
      <c r="G81" s="70"/>
      <c r="H81" s="70"/>
      <c r="I81" s="71" t="str">
        <f t="shared" si="2"/>
        <v/>
      </c>
      <c r="J81" s="19"/>
      <c r="K81" s="72"/>
      <c r="L81" s="73" t="str">
        <f t="array" ref="L81">IF(OR(NOT(ISNUMBER(I81)),E81=""),"",IFERROR(I81*INDEX('Cài đặt'!$D$48:$D$57,MATCH(E81,'Cài đặt'!$B$48:$B$57,0))/100,""))</f>
        <v/>
      </c>
      <c r="M81" s="74" t="str">
        <f t="shared" si="3"/>
        <v/>
      </c>
      <c r="N81" s="19"/>
      <c r="O81" s="75"/>
      <c r="P81" s="21"/>
      <c r="Q81" s="69"/>
    </row>
    <row r="82" ht="24.0" customHeight="1">
      <c r="A82" s="67">
        <v>75.0</v>
      </c>
      <c r="B82" s="68"/>
      <c r="C82" s="54" t="str">
        <f t="shared" si="1"/>
        <v/>
      </c>
      <c r="D82" s="27"/>
      <c r="E82" s="21"/>
      <c r="F82" s="69"/>
      <c r="G82" s="70"/>
      <c r="H82" s="70"/>
      <c r="I82" s="71" t="str">
        <f t="shared" si="2"/>
        <v/>
      </c>
      <c r="J82" s="19"/>
      <c r="K82" s="72"/>
      <c r="L82" s="73" t="str">
        <f t="array" ref="L82">IF(OR(NOT(ISNUMBER(I82)),E82=""),"",IFERROR(I82*INDEX('Cài đặt'!$D$48:$D$57,MATCH(E82,'Cài đặt'!$B$48:$B$57,0))/100,""))</f>
        <v/>
      </c>
      <c r="M82" s="74" t="str">
        <f t="shared" si="3"/>
        <v/>
      </c>
      <c r="N82" s="19"/>
      <c r="O82" s="75"/>
      <c r="P82" s="21"/>
      <c r="Q82" s="69"/>
    </row>
    <row r="83" ht="24.0" customHeight="1">
      <c r="A83" s="67">
        <v>76.0</v>
      </c>
      <c r="B83" s="68"/>
      <c r="C83" s="54" t="str">
        <f t="shared" si="1"/>
        <v/>
      </c>
      <c r="D83" s="27"/>
      <c r="E83" s="21"/>
      <c r="F83" s="69"/>
      <c r="G83" s="70"/>
      <c r="H83" s="70"/>
      <c r="I83" s="71" t="str">
        <f t="shared" si="2"/>
        <v/>
      </c>
      <c r="J83" s="19"/>
      <c r="K83" s="72"/>
      <c r="L83" s="73" t="str">
        <f t="array" ref="L83">IF(OR(NOT(ISNUMBER(I83)),E83=""),"",IFERROR(I83*INDEX('Cài đặt'!$D$48:$D$57,MATCH(E83,'Cài đặt'!$B$48:$B$57,0))/100,""))</f>
        <v/>
      </c>
      <c r="M83" s="74" t="str">
        <f t="shared" si="3"/>
        <v/>
      </c>
      <c r="N83" s="19"/>
      <c r="O83" s="75"/>
      <c r="P83" s="21"/>
      <c r="Q83" s="69"/>
    </row>
    <row r="84" ht="24.0" customHeight="1">
      <c r="A84" s="67">
        <v>77.0</v>
      </c>
      <c r="B84" s="68"/>
      <c r="C84" s="54" t="str">
        <f t="shared" si="1"/>
        <v/>
      </c>
      <c r="D84" s="27"/>
      <c r="E84" s="21"/>
      <c r="F84" s="69"/>
      <c r="G84" s="70"/>
      <c r="H84" s="70"/>
      <c r="I84" s="71" t="str">
        <f t="shared" si="2"/>
        <v/>
      </c>
      <c r="J84" s="19"/>
      <c r="K84" s="72"/>
      <c r="L84" s="73" t="str">
        <f t="array" ref="L84">IF(OR(NOT(ISNUMBER(I84)),E84=""),"",IFERROR(I84*INDEX('Cài đặt'!$D$48:$D$57,MATCH(E84,'Cài đặt'!$B$48:$B$57,0))/100,""))</f>
        <v/>
      </c>
      <c r="M84" s="74" t="str">
        <f t="shared" si="3"/>
        <v/>
      </c>
      <c r="N84" s="19"/>
      <c r="O84" s="75"/>
      <c r="P84" s="21"/>
      <c r="Q84" s="69"/>
    </row>
    <row r="85" ht="24.0" customHeight="1">
      <c r="A85" s="67">
        <v>78.0</v>
      </c>
      <c r="B85" s="68"/>
      <c r="C85" s="54" t="str">
        <f t="shared" si="1"/>
        <v/>
      </c>
      <c r="D85" s="27"/>
      <c r="E85" s="21"/>
      <c r="F85" s="69"/>
      <c r="G85" s="70"/>
      <c r="H85" s="70"/>
      <c r="I85" s="71" t="str">
        <f t="shared" si="2"/>
        <v/>
      </c>
      <c r="J85" s="19"/>
      <c r="K85" s="72"/>
      <c r="L85" s="73" t="str">
        <f t="array" ref="L85">IF(OR(NOT(ISNUMBER(I85)),E85=""),"",IFERROR(I85*INDEX('Cài đặt'!$D$48:$D$57,MATCH(E85,'Cài đặt'!$B$48:$B$57,0))/100,""))</f>
        <v/>
      </c>
      <c r="M85" s="74" t="str">
        <f t="shared" si="3"/>
        <v/>
      </c>
      <c r="N85" s="19"/>
      <c r="O85" s="75"/>
      <c r="P85" s="21"/>
      <c r="Q85" s="69"/>
    </row>
    <row r="86" ht="24.0" customHeight="1">
      <c r="A86" s="67">
        <v>79.0</v>
      </c>
      <c r="B86" s="68"/>
      <c r="C86" s="54" t="str">
        <f t="shared" si="1"/>
        <v/>
      </c>
      <c r="D86" s="27"/>
      <c r="E86" s="21"/>
      <c r="F86" s="69"/>
      <c r="G86" s="70"/>
      <c r="H86" s="70"/>
      <c r="I86" s="71" t="str">
        <f t="shared" si="2"/>
        <v/>
      </c>
      <c r="J86" s="19"/>
      <c r="K86" s="72"/>
      <c r="L86" s="73" t="str">
        <f t="array" ref="L86">IF(OR(NOT(ISNUMBER(I86)),E86=""),"",IFERROR(I86*INDEX('Cài đặt'!$D$48:$D$57,MATCH(E86,'Cài đặt'!$B$48:$B$57,0))/100,""))</f>
        <v/>
      </c>
      <c r="M86" s="74" t="str">
        <f t="shared" si="3"/>
        <v/>
      </c>
      <c r="N86" s="19"/>
      <c r="O86" s="75"/>
      <c r="P86" s="21"/>
      <c r="Q86" s="69"/>
    </row>
    <row r="87" ht="24.0" customHeight="1">
      <c r="A87" s="67">
        <v>80.0</v>
      </c>
      <c r="B87" s="68"/>
      <c r="C87" s="54" t="str">
        <f t="shared" si="1"/>
        <v/>
      </c>
      <c r="D87" s="27"/>
      <c r="E87" s="21"/>
      <c r="F87" s="69"/>
      <c r="G87" s="70"/>
      <c r="H87" s="70"/>
      <c r="I87" s="71" t="str">
        <f t="shared" si="2"/>
        <v/>
      </c>
      <c r="J87" s="19"/>
      <c r="K87" s="72"/>
      <c r="L87" s="73" t="str">
        <f t="array" ref="L87">IF(OR(NOT(ISNUMBER(I87)),E87=""),"",IFERROR(I87*INDEX('Cài đặt'!$D$48:$D$57,MATCH(E87,'Cài đặt'!$B$48:$B$57,0))/100,""))</f>
        <v/>
      </c>
      <c r="M87" s="74" t="str">
        <f t="shared" si="3"/>
        <v/>
      </c>
      <c r="N87" s="19"/>
      <c r="O87" s="75"/>
      <c r="P87" s="21"/>
      <c r="Q87" s="69"/>
    </row>
    <row r="88" ht="24.0" customHeight="1">
      <c r="A88" s="67">
        <v>81.0</v>
      </c>
      <c r="B88" s="68"/>
      <c r="C88" s="54" t="str">
        <f t="shared" si="1"/>
        <v/>
      </c>
      <c r="D88" s="27"/>
      <c r="E88" s="21"/>
      <c r="F88" s="69"/>
      <c r="G88" s="70"/>
      <c r="H88" s="70"/>
      <c r="I88" s="71" t="str">
        <f t="shared" si="2"/>
        <v/>
      </c>
      <c r="J88" s="19"/>
      <c r="K88" s="72"/>
      <c r="L88" s="73" t="str">
        <f t="array" ref="L88">IF(OR(NOT(ISNUMBER(I88)),E88=""),"",IFERROR(I88*INDEX('Cài đặt'!$D$48:$D$57,MATCH(E88,'Cài đặt'!$B$48:$B$57,0))/100,""))</f>
        <v/>
      </c>
      <c r="M88" s="74" t="str">
        <f t="shared" si="3"/>
        <v/>
      </c>
      <c r="N88" s="19"/>
      <c r="O88" s="75"/>
      <c r="P88" s="21"/>
      <c r="Q88" s="69"/>
    </row>
    <row r="89" ht="24.0" customHeight="1">
      <c r="A89" s="67">
        <v>82.0</v>
      </c>
      <c r="B89" s="68"/>
      <c r="C89" s="54" t="str">
        <f t="shared" si="1"/>
        <v/>
      </c>
      <c r="D89" s="27"/>
      <c r="E89" s="21"/>
      <c r="F89" s="69"/>
      <c r="G89" s="70"/>
      <c r="H89" s="70"/>
      <c r="I89" s="71" t="str">
        <f t="shared" si="2"/>
        <v/>
      </c>
      <c r="J89" s="19"/>
      <c r="K89" s="72"/>
      <c r="L89" s="73" t="str">
        <f t="array" ref="L89">IF(OR(NOT(ISNUMBER(I89)),E89=""),"",IFERROR(I89*INDEX('Cài đặt'!$D$48:$D$57,MATCH(E89,'Cài đặt'!$B$48:$B$57,0))/100,""))</f>
        <v/>
      </c>
      <c r="M89" s="74" t="str">
        <f t="shared" si="3"/>
        <v/>
      </c>
      <c r="N89" s="19"/>
      <c r="O89" s="75"/>
      <c r="P89" s="21"/>
      <c r="Q89" s="69"/>
    </row>
    <row r="90" ht="24.0" customHeight="1">
      <c r="A90" s="67">
        <v>83.0</v>
      </c>
      <c r="B90" s="68"/>
      <c r="C90" s="54" t="str">
        <f t="shared" si="1"/>
        <v/>
      </c>
      <c r="D90" s="27"/>
      <c r="E90" s="21"/>
      <c r="F90" s="69"/>
      <c r="G90" s="70"/>
      <c r="H90" s="70"/>
      <c r="I90" s="71" t="str">
        <f t="shared" si="2"/>
        <v/>
      </c>
      <c r="J90" s="19"/>
      <c r="K90" s="72"/>
      <c r="L90" s="73" t="str">
        <f t="array" ref="L90">IF(OR(NOT(ISNUMBER(I90)),E90=""),"",IFERROR(I90*INDEX('Cài đặt'!$D$48:$D$57,MATCH(E90,'Cài đặt'!$B$48:$B$57,0))/100,""))</f>
        <v/>
      </c>
      <c r="M90" s="74" t="str">
        <f t="shared" si="3"/>
        <v/>
      </c>
      <c r="N90" s="19"/>
      <c r="O90" s="75"/>
      <c r="P90" s="21"/>
      <c r="Q90" s="69"/>
    </row>
    <row r="91" ht="24.0" customHeight="1">
      <c r="A91" s="67">
        <v>84.0</v>
      </c>
      <c r="B91" s="68"/>
      <c r="C91" s="54" t="str">
        <f t="shared" si="1"/>
        <v/>
      </c>
      <c r="D91" s="27"/>
      <c r="E91" s="21"/>
      <c r="F91" s="69"/>
      <c r="G91" s="70"/>
      <c r="H91" s="70"/>
      <c r="I91" s="71" t="str">
        <f t="shared" si="2"/>
        <v/>
      </c>
      <c r="J91" s="19"/>
      <c r="K91" s="72"/>
      <c r="L91" s="73" t="str">
        <f t="array" ref="L91">IF(OR(NOT(ISNUMBER(I91)),E91=""),"",IFERROR(I91*INDEX('Cài đặt'!$D$48:$D$57,MATCH(E91,'Cài đặt'!$B$48:$B$57,0))/100,""))</f>
        <v/>
      </c>
      <c r="M91" s="74" t="str">
        <f t="shared" si="3"/>
        <v/>
      </c>
      <c r="N91" s="19"/>
      <c r="O91" s="75"/>
      <c r="P91" s="21"/>
      <c r="Q91" s="69"/>
    </row>
    <row r="92" ht="24.0" customHeight="1">
      <c r="A92" s="67">
        <v>85.0</v>
      </c>
      <c r="B92" s="68"/>
      <c r="C92" s="54" t="str">
        <f t="shared" si="1"/>
        <v/>
      </c>
      <c r="D92" s="27"/>
      <c r="E92" s="21"/>
      <c r="F92" s="69"/>
      <c r="G92" s="70"/>
      <c r="H92" s="70"/>
      <c r="I92" s="71" t="str">
        <f t="shared" si="2"/>
        <v/>
      </c>
      <c r="J92" s="19"/>
      <c r="K92" s="72"/>
      <c r="L92" s="73" t="str">
        <f t="array" ref="L92">IF(OR(NOT(ISNUMBER(I92)),E92=""),"",IFERROR(I92*INDEX('Cài đặt'!$D$48:$D$57,MATCH(E92,'Cài đặt'!$B$48:$B$57,0))/100,""))</f>
        <v/>
      </c>
      <c r="M92" s="74" t="str">
        <f t="shared" si="3"/>
        <v/>
      </c>
      <c r="N92" s="19"/>
      <c r="O92" s="75"/>
      <c r="P92" s="21"/>
      <c r="Q92" s="69"/>
    </row>
    <row r="93" ht="24.0" customHeight="1">
      <c r="A93" s="67">
        <v>86.0</v>
      </c>
      <c r="B93" s="68"/>
      <c r="C93" s="54" t="str">
        <f t="shared" si="1"/>
        <v/>
      </c>
      <c r="D93" s="27"/>
      <c r="E93" s="21"/>
      <c r="F93" s="69"/>
      <c r="G93" s="70"/>
      <c r="H93" s="70"/>
      <c r="I93" s="71" t="str">
        <f t="shared" si="2"/>
        <v/>
      </c>
      <c r="J93" s="19"/>
      <c r="K93" s="72"/>
      <c r="L93" s="73" t="str">
        <f t="array" ref="L93">IF(OR(NOT(ISNUMBER(I93)),E93=""),"",IFERROR(I93*INDEX('Cài đặt'!$D$48:$D$57,MATCH(E93,'Cài đặt'!$B$48:$B$57,0))/100,""))</f>
        <v/>
      </c>
      <c r="M93" s="74" t="str">
        <f t="shared" si="3"/>
        <v/>
      </c>
      <c r="N93" s="19"/>
      <c r="O93" s="75"/>
      <c r="P93" s="21"/>
      <c r="Q93" s="69"/>
    </row>
    <row r="94" ht="24.0" customHeight="1">
      <c r="A94" s="67">
        <v>87.0</v>
      </c>
      <c r="B94" s="68"/>
      <c r="C94" s="54" t="str">
        <f t="shared" si="1"/>
        <v/>
      </c>
      <c r="D94" s="27"/>
      <c r="E94" s="21"/>
      <c r="F94" s="69"/>
      <c r="G94" s="70"/>
      <c r="H94" s="70"/>
      <c r="I94" s="71" t="str">
        <f t="shared" si="2"/>
        <v/>
      </c>
      <c r="J94" s="19"/>
      <c r="K94" s="72"/>
      <c r="L94" s="73" t="str">
        <f t="array" ref="L94">IF(OR(NOT(ISNUMBER(I94)),E94=""),"",IFERROR(I94*INDEX('Cài đặt'!$D$48:$D$57,MATCH(E94,'Cài đặt'!$B$48:$B$57,0))/100,""))</f>
        <v/>
      </c>
      <c r="M94" s="74" t="str">
        <f t="shared" si="3"/>
        <v/>
      </c>
      <c r="N94" s="19"/>
      <c r="O94" s="75"/>
      <c r="P94" s="21"/>
      <c r="Q94" s="69"/>
    </row>
    <row r="95" ht="24.0" customHeight="1">
      <c r="A95" s="67">
        <v>88.0</v>
      </c>
      <c r="B95" s="68"/>
      <c r="C95" s="54" t="str">
        <f t="shared" si="1"/>
        <v/>
      </c>
      <c r="D95" s="27"/>
      <c r="E95" s="21"/>
      <c r="F95" s="69"/>
      <c r="G95" s="70"/>
      <c r="H95" s="70"/>
      <c r="I95" s="71" t="str">
        <f t="shared" si="2"/>
        <v/>
      </c>
      <c r="J95" s="19"/>
      <c r="K95" s="72"/>
      <c r="L95" s="73" t="str">
        <f t="array" ref="L95">IF(OR(NOT(ISNUMBER(I95)),E95=""),"",IFERROR(I95*INDEX('Cài đặt'!$D$48:$D$57,MATCH(E95,'Cài đặt'!$B$48:$B$57,0))/100,""))</f>
        <v/>
      </c>
      <c r="M95" s="74" t="str">
        <f t="shared" si="3"/>
        <v/>
      </c>
      <c r="N95" s="19"/>
      <c r="O95" s="75"/>
      <c r="P95" s="21"/>
      <c r="Q95" s="69"/>
    </row>
    <row r="96" ht="24.0" customHeight="1">
      <c r="A96" s="67">
        <v>89.0</v>
      </c>
      <c r="B96" s="68"/>
      <c r="C96" s="54" t="str">
        <f t="shared" si="1"/>
        <v/>
      </c>
      <c r="D96" s="27"/>
      <c r="E96" s="21"/>
      <c r="F96" s="69"/>
      <c r="G96" s="70"/>
      <c r="H96" s="70"/>
      <c r="I96" s="71" t="str">
        <f t="shared" si="2"/>
        <v/>
      </c>
      <c r="J96" s="19"/>
      <c r="K96" s="72"/>
      <c r="L96" s="73" t="str">
        <f t="array" ref="L96">IF(OR(NOT(ISNUMBER(I96)),E96=""),"",IFERROR(I96*INDEX('Cài đặt'!$D$48:$D$57,MATCH(E96,'Cài đặt'!$B$48:$B$57,0))/100,""))</f>
        <v/>
      </c>
      <c r="M96" s="74" t="str">
        <f t="shared" si="3"/>
        <v/>
      </c>
      <c r="N96" s="19"/>
      <c r="O96" s="75"/>
      <c r="P96" s="21"/>
      <c r="Q96" s="69"/>
    </row>
    <row r="97" ht="24.0" customHeight="1">
      <c r="A97" s="67">
        <v>90.0</v>
      </c>
      <c r="B97" s="68"/>
      <c r="C97" s="54" t="str">
        <f t="shared" si="1"/>
        <v/>
      </c>
      <c r="D97" s="27"/>
      <c r="E97" s="21"/>
      <c r="F97" s="69"/>
      <c r="G97" s="70"/>
      <c r="H97" s="70"/>
      <c r="I97" s="71" t="str">
        <f t="shared" si="2"/>
        <v/>
      </c>
      <c r="J97" s="19"/>
      <c r="K97" s="72"/>
      <c r="L97" s="73" t="str">
        <f t="array" ref="L97">IF(OR(NOT(ISNUMBER(I97)),E97=""),"",IFERROR(I97*INDEX('Cài đặt'!$D$48:$D$57,MATCH(E97,'Cài đặt'!$B$48:$B$57,0))/100,""))</f>
        <v/>
      </c>
      <c r="M97" s="74" t="str">
        <f t="shared" si="3"/>
        <v/>
      </c>
      <c r="N97" s="19"/>
      <c r="O97" s="75"/>
      <c r="P97" s="21"/>
      <c r="Q97" s="69"/>
    </row>
    <row r="98" ht="24.0" customHeight="1">
      <c r="A98" s="67">
        <v>91.0</v>
      </c>
      <c r="B98" s="68"/>
      <c r="C98" s="54" t="str">
        <f t="shared" si="1"/>
        <v/>
      </c>
      <c r="D98" s="27"/>
      <c r="E98" s="21"/>
      <c r="F98" s="69"/>
      <c r="G98" s="70"/>
      <c r="H98" s="70"/>
      <c r="I98" s="71" t="str">
        <f t="shared" si="2"/>
        <v/>
      </c>
      <c r="J98" s="19"/>
      <c r="K98" s="72"/>
      <c r="L98" s="73" t="str">
        <f t="array" ref="L98">IF(OR(NOT(ISNUMBER(I98)),E98=""),"",IFERROR(I98*INDEX('Cài đặt'!$D$48:$D$57,MATCH(E98,'Cài đặt'!$B$48:$B$57,0))/100,""))</f>
        <v/>
      </c>
      <c r="M98" s="74" t="str">
        <f t="shared" si="3"/>
        <v/>
      </c>
      <c r="N98" s="19"/>
      <c r="O98" s="75"/>
      <c r="P98" s="21"/>
      <c r="Q98" s="69"/>
    </row>
    <row r="99" ht="24.0" customHeight="1">
      <c r="A99" s="67">
        <v>92.0</v>
      </c>
      <c r="B99" s="68"/>
      <c r="C99" s="54" t="str">
        <f t="shared" si="1"/>
        <v/>
      </c>
      <c r="D99" s="27"/>
      <c r="E99" s="21"/>
      <c r="F99" s="69"/>
      <c r="G99" s="70"/>
      <c r="H99" s="70"/>
      <c r="I99" s="71" t="str">
        <f t="shared" si="2"/>
        <v/>
      </c>
      <c r="J99" s="19"/>
      <c r="K99" s="72"/>
      <c r="L99" s="73" t="str">
        <f t="array" ref="L99">IF(OR(NOT(ISNUMBER(I99)),E99=""),"",IFERROR(I99*INDEX('Cài đặt'!$D$48:$D$57,MATCH(E99,'Cài đặt'!$B$48:$B$57,0))/100,""))</f>
        <v/>
      </c>
      <c r="M99" s="74" t="str">
        <f t="shared" si="3"/>
        <v/>
      </c>
      <c r="N99" s="19"/>
      <c r="O99" s="75"/>
      <c r="P99" s="21"/>
      <c r="Q99" s="69"/>
    </row>
    <row r="100" ht="24.0" customHeight="1">
      <c r="A100" s="67">
        <v>93.0</v>
      </c>
      <c r="B100" s="68"/>
      <c r="C100" s="54" t="str">
        <f t="shared" si="1"/>
        <v/>
      </c>
      <c r="D100" s="27"/>
      <c r="E100" s="21"/>
      <c r="F100" s="69"/>
      <c r="G100" s="70"/>
      <c r="H100" s="70"/>
      <c r="I100" s="71" t="str">
        <f t="shared" si="2"/>
        <v/>
      </c>
      <c r="J100" s="19"/>
      <c r="K100" s="72"/>
      <c r="L100" s="73" t="str">
        <f t="array" ref="L100">IF(OR(NOT(ISNUMBER(I100)),E100=""),"",IFERROR(I100*INDEX('Cài đặt'!$D$48:$D$57,MATCH(E100,'Cài đặt'!$B$48:$B$57,0))/100,""))</f>
        <v/>
      </c>
      <c r="M100" s="74" t="str">
        <f t="shared" si="3"/>
        <v/>
      </c>
      <c r="N100" s="19"/>
      <c r="O100" s="75"/>
      <c r="P100" s="21"/>
      <c r="Q100" s="69"/>
    </row>
    <row r="101" ht="24.0" customHeight="1">
      <c r="A101" s="67">
        <v>94.0</v>
      </c>
      <c r="B101" s="68"/>
      <c r="C101" s="54" t="str">
        <f t="shared" si="1"/>
        <v/>
      </c>
      <c r="D101" s="27"/>
      <c r="E101" s="21"/>
      <c r="F101" s="69"/>
      <c r="G101" s="70"/>
      <c r="H101" s="70"/>
      <c r="I101" s="71" t="str">
        <f t="shared" si="2"/>
        <v/>
      </c>
      <c r="J101" s="19"/>
      <c r="K101" s="72"/>
      <c r="L101" s="73" t="str">
        <f t="array" ref="L101">IF(OR(NOT(ISNUMBER(I101)),E101=""),"",IFERROR(I101*INDEX('Cài đặt'!$D$48:$D$57,MATCH(E101,'Cài đặt'!$B$48:$B$57,0))/100,""))</f>
        <v/>
      </c>
      <c r="M101" s="74" t="str">
        <f t="shared" si="3"/>
        <v/>
      </c>
      <c r="N101" s="19"/>
      <c r="O101" s="75"/>
      <c r="P101" s="21"/>
      <c r="Q101" s="69"/>
    </row>
    <row r="102" ht="24.0" customHeight="1">
      <c r="A102" s="67">
        <v>95.0</v>
      </c>
      <c r="B102" s="68"/>
      <c r="C102" s="54" t="str">
        <f t="shared" si="1"/>
        <v/>
      </c>
      <c r="D102" s="27"/>
      <c r="E102" s="21"/>
      <c r="F102" s="69"/>
      <c r="G102" s="70"/>
      <c r="H102" s="70"/>
      <c r="I102" s="71" t="str">
        <f t="shared" si="2"/>
        <v/>
      </c>
      <c r="J102" s="19"/>
      <c r="K102" s="72"/>
      <c r="L102" s="73" t="str">
        <f t="array" ref="L102">IF(OR(NOT(ISNUMBER(I102)),E102=""),"",IFERROR(I102*INDEX('Cài đặt'!$D$48:$D$57,MATCH(E102,'Cài đặt'!$B$48:$B$57,0))/100,""))</f>
        <v/>
      </c>
      <c r="M102" s="74" t="str">
        <f t="shared" si="3"/>
        <v/>
      </c>
      <c r="N102" s="19"/>
      <c r="O102" s="75"/>
      <c r="P102" s="21"/>
      <c r="Q102" s="69"/>
    </row>
    <row r="103" ht="24.0" customHeight="1">
      <c r="A103" s="67">
        <v>96.0</v>
      </c>
      <c r="B103" s="68"/>
      <c r="C103" s="54" t="str">
        <f t="shared" si="1"/>
        <v/>
      </c>
      <c r="D103" s="27"/>
      <c r="E103" s="21"/>
      <c r="F103" s="69"/>
      <c r="G103" s="70"/>
      <c r="H103" s="70"/>
      <c r="I103" s="71" t="str">
        <f t="shared" si="2"/>
        <v/>
      </c>
      <c r="J103" s="19"/>
      <c r="K103" s="72"/>
      <c r="L103" s="73" t="str">
        <f t="array" ref="L103">IF(OR(NOT(ISNUMBER(I103)),E103=""),"",IFERROR(I103*INDEX('Cài đặt'!$D$48:$D$57,MATCH(E103,'Cài đặt'!$B$48:$B$57,0))/100,""))</f>
        <v/>
      </c>
      <c r="M103" s="74" t="str">
        <f t="shared" si="3"/>
        <v/>
      </c>
      <c r="N103" s="19"/>
      <c r="O103" s="75"/>
      <c r="P103" s="21"/>
      <c r="Q103" s="69"/>
    </row>
    <row r="104" ht="24.0" customHeight="1">
      <c r="A104" s="67">
        <v>97.0</v>
      </c>
      <c r="B104" s="68"/>
      <c r="C104" s="54" t="str">
        <f t="shared" si="1"/>
        <v/>
      </c>
      <c r="D104" s="27"/>
      <c r="E104" s="21"/>
      <c r="F104" s="69"/>
      <c r="G104" s="70"/>
      <c r="H104" s="70"/>
      <c r="I104" s="71" t="str">
        <f t="shared" si="2"/>
        <v/>
      </c>
      <c r="J104" s="19"/>
      <c r="K104" s="72"/>
      <c r="L104" s="73" t="str">
        <f t="array" ref="L104">IF(OR(NOT(ISNUMBER(I104)),E104=""),"",IFERROR(I104*INDEX('Cài đặt'!$D$48:$D$57,MATCH(E104,'Cài đặt'!$B$48:$B$57,0))/100,""))</f>
        <v/>
      </c>
      <c r="M104" s="74" t="str">
        <f t="shared" si="3"/>
        <v/>
      </c>
      <c r="N104" s="19"/>
      <c r="O104" s="75"/>
      <c r="P104" s="21"/>
      <c r="Q104" s="69"/>
    </row>
    <row r="105" ht="24.0" customHeight="1">
      <c r="A105" s="67">
        <v>98.0</v>
      </c>
      <c r="B105" s="68"/>
      <c r="C105" s="54" t="str">
        <f t="shared" si="1"/>
        <v/>
      </c>
      <c r="D105" s="27"/>
      <c r="E105" s="21"/>
      <c r="F105" s="69"/>
      <c r="G105" s="70"/>
      <c r="H105" s="70"/>
      <c r="I105" s="71" t="str">
        <f t="shared" si="2"/>
        <v/>
      </c>
      <c r="J105" s="19"/>
      <c r="K105" s="72"/>
      <c r="L105" s="73" t="str">
        <f t="array" ref="L105">IF(OR(NOT(ISNUMBER(I105)),E105=""),"",IFERROR(I105*INDEX('Cài đặt'!$D$48:$D$57,MATCH(E105,'Cài đặt'!$B$48:$B$57,0))/100,""))</f>
        <v/>
      </c>
      <c r="M105" s="74" t="str">
        <f t="shared" si="3"/>
        <v/>
      </c>
      <c r="N105" s="19"/>
      <c r="O105" s="75"/>
      <c r="P105" s="21"/>
      <c r="Q105" s="69"/>
    </row>
    <row r="106" ht="24.0" customHeight="1">
      <c r="A106" s="67">
        <v>99.0</v>
      </c>
      <c r="B106" s="68"/>
      <c r="C106" s="54" t="str">
        <f t="shared" si="1"/>
        <v/>
      </c>
      <c r="D106" s="27"/>
      <c r="E106" s="21"/>
      <c r="F106" s="69"/>
      <c r="G106" s="70"/>
      <c r="H106" s="70"/>
      <c r="I106" s="71" t="str">
        <f t="shared" si="2"/>
        <v/>
      </c>
      <c r="J106" s="19"/>
      <c r="K106" s="72"/>
      <c r="L106" s="73" t="str">
        <f t="array" ref="L106">IF(OR(NOT(ISNUMBER(I106)),E106=""),"",IFERROR(I106*INDEX('Cài đặt'!$D$48:$D$57,MATCH(E106,'Cài đặt'!$B$48:$B$57,0))/100,""))</f>
        <v/>
      </c>
      <c r="M106" s="74" t="str">
        <f t="shared" si="3"/>
        <v/>
      </c>
      <c r="N106" s="19"/>
      <c r="O106" s="75"/>
      <c r="P106" s="21"/>
      <c r="Q106" s="69"/>
    </row>
    <row r="107" ht="24.0" customHeight="1">
      <c r="A107" s="67">
        <v>100.0</v>
      </c>
      <c r="B107" s="68"/>
      <c r="C107" s="54" t="str">
        <f t="shared" si="1"/>
        <v/>
      </c>
      <c r="D107" s="27"/>
      <c r="E107" s="21"/>
      <c r="F107" s="69"/>
      <c r="G107" s="70"/>
      <c r="H107" s="70"/>
      <c r="I107" s="71" t="str">
        <f t="shared" si="2"/>
        <v/>
      </c>
      <c r="J107" s="19"/>
      <c r="K107" s="72"/>
      <c r="L107" s="73" t="str">
        <f t="array" ref="L107">IF(OR(NOT(ISNUMBER(I107)),E107=""),"",IFERROR(I107*INDEX('Cài đặt'!$D$48:$D$57,MATCH(E107,'Cài đặt'!$B$48:$B$57,0))/100,""))</f>
        <v/>
      </c>
      <c r="M107" s="74" t="str">
        <f t="shared" si="3"/>
        <v/>
      </c>
      <c r="N107" s="19"/>
      <c r="O107" s="75"/>
      <c r="P107" s="21"/>
      <c r="Q107" s="69"/>
    </row>
    <row r="108" ht="15.75" customHeight="1"/>
    <row r="109" ht="15.75" customHeight="1">
      <c r="A109" s="37" t="s">
        <v>111</v>
      </c>
    </row>
    <row r="110" ht="15.75" customHeight="1"/>
    <row r="111" ht="15.75" customHeight="1">
      <c r="C111" s="39" t="s">
        <v>112</v>
      </c>
      <c r="F111" s="39" t="s">
        <v>49</v>
      </c>
      <c r="N111" s="39" t="s">
        <v>50</v>
      </c>
    </row>
    <row r="112" ht="15.75" customHeight="1">
      <c r="C112" s="42" t="s">
        <v>51</v>
      </c>
      <c r="F112" s="42" t="s">
        <v>51</v>
      </c>
      <c r="N112" s="42" t="s">
        <v>51</v>
      </c>
    </row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8">
    <mergeCell ref="A1:Q1"/>
    <mergeCell ref="A2:Q2"/>
    <mergeCell ref="A3:Q3"/>
    <mergeCell ref="A4:D4"/>
    <mergeCell ref="E4:G4"/>
    <mergeCell ref="H4:L4"/>
    <mergeCell ref="M4:P4"/>
    <mergeCell ref="C111:E111"/>
    <mergeCell ref="C112:E112"/>
    <mergeCell ref="F112:H112"/>
    <mergeCell ref="A5:D5"/>
    <mergeCell ref="E5:G5"/>
    <mergeCell ref="H5:L5"/>
    <mergeCell ref="M5:P5"/>
    <mergeCell ref="A109:Q109"/>
    <mergeCell ref="F111:H111"/>
    <mergeCell ref="N111:Q111"/>
    <mergeCell ref="N112:Q112"/>
  </mergeCells>
  <conditionalFormatting sqref="I8:I107">
    <cfRule type="expression" dxfId="4" priority="1">
      <formula>I8="Lỗi"</formula>
    </cfRule>
  </conditionalFormatting>
  <conditionalFormatting sqref="M8:M107">
    <cfRule type="expression" dxfId="5" priority="2">
      <formula>AND(ISNUMBER(M8),M8&lt;0)</formula>
    </cfRule>
  </conditionalFormatting>
  <conditionalFormatting sqref="M8:M107">
    <cfRule type="expression" dxfId="6" priority="3">
      <formula>AND(ISNUMBER(M8),M8&gt;0)</formula>
    </cfRule>
  </conditionalFormatting>
  <conditionalFormatting sqref="P8:P107">
    <cfRule type="expression" dxfId="7" priority="4">
      <formula>P8="Cần bảo dưỡng"</formula>
    </cfRule>
  </conditionalFormatting>
  <conditionalFormatting sqref="P8:P107">
    <cfRule type="expression" dxfId="8" priority="5">
      <formula>P8="Sự cố"</formula>
    </cfRule>
  </conditionalFormatting>
  <conditionalFormatting sqref="C8:C107">
    <cfRule type="expression" dxfId="5" priority="6">
      <formula>C8="CN"</formula>
    </cfRule>
  </conditionalFormatting>
  <dataValidations>
    <dataValidation type="list" allowBlank="1" showInputMessage="1" showErrorMessage="1" prompt="Lái xe không hợp lệ - Chọn lái xe có trong sheet 'Chấm công'." sqref="D8:D107">
      <formula1>'Chấm công'!$C$8:$C$27</formula1>
    </dataValidation>
    <dataValidation type="list" allowBlank="1" showInputMessage="1" showErrorMessage="1" prompt="Biển số không hợp lệ - Chọn biển số có trong danh sách xe (sheet 'Cài đặt')." sqref="E8:E107">
      <formula1>'Cài đặt'!$B$48:$B$57</formula1>
    </dataValidation>
    <dataValidation type="date" operator="greaterThan" allowBlank="1" showInputMessage="1" showErrorMessage="1" prompt="Ngày không hợp lệ - Nhập ngày đúng định dạng dd/mm/yyyy." sqref="B8:B107">
      <formula1>36526.0</formula1>
    </dataValidation>
    <dataValidation type="list" allowBlank="1" showInputMessage="1" showErrorMessage="1" prompt="Giá trị không hợp lệ - Chọn Bình thường, Cần bảo dưỡng hoặc Sự cố." sqref="P8:P107">
      <formula1>"Bình thường,Cần bảo dưỡng,Sự cố"</formula1>
    </dataValidation>
    <dataValidation type="decimal" operator="greaterThanOrEqual" allowBlank="1" showInputMessage="1" showErrorMessage="1" prompt="Số lít không hợp lệ - Nhập số lít ≥ 0." sqref="K8:K107">
      <formula1>0.0</formula1>
    </dataValidation>
    <dataValidation type="decimal" operator="greaterThanOrEqual" allowBlank="1" showInputMessage="1" showErrorMessage="1" prompt="Số km không hợp lệ - Nhập số km ≥ 0." sqref="G8:H107">
      <formula1>0.0</formula1>
    </dataValidation>
  </dataValidations>
  <printOptions/>
  <pageMargins bottom="1.0" footer="0.0" header="0.0" left="0.3" right="0.3" top="1.0"/>
  <pageSetup fitToHeight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1717A"/>
    <pageSetUpPr fitToPage="1"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3.0"/>
    <col customWidth="1" min="2" max="2" width="13.0"/>
    <col customWidth="1" min="3" max="3" width="30.0"/>
    <col customWidth="1" min="4" max="5" width="12.0"/>
    <col customWidth="1" min="6" max="6" width="13.0"/>
    <col customWidth="1" min="7" max="7" width="14.0"/>
    <col customWidth="1" min="8" max="8" width="15.0"/>
    <col customWidth="1" min="9" max="9" width="3.0"/>
    <col customWidth="1" min="10" max="10" width="15.0"/>
    <col customWidth="1" min="11" max="11" width="30.0"/>
    <col customWidth="1" min="12" max="26" width="8.71"/>
  </cols>
  <sheetData>
    <row r="1" ht="30.0" customHeight="1">
      <c r="B1" s="76" t="s">
        <v>113</v>
      </c>
      <c r="C1" s="2"/>
      <c r="D1" s="2"/>
      <c r="E1" s="2"/>
      <c r="F1" s="2"/>
      <c r="G1" s="2"/>
      <c r="H1" s="2"/>
      <c r="I1" s="2"/>
      <c r="J1" s="2"/>
      <c r="K1" s="3"/>
    </row>
    <row r="3">
      <c r="J3" s="77" t="s">
        <v>114</v>
      </c>
      <c r="K3" s="3"/>
    </row>
    <row r="4" ht="15.0" customHeight="1">
      <c r="B4" s="77" t="s">
        <v>115</v>
      </c>
      <c r="C4" s="2"/>
      <c r="D4" s="2"/>
      <c r="E4" s="2"/>
      <c r="F4" s="2"/>
      <c r="G4" s="2"/>
      <c r="H4" s="3"/>
      <c r="J4" s="78" t="s">
        <v>116</v>
      </c>
      <c r="K4" s="79"/>
    </row>
    <row r="5" ht="21.75" customHeight="1">
      <c r="B5" s="33" t="s">
        <v>117</v>
      </c>
      <c r="C5" s="9"/>
      <c r="D5" s="80" t="s">
        <v>118</v>
      </c>
      <c r="E5" s="81"/>
      <c r="F5" s="81"/>
      <c r="G5" s="81"/>
      <c r="H5" s="82"/>
      <c r="J5" s="83"/>
      <c r="K5" s="84"/>
    </row>
    <row r="6" ht="21.75" customHeight="1">
      <c r="B6" s="33" t="s">
        <v>119</v>
      </c>
      <c r="C6" s="9"/>
      <c r="D6" s="80" t="s">
        <v>120</v>
      </c>
      <c r="E6" s="81"/>
      <c r="F6" s="81"/>
      <c r="G6" s="81"/>
      <c r="H6" s="82"/>
      <c r="J6" s="83"/>
      <c r="K6" s="84"/>
    </row>
    <row r="7" ht="21.75" customHeight="1">
      <c r="B7" s="33" t="s">
        <v>121</v>
      </c>
      <c r="C7" s="9"/>
      <c r="D7" s="85">
        <v>11.0</v>
      </c>
      <c r="E7" s="82"/>
      <c r="J7" s="83"/>
      <c r="K7" s="84"/>
    </row>
    <row r="8" ht="21.75" customHeight="1">
      <c r="B8" s="33" t="s">
        <v>122</v>
      </c>
      <c r="C8" s="9"/>
      <c r="D8" s="85">
        <v>2026.0</v>
      </c>
      <c r="E8" s="82"/>
      <c r="J8" s="83"/>
      <c r="K8" s="84"/>
    </row>
    <row r="9" ht="21.75" customHeight="1">
      <c r="B9" s="33" t="s">
        <v>123</v>
      </c>
      <c r="C9" s="9"/>
      <c r="D9" s="86">
        <f>DAY(EOMONTH(DATE(D8,D7,1),0))</f>
        <v>30</v>
      </c>
      <c r="E9" s="9"/>
      <c r="F9" s="87" t="s">
        <v>124</v>
      </c>
      <c r="J9" s="83"/>
      <c r="K9" s="84"/>
    </row>
    <row r="10" ht="21.75" customHeight="1">
      <c r="B10" s="33" t="s">
        <v>125</v>
      </c>
      <c r="C10" s="9"/>
      <c r="D10" s="86">
        <f>COUNTIF('Chấm công'!E7:AI7,"CN")</f>
        <v>5</v>
      </c>
      <c r="E10" s="9"/>
      <c r="F10" s="87" t="s">
        <v>126</v>
      </c>
      <c r="J10" s="83"/>
      <c r="K10" s="84"/>
    </row>
    <row r="11" ht="21.75" customHeight="1">
      <c r="B11" s="33" t="s">
        <v>127</v>
      </c>
      <c r="C11" s="9"/>
      <c r="D11" s="86">
        <f>D9-D10</f>
        <v>25</v>
      </c>
      <c r="E11" s="9"/>
      <c r="F11" s="87" t="s">
        <v>128</v>
      </c>
      <c r="J11" s="83"/>
      <c r="K11" s="84"/>
    </row>
    <row r="12" ht="21.75" customHeight="1">
      <c r="B12" s="33" t="s">
        <v>129</v>
      </c>
      <c r="C12" s="9"/>
      <c r="D12" s="85">
        <v>8.0</v>
      </c>
      <c r="E12" s="82"/>
      <c r="F12" s="87" t="s">
        <v>130</v>
      </c>
      <c r="J12" s="83"/>
      <c r="K12" s="84"/>
    </row>
    <row r="13">
      <c r="J13" s="88"/>
      <c r="K13" s="89"/>
    </row>
    <row r="14">
      <c r="B14" s="77" t="s">
        <v>131</v>
      </c>
      <c r="C14" s="2"/>
      <c r="D14" s="2"/>
      <c r="E14" s="2"/>
      <c r="F14" s="2"/>
      <c r="G14" s="2"/>
      <c r="H14" s="3"/>
      <c r="J14" s="77" t="s">
        <v>132</v>
      </c>
      <c r="K14" s="3"/>
    </row>
    <row r="15" ht="30.0" customHeight="1">
      <c r="B15" s="65" t="s">
        <v>133</v>
      </c>
      <c r="C15" s="65" t="s">
        <v>134</v>
      </c>
      <c r="D15" s="65" t="s">
        <v>135</v>
      </c>
      <c r="E15" s="65" t="s">
        <v>136</v>
      </c>
      <c r="F15" s="65" t="s">
        <v>137</v>
      </c>
      <c r="G15" s="65" t="s">
        <v>138</v>
      </c>
      <c r="H15" s="65" t="s">
        <v>139</v>
      </c>
      <c r="J15" s="46" t="s">
        <v>88</v>
      </c>
      <c r="K15" s="46" t="s">
        <v>140</v>
      </c>
    </row>
    <row r="16" ht="21.75" customHeight="1">
      <c r="B16" s="90" t="s">
        <v>17</v>
      </c>
      <c r="C16" s="91" t="s">
        <v>141</v>
      </c>
      <c r="D16" s="92">
        <v>0.333333333333333</v>
      </c>
      <c r="E16" s="92">
        <v>0.708333333333333</v>
      </c>
      <c r="F16" s="93">
        <v>1.0</v>
      </c>
      <c r="G16" s="73">
        <f t="shared" ref="G16:G20" si="1">IF(E16&gt;D16,(E16-D16)*24,(E16-D16+1)*24)-F16</f>
        <v>8</v>
      </c>
      <c r="H16" s="73">
        <f t="shared" ref="H16:H20" si="2">G16</f>
        <v>8</v>
      </c>
      <c r="J16" s="94">
        <v>46023.0</v>
      </c>
      <c r="K16" s="91" t="s">
        <v>142</v>
      </c>
    </row>
    <row r="17" ht="21.75" customHeight="1">
      <c r="B17" s="90" t="s">
        <v>25</v>
      </c>
      <c r="C17" s="91" t="s">
        <v>143</v>
      </c>
      <c r="D17" s="92">
        <v>0.208333333333333</v>
      </c>
      <c r="E17" s="92">
        <v>0.5625</v>
      </c>
      <c r="F17" s="93">
        <v>0.5</v>
      </c>
      <c r="G17" s="73">
        <f t="shared" si="1"/>
        <v>8</v>
      </c>
      <c r="H17" s="73">
        <f t="shared" si="2"/>
        <v>8</v>
      </c>
      <c r="J17" s="94">
        <v>46142.0</v>
      </c>
      <c r="K17" s="91" t="s">
        <v>144</v>
      </c>
    </row>
    <row r="18" ht="21.75" customHeight="1">
      <c r="B18" s="90" t="s">
        <v>26</v>
      </c>
      <c r="C18" s="91" t="s">
        <v>145</v>
      </c>
      <c r="D18" s="92">
        <v>0.541666666666667</v>
      </c>
      <c r="E18" s="92">
        <v>0.895833333333333</v>
      </c>
      <c r="F18" s="93">
        <v>0.5</v>
      </c>
      <c r="G18" s="73">
        <f t="shared" si="1"/>
        <v>8</v>
      </c>
      <c r="H18" s="73">
        <f t="shared" si="2"/>
        <v>8</v>
      </c>
      <c r="J18" s="94">
        <v>46143.0</v>
      </c>
      <c r="K18" s="91" t="s">
        <v>146</v>
      </c>
    </row>
    <row r="19" ht="21.75" customHeight="1">
      <c r="B19" s="90" t="s">
        <v>38</v>
      </c>
      <c r="C19" s="91" t="s">
        <v>147</v>
      </c>
      <c r="D19" s="92">
        <v>0.875</v>
      </c>
      <c r="E19" s="92">
        <v>0.229166666666667</v>
      </c>
      <c r="F19" s="93">
        <v>0.5</v>
      </c>
      <c r="G19" s="73">
        <f t="shared" si="1"/>
        <v>8</v>
      </c>
      <c r="H19" s="73">
        <f t="shared" si="2"/>
        <v>8</v>
      </c>
      <c r="J19" s="94">
        <v>46267.0</v>
      </c>
      <c r="K19" s="91" t="s">
        <v>148</v>
      </c>
    </row>
    <row r="20" ht="21.75" customHeight="1">
      <c r="B20" s="90" t="s">
        <v>33</v>
      </c>
      <c r="C20" s="91" t="s">
        <v>149</v>
      </c>
      <c r="D20" s="92">
        <v>0.25</v>
      </c>
      <c r="E20" s="92">
        <v>0.791666666666667</v>
      </c>
      <c r="F20" s="93">
        <v>2.0</v>
      </c>
      <c r="G20" s="73">
        <f t="shared" si="1"/>
        <v>11</v>
      </c>
      <c r="H20" s="73">
        <f t="shared" si="2"/>
        <v>11</v>
      </c>
      <c r="J20" s="94">
        <v>46388.0</v>
      </c>
      <c r="K20" s="91" t="s">
        <v>142</v>
      </c>
    </row>
    <row r="21" ht="21.75" customHeight="1">
      <c r="B21" s="90" t="s">
        <v>27</v>
      </c>
      <c r="C21" s="91" t="s">
        <v>150</v>
      </c>
      <c r="D21" s="95"/>
      <c r="E21" s="95"/>
      <c r="F21" s="73"/>
      <c r="G21" s="73">
        <v>0.0</v>
      </c>
      <c r="H21" s="73">
        <f t="shared" ref="H21:H22" si="3">$D$12</f>
        <v>8</v>
      </c>
      <c r="J21" s="94">
        <v>46507.0</v>
      </c>
      <c r="K21" s="91" t="s">
        <v>144</v>
      </c>
    </row>
    <row r="22" ht="21.75" customHeight="1">
      <c r="B22" s="90" t="s">
        <v>151</v>
      </c>
      <c r="C22" s="91" t="s">
        <v>152</v>
      </c>
      <c r="D22" s="95"/>
      <c r="E22" s="95"/>
      <c r="F22" s="73"/>
      <c r="G22" s="73">
        <v>0.0</v>
      </c>
      <c r="H22" s="73">
        <f t="shared" si="3"/>
        <v>8</v>
      </c>
      <c r="J22" s="94">
        <v>46508.0</v>
      </c>
      <c r="K22" s="91" t="s">
        <v>146</v>
      </c>
    </row>
    <row r="23" ht="21.75" customHeight="1">
      <c r="B23" s="90" t="s">
        <v>34</v>
      </c>
      <c r="C23" s="91" t="s">
        <v>153</v>
      </c>
      <c r="D23" s="95"/>
      <c r="E23" s="95"/>
      <c r="F23" s="73"/>
      <c r="G23" s="73">
        <v>0.0</v>
      </c>
      <c r="H23" s="93">
        <v>0.0</v>
      </c>
      <c r="J23" s="94">
        <v>46632.0</v>
      </c>
      <c r="K23" s="91" t="s">
        <v>148</v>
      </c>
    </row>
    <row r="24" ht="21.75" customHeight="1">
      <c r="B24" s="90" t="s">
        <v>21</v>
      </c>
      <c r="C24" s="91" t="s">
        <v>154</v>
      </c>
      <c r="D24" s="95"/>
      <c r="E24" s="95"/>
      <c r="F24" s="73"/>
      <c r="G24" s="73">
        <v>0.0</v>
      </c>
      <c r="H24" s="93">
        <v>0.0</v>
      </c>
      <c r="J24" s="94"/>
      <c r="K24" s="91"/>
    </row>
    <row r="25" ht="21.75" customHeight="1">
      <c r="B25" s="90" t="s">
        <v>18</v>
      </c>
      <c r="C25" s="91" t="s">
        <v>155</v>
      </c>
      <c r="D25" s="95"/>
      <c r="E25" s="95"/>
      <c r="F25" s="73"/>
      <c r="G25" s="73">
        <v>0.0</v>
      </c>
      <c r="H25" s="93">
        <v>0.0</v>
      </c>
      <c r="J25" s="94"/>
      <c r="K25" s="91"/>
    </row>
    <row r="26" ht="15.75" customHeight="1">
      <c r="J26" s="94"/>
      <c r="K26" s="91"/>
    </row>
    <row r="27" ht="15.0" customHeight="1">
      <c r="B27" s="96" t="s">
        <v>156</v>
      </c>
      <c r="J27" s="94"/>
      <c r="K27" s="91"/>
    </row>
    <row r="28" ht="15.75" customHeight="1">
      <c r="J28" s="94"/>
      <c r="K28" s="91"/>
    </row>
    <row r="29" ht="15.75" customHeight="1">
      <c r="J29" s="94"/>
      <c r="K29" s="91"/>
    </row>
    <row r="30" ht="15.75" customHeight="1">
      <c r="J30" s="94"/>
      <c r="K30" s="91"/>
    </row>
    <row r="31" ht="15.0" customHeight="1">
      <c r="B31" s="77" t="s">
        <v>157</v>
      </c>
      <c r="C31" s="2"/>
      <c r="D31" s="2"/>
      <c r="E31" s="2"/>
      <c r="F31" s="2"/>
      <c r="G31" s="2"/>
      <c r="H31" s="3"/>
      <c r="J31" s="96" t="s">
        <v>158</v>
      </c>
    </row>
    <row r="32" ht="21.75" customHeight="1">
      <c r="B32" s="33" t="s">
        <v>159</v>
      </c>
      <c r="C32" s="9"/>
      <c r="D32" s="97">
        <v>300000.0</v>
      </c>
      <c r="E32" s="82"/>
      <c r="F32" s="87" t="s">
        <v>160</v>
      </c>
    </row>
    <row r="33" ht="21.75" customHeight="1">
      <c r="B33" s="33" t="s">
        <v>161</v>
      </c>
      <c r="C33" s="9"/>
      <c r="D33" s="98">
        <v>1.5</v>
      </c>
      <c r="E33" s="82"/>
      <c r="F33" s="87" t="s">
        <v>162</v>
      </c>
    </row>
    <row r="34" ht="21.75" customHeight="1">
      <c r="B34" s="33" t="s">
        <v>163</v>
      </c>
      <c r="C34" s="9"/>
      <c r="D34" s="98">
        <v>2.0</v>
      </c>
      <c r="E34" s="82"/>
      <c r="F34" s="87" t="s">
        <v>164</v>
      </c>
    </row>
    <row r="35" ht="21.75" customHeight="1">
      <c r="B35" s="33" t="s">
        <v>165</v>
      </c>
      <c r="C35" s="9"/>
      <c r="D35" s="98">
        <v>3.0</v>
      </c>
      <c r="E35" s="82"/>
      <c r="F35" s="87" t="s">
        <v>166</v>
      </c>
    </row>
    <row r="36" ht="21.75" customHeight="1">
      <c r="B36" s="33" t="s">
        <v>167</v>
      </c>
      <c r="C36" s="9"/>
      <c r="D36" s="97">
        <v>40000.0</v>
      </c>
      <c r="E36" s="82"/>
      <c r="F36" s="87" t="s">
        <v>168</v>
      </c>
    </row>
    <row r="37" ht="21.75" customHeight="1">
      <c r="B37" s="33" t="s">
        <v>169</v>
      </c>
      <c r="C37" s="9"/>
      <c r="D37" s="97">
        <v>300000.0</v>
      </c>
      <c r="E37" s="82"/>
      <c r="F37" s="87" t="s">
        <v>170</v>
      </c>
    </row>
    <row r="38" ht="21.75" customHeight="1">
      <c r="B38" s="33" t="s">
        <v>171</v>
      </c>
      <c r="C38" s="9"/>
      <c r="D38" s="99">
        <v>0.105</v>
      </c>
      <c r="E38" s="82"/>
      <c r="F38" s="87" t="s">
        <v>172</v>
      </c>
    </row>
    <row r="39" ht="21.75" customHeight="1">
      <c r="B39" s="33" t="s">
        <v>173</v>
      </c>
      <c r="C39" s="9"/>
      <c r="D39" s="97">
        <v>700.0</v>
      </c>
      <c r="E39" s="82"/>
      <c r="F39" s="87" t="s">
        <v>174</v>
      </c>
    </row>
    <row r="40" ht="21.75" customHeight="1">
      <c r="B40" s="33" t="s">
        <v>175</v>
      </c>
      <c r="C40" s="9"/>
      <c r="D40" s="97">
        <v>150000.0</v>
      </c>
      <c r="E40" s="82"/>
      <c r="F40" s="87" t="s">
        <v>176</v>
      </c>
    </row>
    <row r="41" ht="21.75" customHeight="1">
      <c r="B41" s="33" t="s">
        <v>177</v>
      </c>
      <c r="C41" s="9"/>
      <c r="D41" s="97">
        <v>22000.0</v>
      </c>
      <c r="E41" s="82"/>
      <c r="F41" s="87" t="s">
        <v>178</v>
      </c>
    </row>
    <row r="42" ht="21.75" customHeight="1">
      <c r="B42" s="33" t="s">
        <v>179</v>
      </c>
      <c r="C42" s="9"/>
      <c r="D42" s="100">
        <v>0.5</v>
      </c>
      <c r="E42" s="82"/>
      <c r="F42" s="87" t="s">
        <v>180</v>
      </c>
    </row>
    <row r="43" ht="15.0" customHeight="1">
      <c r="B43" s="96" t="s">
        <v>181</v>
      </c>
    </row>
    <row r="44" ht="15.75" customHeight="1"/>
    <row r="45" ht="15.75" customHeight="1"/>
    <row r="46" ht="15.75" customHeight="1">
      <c r="B46" s="77" t="s">
        <v>182</v>
      </c>
      <c r="C46" s="2"/>
      <c r="D46" s="2"/>
      <c r="E46" s="2"/>
      <c r="F46" s="2"/>
      <c r="G46" s="2"/>
      <c r="H46" s="3"/>
    </row>
    <row r="47" ht="30.0" customHeight="1">
      <c r="B47" s="46" t="s">
        <v>4</v>
      </c>
      <c r="C47" s="46" t="s">
        <v>183</v>
      </c>
      <c r="D47" s="65" t="s">
        <v>184</v>
      </c>
      <c r="E47" s="101" t="s">
        <v>8</v>
      </c>
      <c r="F47" s="8"/>
      <c r="G47" s="8"/>
      <c r="H47" s="9"/>
    </row>
    <row r="48" ht="19.5" customHeight="1">
      <c r="B48" s="102" t="s">
        <v>16</v>
      </c>
      <c r="C48" s="103" t="s">
        <v>185</v>
      </c>
      <c r="D48" s="93">
        <v>9.0</v>
      </c>
      <c r="E48" s="104" t="s">
        <v>186</v>
      </c>
      <c r="F48" s="81"/>
      <c r="G48" s="81"/>
      <c r="H48" s="82"/>
    </row>
    <row r="49" ht="19.5" customHeight="1">
      <c r="B49" s="102" t="s">
        <v>24</v>
      </c>
      <c r="C49" s="103" t="s">
        <v>187</v>
      </c>
      <c r="D49" s="93">
        <v>11.0</v>
      </c>
      <c r="E49" s="104"/>
      <c r="F49" s="81"/>
      <c r="G49" s="81"/>
      <c r="H49" s="82"/>
    </row>
    <row r="50" ht="19.5" customHeight="1">
      <c r="B50" s="102" t="s">
        <v>32</v>
      </c>
      <c r="C50" s="103" t="s">
        <v>188</v>
      </c>
      <c r="D50" s="93">
        <v>12.0</v>
      </c>
      <c r="E50" s="104" t="s">
        <v>189</v>
      </c>
      <c r="F50" s="81"/>
      <c r="G50" s="81"/>
      <c r="H50" s="82"/>
    </row>
    <row r="51" ht="19.5" customHeight="1">
      <c r="B51" s="102" t="s">
        <v>37</v>
      </c>
      <c r="C51" s="103" t="s">
        <v>190</v>
      </c>
      <c r="D51" s="93">
        <v>13.0</v>
      </c>
      <c r="E51" s="104"/>
      <c r="F51" s="81"/>
      <c r="G51" s="81"/>
      <c r="H51" s="82"/>
    </row>
    <row r="52" ht="19.5" customHeight="1">
      <c r="B52" s="102" t="s">
        <v>41</v>
      </c>
      <c r="C52" s="103" t="s">
        <v>191</v>
      </c>
      <c r="D52" s="93">
        <v>14.0</v>
      </c>
      <c r="E52" s="104" t="s">
        <v>192</v>
      </c>
      <c r="F52" s="81"/>
      <c r="G52" s="81"/>
      <c r="H52" s="82"/>
    </row>
    <row r="53" ht="19.5" customHeight="1">
      <c r="B53" s="102"/>
      <c r="C53" s="103"/>
      <c r="D53" s="93"/>
      <c r="E53" s="104"/>
      <c r="F53" s="81"/>
      <c r="G53" s="81"/>
      <c r="H53" s="82"/>
    </row>
    <row r="54" ht="19.5" customHeight="1">
      <c r="B54" s="102"/>
      <c r="C54" s="103"/>
      <c r="D54" s="93"/>
      <c r="E54" s="104"/>
      <c r="F54" s="81"/>
      <c r="G54" s="81"/>
      <c r="H54" s="82"/>
    </row>
    <row r="55" ht="19.5" customHeight="1">
      <c r="B55" s="102"/>
      <c r="C55" s="103"/>
      <c r="D55" s="93"/>
      <c r="E55" s="104"/>
      <c r="F55" s="81"/>
      <c r="G55" s="81"/>
      <c r="H55" s="82"/>
    </row>
    <row r="56" ht="19.5" customHeight="1">
      <c r="B56" s="102"/>
      <c r="C56" s="103"/>
      <c r="D56" s="93"/>
      <c r="E56" s="104"/>
      <c r="F56" s="81"/>
      <c r="G56" s="81"/>
      <c r="H56" s="82"/>
    </row>
    <row r="57" ht="19.5" customHeight="1">
      <c r="B57" s="102"/>
      <c r="C57" s="103"/>
      <c r="D57" s="93"/>
      <c r="E57" s="104"/>
      <c r="F57" s="81"/>
      <c r="G57" s="81"/>
      <c r="H57" s="82"/>
    </row>
    <row r="58" ht="15.0" customHeight="1">
      <c r="B58" s="96" t="s">
        <v>193</v>
      </c>
    </row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6">
    <mergeCell ref="J4:K13"/>
    <mergeCell ref="J14:K14"/>
    <mergeCell ref="B1:K1"/>
    <mergeCell ref="J3:K3"/>
    <mergeCell ref="B4:H4"/>
    <mergeCell ref="D5:H5"/>
    <mergeCell ref="D6:H6"/>
    <mergeCell ref="F9:H9"/>
    <mergeCell ref="B14:H14"/>
    <mergeCell ref="B6:C6"/>
    <mergeCell ref="B7:C7"/>
    <mergeCell ref="D7:E7"/>
    <mergeCell ref="B8:C8"/>
    <mergeCell ref="D8:E8"/>
    <mergeCell ref="B9:C9"/>
    <mergeCell ref="D9:E9"/>
    <mergeCell ref="B5:C5"/>
    <mergeCell ref="B10:C10"/>
    <mergeCell ref="D10:E10"/>
    <mergeCell ref="F10:H10"/>
    <mergeCell ref="B11:C11"/>
    <mergeCell ref="D11:E11"/>
    <mergeCell ref="B32:C32"/>
    <mergeCell ref="D32:E32"/>
    <mergeCell ref="E53:H53"/>
    <mergeCell ref="E54:H54"/>
    <mergeCell ref="E55:H55"/>
    <mergeCell ref="E56:H56"/>
    <mergeCell ref="E57:H57"/>
    <mergeCell ref="B58:H59"/>
    <mergeCell ref="B46:H46"/>
    <mergeCell ref="E47:H47"/>
    <mergeCell ref="E48:H48"/>
    <mergeCell ref="E49:H49"/>
    <mergeCell ref="E50:H50"/>
    <mergeCell ref="E51:H51"/>
    <mergeCell ref="E52:H52"/>
    <mergeCell ref="F11:H11"/>
    <mergeCell ref="B12:C12"/>
    <mergeCell ref="D12:E12"/>
    <mergeCell ref="F12:H12"/>
    <mergeCell ref="B27:H29"/>
    <mergeCell ref="B31:H31"/>
    <mergeCell ref="J31:K33"/>
    <mergeCell ref="F32:H32"/>
    <mergeCell ref="B33:C33"/>
    <mergeCell ref="D33:E33"/>
    <mergeCell ref="F33:H33"/>
    <mergeCell ref="B34:C34"/>
    <mergeCell ref="D34:E34"/>
    <mergeCell ref="F34:H34"/>
    <mergeCell ref="D37:E37"/>
    <mergeCell ref="F37:H37"/>
    <mergeCell ref="B35:C35"/>
    <mergeCell ref="D35:E35"/>
    <mergeCell ref="F35:H35"/>
    <mergeCell ref="B36:C36"/>
    <mergeCell ref="D36:E36"/>
    <mergeCell ref="F36:H36"/>
    <mergeCell ref="B37:C37"/>
    <mergeCell ref="D40:E40"/>
    <mergeCell ref="F40:H40"/>
    <mergeCell ref="B38:C38"/>
    <mergeCell ref="D38:E38"/>
    <mergeCell ref="F38:H38"/>
    <mergeCell ref="B39:C39"/>
    <mergeCell ref="D39:E39"/>
    <mergeCell ref="F39:H39"/>
    <mergeCell ref="B40:C40"/>
    <mergeCell ref="B41:C41"/>
    <mergeCell ref="D41:E41"/>
    <mergeCell ref="F41:H41"/>
    <mergeCell ref="B42:C42"/>
    <mergeCell ref="D42:E42"/>
    <mergeCell ref="F42:H42"/>
    <mergeCell ref="B43:H44"/>
  </mergeCells>
  <dataValidations>
    <dataValidation type="list" allowBlank="1" showInputMessage="1" showErrorMessage="1" prompt="Tháng không hợp lệ - Chọn tháng từ 1 đến 12." sqref="D7">
      <formula1>"1,2,3,4,5,6,7,8,9,10,11,12"</formula1>
    </dataValidation>
    <dataValidation type="decimal" allowBlank="1" showInputMessage="1" showErrorMessage="1" prompt="Năm không hợp lệ - Nhập năm từ 2000 đến 2100." sqref="D8">
      <formula1>2000.0</formula1>
      <formula2>2100.0</formula2>
    </dataValidation>
  </dataValidation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2026-10-26T07:52:50Z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