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ấm công" sheetId="1" r:id="rId4"/>
    <sheet state="visible" name="Tổng hợp lương" sheetId="2" r:id="rId5"/>
    <sheet state="visible" name="Khối lượng khoán" sheetId="3" r:id="rId6"/>
    <sheet state="visible" name="Cài đặt" sheetId="4" r:id="rId7"/>
  </sheets>
  <definedNames/>
  <calcPr/>
  <extLst>
    <ext uri="GoogleSheetsCustomDataVersion2">
      <go:sheetsCustomData xmlns:go="http://customooxmlschemas.google.com/" r:id="rId8" roundtripDataChecksum="0qsVrj8j5JI5dTBNdnBRYDtu2d4P+kh4P0NRQEFD87U="/>
    </ext>
  </extLst>
</workbook>
</file>

<file path=xl/sharedStrings.xml><?xml version="1.0" encoding="utf-8"?>
<sst xmlns="http://schemas.openxmlformats.org/spreadsheetml/2006/main" count="628" uniqueCount="198">
  <si>
    <t>BẢNG CHẤM CÔNG THỢ XÂY</t>
  </si>
  <si>
    <t>STT</t>
  </si>
  <si>
    <t>Mã NV</t>
  </si>
  <si>
    <t>Họ và tên</t>
  </si>
  <si>
    <t>Nghề / vị trí</t>
  </si>
  <si>
    <t>NGÀY TRONG THÁNG</t>
  </si>
  <si>
    <t>TỔNG HỢP SỐ CA / NGÀY</t>
  </si>
  <si>
    <t>TỔNG HỢP GIỜ &amp; CÔNG</t>
  </si>
  <si>
    <t>Ghi chú</t>
  </si>
  <si>
    <t>Tổng giờ làm thực tế</t>
  </si>
  <si>
    <t>Giờ làm Chủ nhật</t>
  </si>
  <si>
    <t>Giờ làm ngày lễ</t>
  </si>
  <si>
    <t>Tổng công hưởng lương</t>
  </si>
  <si>
    <t>Giờ tăng ca</t>
  </si>
  <si>
    <t>TX001</t>
  </si>
  <si>
    <t>Nguyễn Văn Bình</t>
  </si>
  <si>
    <t>Tổ trưởng / đội trưởng</t>
  </si>
  <si>
    <t>OFF</t>
  </si>
  <si>
    <t>X</t>
  </si>
  <si>
    <t>M</t>
  </si>
  <si>
    <t>TX002</t>
  </si>
  <si>
    <t>Trần Văn Đức</t>
  </si>
  <si>
    <t>Thợ xây</t>
  </si>
  <si>
    <t>TC</t>
  </si>
  <si>
    <t>TX003</t>
  </si>
  <si>
    <t>Lê Văn Hải</t>
  </si>
  <si>
    <t>TX004</t>
  </si>
  <si>
    <t>Phạm Văn Lộc</t>
  </si>
  <si>
    <t>TX005</t>
  </si>
  <si>
    <t>Hoàng Văn Nghĩa</t>
  </si>
  <si>
    <t>Thợ tô – trát</t>
  </si>
  <si>
    <t>P</t>
  </si>
  <si>
    <t>TX006</t>
  </si>
  <si>
    <t>Vũ Đình Phong</t>
  </si>
  <si>
    <t>K</t>
  </si>
  <si>
    <t>TX007</t>
  </si>
  <si>
    <t>Đỗ Văn Quý</t>
  </si>
  <si>
    <t>Thợ sắt – cốp pha</t>
  </si>
  <si>
    <t>TX008</t>
  </si>
  <si>
    <t>Bùi Văn Sơn</t>
  </si>
  <si>
    <t>Ô</t>
  </si>
  <si>
    <t>TX009</t>
  </si>
  <si>
    <t>Ngô Văn Tài</t>
  </si>
  <si>
    <t>Thợ điện nước</t>
  </si>
  <si>
    <t>TX010</t>
  </si>
  <si>
    <t>Đặng Văn Thịnh</t>
  </si>
  <si>
    <t>Thợ sơn – bả</t>
  </si>
  <si>
    <t>TX011</t>
  </si>
  <si>
    <t>Phan Văn Ước</t>
  </si>
  <si>
    <t>Phụ hồ</t>
  </si>
  <si>
    <t>NS</t>
  </si>
  <si>
    <t>TX012</t>
  </si>
  <si>
    <t>Lý Văn Vinh</t>
  </si>
  <si>
    <t>TỔNG CỘNG</t>
  </si>
  <si>
    <t>Số thợ làm trong ngày</t>
  </si>
  <si>
    <t>Tổng công trong ngày</t>
  </si>
  <si>
    <t>Lưu ý: 12 dòng đầu là DỮ LIỆU MẪU – xóa họ tên, nghề và ký hiệu rồi nhập thông tin thật. Nhập liệu ở cột A–D, lưới ngày và Ghi chú (nền trắng); các ô nền xám tự tính. Tăng ca = Tổng giờ làm − Công chuẩn × 8 giờ (nếu &gt; 0). Nghỉ mưa/bão (M) mặc định 0 công – sửa ở cột 'Giờ hưởng lương' sheet Cài đặt nếu có hỗ trợ.</t>
  </si>
  <si>
    <t>KÝ HIỆU CHẤM CÔNG</t>
  </si>
  <si>
    <t>NGƯỜI LẬP BẢNG</t>
  </si>
  <si>
    <t>CHỈ HUY TRƯỞNG / ĐỘI TRƯỞNG</t>
  </si>
  <si>
    <t>XÁC NHẬN CỦA ĐƠN VỊ</t>
  </si>
  <si>
    <t>(Ký, ghi rõ họ tên)</t>
  </si>
  <si>
    <t>BẢNG TỔNG HỢP CÔNG VÀ LƯƠNG THỢ XÂY</t>
  </si>
  <si>
    <t>Đơn giá công</t>
  </si>
  <si>
    <t>NGÀY CÔNG</t>
  </si>
  <si>
    <t>CÔNG &amp; GIỜ</t>
  </si>
  <si>
    <t>THU NHẬP (VNĐ)</t>
  </si>
  <si>
    <t>KHẤU TRỪ &amp; THỰC LĨNH</t>
  </si>
  <si>
    <t>Ký nhận</t>
  </si>
  <si>
    <t>Ngày làm thực tế</t>
  </si>
  <si>
    <t>Nghỉ hưởng lương (P+L)</t>
  </si>
  <si>
    <t>Nghỉ mưa / ốm / không lương</t>
  </si>
  <si>
    <t>Công hưởng lương</t>
  </si>
  <si>
    <t>Lương công nhật</t>
  </si>
  <si>
    <t>PC tăng ca</t>
  </si>
  <si>
    <t>PC Chủ nhật</t>
  </si>
  <si>
    <t>PC ngày lễ</t>
  </si>
  <si>
    <t>Lương khoán (đã nghiệm thu)</t>
  </si>
  <si>
    <t>PC cơm trưa</t>
  </si>
  <si>
    <t>PC chuyên cần</t>
  </si>
  <si>
    <t>Tổng thu nhập</t>
  </si>
  <si>
    <t>Khấu trừ bảo hiểm</t>
  </si>
  <si>
    <t>Tạm ứng</t>
  </si>
  <si>
    <t>Khấu trừ khác</t>
  </si>
  <si>
    <t>THỰC LĨNH</t>
  </si>
  <si>
    <t>Công, giờ lấy từ sheet 'Chấm công'; đơn giá công theo nghề (mục 5 sheet 'Cài đặt'); lương khoán cộng từ sheet 'Khối lượng khoán' theo tên thợ và đúng tháng/năm đã chọn, chỉ tính hạng mục 'Đạt' (tên phải trùng khớp). Chỉ nhập tay cột 'Tạm ứng' và 'Khấu trừ khác'. Thợ làm khoán hoàn toàn: chọn nghề 'Thợ khoán' (đơn giá công = 0).</t>
  </si>
  <si>
    <t>KẾ TOÁN</t>
  </si>
  <si>
    <t>GIÁM ĐỐC / CHỈ HUY TRƯỞNG</t>
  </si>
  <si>
    <t>NHẬT KÝ KHỐI LƯỢNG KHOÁN</t>
  </si>
  <si>
    <t>Tổng thành tiền khoán</t>
  </si>
  <si>
    <t>Đã nghiệm thu (tính vào lương)</t>
  </si>
  <si>
    <t>Hạng mục chờ nghiệm thu</t>
  </si>
  <si>
    <t>Hạng mục chưa đạt (làm lại)</t>
  </si>
  <si>
    <t>Ngày</t>
  </si>
  <si>
    <t>Thứ</t>
  </si>
  <si>
    <t>Họ tên thợ</t>
  </si>
  <si>
    <t>Hạng mục</t>
  </si>
  <si>
    <t>ĐVT</t>
  </si>
  <si>
    <t>Khối lượng</t>
  </si>
  <si>
    <t>Đơn giá khoán (đ)</t>
  </si>
  <si>
    <t>Thành tiền (đ)</t>
  </si>
  <si>
    <t>Vị trí / khu vực thi công</t>
  </si>
  <si>
    <t>Nghiệm thu</t>
  </si>
  <si>
    <t>Xây gạch</t>
  </si>
  <si>
    <t>Tầng 2 – trục A–C</t>
  </si>
  <si>
    <t>Đạt</t>
  </si>
  <si>
    <t>Tầng 2 – trục C–E</t>
  </si>
  <si>
    <t>Tô trát tường</t>
  </si>
  <si>
    <t>Tầng 1 – phòng khách</t>
  </si>
  <si>
    <t>Tầng 1 – bếp</t>
  </si>
  <si>
    <t>Gia công cốt thép</t>
  </si>
  <si>
    <t>Dầm sàn tầng 3</t>
  </si>
  <si>
    <t>Cốp pha</t>
  </si>
  <si>
    <t>Sàn tầng 3</t>
  </si>
  <si>
    <t>Chờ nghiệm thu</t>
  </si>
  <si>
    <t>Lát gạch nền</t>
  </si>
  <si>
    <t>Tầng 1 – hành lang</t>
  </si>
  <si>
    <t>Chưa đạt</t>
  </si>
  <si>
    <t>Lát lệch mạch, phải làm lại</t>
  </si>
  <si>
    <t>Lắp đặt điện nước</t>
  </si>
  <si>
    <t>Tầng 2 – khu vệ sinh</t>
  </si>
  <si>
    <t>Lưu ý: 8 dòng đầu là DỮ LIỆU MẪU – xóa nội dung rồi nhập thật. Nhập ở ô nền trắng; ô nền xám (Thứ, ĐVT, Đơn giá, Thành tiền) tự tính theo mục 6 sheet 'Cài đặt'. Chỉ khối lượng 'Đạt' mới được cộng vào lương khoán ở sheet 'Tổng hợp lương'; 'Chờ nghiệm thu' và 'Chưa đạt' chưa tính.</t>
  </si>
  <si>
    <t>NGƯỜI LẬP NHẬT KÝ</t>
  </si>
  <si>
    <t>CÀI ĐẶT BẢNG CHẤM CÔNG THỢ XÂY</t>
  </si>
  <si>
    <t>HƯỚNG DẪN SỬ DỤNG</t>
  </si>
  <si>
    <t>1. THÔNG TIN CHUNG</t>
  </si>
  <si>
    <t>1) Nhập tên đơn vị, công trình, tháng và năm ở mục 1.
2) Kiểm tra bảng ký hiệu ca (mục 2): sửa giờ vào/ra và giờ nghỉ nếu khác thực tế.
3) Nhập ngày lễ của năm vào mục 3.
4) Mục 4: hệ số tăng ca, phụ cấp, bảo hiểm. Mục 5: đơn giá công theo nghề. Mục 6: hạng mục và đơn giá khoán.
5) Sheet 'Chấm công': nhập tên, chọn nghề, chọn ký hiệu từng ngày (danh sách thả xuống).
6) Sheet 'Khối lượng khoán': ghi khối lượng hoàn thành – thành tiền tự tính, chỉ hạng mục 'Đạt' vào lương.
7) Sheet 'Tổng hợp lương': tự tính, chỉ nhập tạm ứng và khấu trừ khác.
Ô nền cam nhạt = ô cần nhập. Ô nền xám = ô tự tính.</t>
  </si>
  <si>
    <t>Tên đơn vị / công ty</t>
  </si>
  <si>
    <t>CÔNG TY TNHH XÂY DỰNG &amp; THƯƠNG MẠI MẪU</t>
  </si>
  <si>
    <t>Công trình / địa điểm thi công</t>
  </si>
  <si>
    <t>Nhà phố 4 tầng – 45 Lê Văn Lương, Hà Nội</t>
  </si>
  <si>
    <t>Tháng chấm công</t>
  </si>
  <si>
    <t>Năm chấm công</t>
  </si>
  <si>
    <t>Số ngày trong tháng</t>
  </si>
  <si>
    <t>Tự tính theo tháng/năm</t>
  </si>
  <si>
    <t>Số ngày Chủ nhật</t>
  </si>
  <si>
    <t>Tự đếm trên bảng chấm công</t>
  </si>
  <si>
    <t>Công chuẩn trong tháng (ngày)</t>
  </si>
  <si>
    <t>Bằng số ngày − Chủ nhật (có thể nhập đè số khác)</t>
  </si>
  <si>
    <t>Số giờ tính 1 công</t>
  </si>
  <si>
    <t>Dùng quy đổi giờ → công và tính tăng ca</t>
  </si>
  <si>
    <t>2. BẢNG KÝ HIỆU CHẤM CÔNG</t>
  </si>
  <si>
    <t>3. NGÀY LỄ TRONG NĂM</t>
  </si>
  <si>
    <t>Ký hiệu</t>
  </si>
  <si>
    <t>Tên ca / loại nghỉ</t>
  </si>
  <si>
    <t>Giờ bắt đầu</t>
  </si>
  <si>
    <t>Giờ kết thúc</t>
  </si>
  <si>
    <t>Nghỉ giữa ca (giờ)</t>
  </si>
  <si>
    <t>Giờ làm thực tế</t>
  </si>
  <si>
    <t>Giờ hưởng lương</t>
  </si>
  <si>
    <t>Tên ngày lễ</t>
  </si>
  <si>
    <t>Cả ngày</t>
  </si>
  <si>
    <t>Tết Dương lịch</t>
  </si>
  <si>
    <t>Nửa ngày sáng</t>
  </si>
  <si>
    <t>Ngày Giải phóng miền Nam</t>
  </si>
  <si>
    <t>NC</t>
  </si>
  <si>
    <t>Nửa ngày chiều</t>
  </si>
  <si>
    <t>Quốc tế Lao động</t>
  </si>
  <si>
    <t>Cả ngày + tăng ca</t>
  </si>
  <si>
    <t>Quốc khánh</t>
  </si>
  <si>
    <t>Nghỉ mưa / bão</t>
  </si>
  <si>
    <t>Nghỉ phép năm</t>
  </si>
  <si>
    <t>L</t>
  </si>
  <si>
    <t>Nghỉ lễ</t>
  </si>
  <si>
    <t>Nghỉ ốm</t>
  </si>
  <si>
    <t>Nghỉ không lương</t>
  </si>
  <si>
    <t>Nghỉ tuần</t>
  </si>
  <si>
    <t>Ghi chú: 'Giờ làm thực tế' = (giờ kết thúc − giờ bắt đầu) − nghỉ giữa ca (kể cả ca qua đêm), dùng tính tổng giờ và tăng ca; 'Giờ hưởng lương' dùng quy đổi ra công. Nghỉ phép/nghỉ lễ mặc định hưởng 1 công – sửa ở cột H nếu chính sách khác. Muốn thêm ký hiệu mới: chèn dòng vào GIỮA bảng để công thức tự mở rộng.</t>
  </si>
  <si>
    <t>4. THAM SỐ TÍNH LƯƠNG</t>
  </si>
  <si>
    <t>Cần tự bổ sung: Tết Âm lịch, Giỗ Tổ Hùng Vương và các ngày nghỉ bù theo thông báo hằng năm của Chính phủ.</t>
  </si>
  <si>
    <t>Hệ số tăng ca ngày thường</t>
  </si>
  <si>
    <t>Phần giờ vượt công chuẩn</t>
  </si>
  <si>
    <t>Hệ số làm Chủ nhật</t>
  </si>
  <si>
    <t>Áp dụng cho giờ làm Chủ nhật</t>
  </si>
  <si>
    <t>Hệ số làm ngày lễ</t>
  </si>
  <si>
    <t>Áp dụng cho giờ làm ngày lễ</t>
  </si>
  <si>
    <t>Phụ cấp cơm trưa (VNĐ/ngày làm)</t>
  </si>
  <si>
    <t>Mỗi ngày đi làm thực tế</t>
  </si>
  <si>
    <t>Phụ cấp chuyên cần (VNĐ/tháng)</t>
  </si>
  <si>
    <t>Chỉ nhận khi không nghỉ không lương</t>
  </si>
  <si>
    <t>Khấu trừ bảo hiểm (% lương công nhật)</t>
  </si>
  <si>
    <t>Thợ thời vụ thường 0%; nhập 10,5% nếu có HĐLĐ</t>
  </si>
  <si>
    <t>Cách tính: mọi giờ làm đều được trả 1× qua 'công hưởng lương' × đơn giá công theo nghề (mục 5); tăng ca, Chủ nhật, ngày lễ chỉ cộng THÊM phần chênh (hệ số − 1) × đơn giá giờ (= đơn giá công ÷ giờ tính 1 công). Lương khoán (mục 6) cộng thêm vào lương công nhật. Các số liệu là giá trị mẫu – hãy sửa theo thỏa thuận thực tế.</t>
  </si>
  <si>
    <t>5. BẢNG NGHỀ &amp; ĐƠN GIÁ NGÀY CÔNG</t>
  </si>
  <si>
    <t>Đơn giá / công (đ)</t>
  </si>
  <si>
    <t>Thợ khoán (không hưởng công nhật)</t>
  </si>
  <si>
    <t>Chỉ hưởng lương khoán, đơn giá công = 0</t>
  </si>
  <si>
    <t>6. BẢNG HẠNG MỤC &amp; ĐƠN GIÁ KHOÁN</t>
  </si>
  <si>
    <t>Hạng mục khoán</t>
  </si>
  <si>
    <t>m³</t>
  </si>
  <si>
    <t>m²</t>
  </si>
  <si>
    <t>Cán nền</t>
  </si>
  <si>
    <t>Ốp gạch tường</t>
  </si>
  <si>
    <t>Đổ bê tông</t>
  </si>
  <si>
    <t>kg</t>
  </si>
  <si>
    <t>Sơn bả</t>
  </si>
  <si>
    <t>điểm</t>
  </si>
  <si>
    <t>Đơn giá công và đơn giá khoán ở trên là dữ liệu mẫu – nhập theo mặt bằng giá nhân công của đơn vị/khu vực. Muốn thêm nghề hoặc hạng mục mới: nhập vào dòng trống (hoặc chèn dòng vào GIỮA bảng).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</si>
</sst>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0;\-0;\-"/>
    <numFmt numFmtId="165" formatCode="0.0;\-0.0;\-"/>
    <numFmt numFmtId="166" formatCode="#,##0;\-#,##0;\-"/>
    <numFmt numFmtId="167" formatCode="dd/mm/yyyy"/>
    <numFmt numFmtId="168" formatCode="#,##0.0#"/>
    <numFmt numFmtId="169" formatCode="hh:mm"/>
    <numFmt numFmtId="170" formatCode="0.0"/>
    <numFmt numFmtId="171" formatCode="0.0%"/>
  </numFmts>
  <fonts count="24">
    <font>
      <sz val="11.0"/>
      <color theme="1"/>
      <name val="Calibri"/>
      <scheme val="minor"/>
    </font>
    <font>
      <b/>
      <sz val="11.0"/>
      <color rgb="FFFFFFFF"/>
      <name val="Inter Tight"/>
    </font>
    <font/>
    <font>
      <b/>
      <sz val="24.0"/>
      <color rgb="FFF97316"/>
      <name val="Inter Tight"/>
    </font>
    <font>
      <sz val="11.0"/>
      <color rgb="FF3F3F46"/>
      <name val="Inter Tight"/>
    </font>
    <font>
      <b/>
      <sz val="10.0"/>
      <color rgb="FFFFFFFF"/>
      <name val="Inter Tight"/>
    </font>
    <font>
      <b/>
      <sz val="8.0"/>
      <color rgb="FF71717A"/>
      <name val="Inter Tight"/>
    </font>
    <font>
      <b/>
      <sz val="9.0"/>
      <color rgb="FFFFFFFF"/>
      <name val="Inter Tight"/>
    </font>
    <font>
      <b/>
      <sz val="9.0"/>
      <color rgb="FF3F3F46"/>
      <name val="Inter Tight"/>
    </font>
    <font>
      <sz val="10.0"/>
      <color rgb="FF71717A"/>
      <name val="Inter Tight"/>
    </font>
    <font>
      <sz val="10.0"/>
      <color rgb="FF27272A"/>
      <name val="Inter Tight"/>
    </font>
    <font>
      <sz val="9.0"/>
      <color rgb="FF27272A"/>
      <name val="Inter Tight"/>
    </font>
    <font>
      <b/>
      <sz val="9.0"/>
      <color rgb="FF27272A"/>
      <name val="Inter Tight"/>
    </font>
    <font>
      <b/>
      <sz val="10.0"/>
      <color rgb="FF27272A"/>
      <name val="Inter Tight"/>
    </font>
    <font>
      <b/>
      <sz val="10.0"/>
      <color rgb="FF9A3412"/>
      <name val="Inter Tight"/>
    </font>
    <font>
      <b/>
      <sz val="10.0"/>
      <color rgb="FF3F3F46"/>
      <name val="Inter Tight"/>
    </font>
    <font>
      <b/>
      <sz val="9.0"/>
      <color rgb="FF9A3412"/>
      <name val="Inter Tight"/>
    </font>
    <font>
      <sz val="9.0"/>
      <color rgb="FF3F3F46"/>
      <name val="Inter Tight"/>
    </font>
    <font>
      <i/>
      <sz val="9.0"/>
      <color rgb="FF71717A"/>
      <name val="Inter Tight"/>
    </font>
    <font>
      <b/>
      <sz val="9.0"/>
      <color rgb="FF7C2D12"/>
      <name val="Inter Tight"/>
    </font>
    <font>
      <b/>
      <sz val="9.0"/>
      <color rgb="FFA1A1AA"/>
      <name val="Inter Tight"/>
    </font>
    <font>
      <b/>
      <sz val="16.0"/>
      <color rgb="FFF97316"/>
      <name val="Inter Tight"/>
    </font>
    <font>
      <b/>
      <sz val="14.0"/>
      <color rgb="FFFFFFFF"/>
      <name val="Inter Tight"/>
    </font>
    <font>
      <i/>
      <sz val="8.0"/>
      <color rgb="FF71717A"/>
      <name val="Inter Tight"/>
    </font>
  </fonts>
  <fills count="14">
    <fill>
      <patternFill patternType="none"/>
    </fill>
    <fill>
      <patternFill patternType="lightGray"/>
    </fill>
    <fill>
      <patternFill patternType="solid">
        <fgColor rgb="FFF97316"/>
        <bgColor rgb="FFF97316"/>
      </patternFill>
    </fill>
    <fill>
      <patternFill patternType="solid">
        <fgColor rgb="FF3F3F46"/>
        <bgColor rgb="FF3F3F46"/>
      </patternFill>
    </fill>
    <fill>
      <patternFill patternType="solid">
        <fgColor rgb="FF71717A"/>
        <bgColor rgb="FF71717A"/>
      </patternFill>
    </fill>
    <fill>
      <patternFill patternType="solid">
        <fgColor rgb="FFF4F4F5"/>
        <bgColor rgb="FFF4F4F5"/>
      </patternFill>
    </fill>
    <fill>
      <patternFill patternType="solid">
        <fgColor rgb="FFE4E4E7"/>
        <bgColor rgb="FFE4E4E7"/>
      </patternFill>
    </fill>
    <fill>
      <patternFill patternType="solid">
        <fgColor rgb="FFFFFFFF"/>
        <bgColor rgb="FFFFFFFF"/>
      </patternFill>
    </fill>
    <fill>
      <patternFill patternType="solid">
        <fgColor rgb="FFFFEDD5"/>
        <bgColor rgb="FFFFEDD5"/>
      </patternFill>
    </fill>
    <fill>
      <patternFill patternType="solid">
        <fgColor rgb="FFFDBA74"/>
        <bgColor rgb="FFFDBA74"/>
      </patternFill>
    </fill>
    <fill>
      <patternFill patternType="solid">
        <fgColor rgb="FFFED7AA"/>
        <bgColor rgb="FFFED7AA"/>
      </patternFill>
    </fill>
    <fill>
      <patternFill patternType="solid">
        <fgColor rgb="FFA1A1AA"/>
        <bgColor rgb="FFA1A1AA"/>
      </patternFill>
    </fill>
    <fill>
      <patternFill patternType="solid">
        <fgColor rgb="FFD4D4D8"/>
        <bgColor rgb="FFD4D4D8"/>
      </patternFill>
    </fill>
    <fill>
      <patternFill patternType="solid">
        <fgColor rgb="FFFFF7ED"/>
        <bgColor rgb="FFFFF7ED"/>
      </patternFill>
    </fill>
  </fills>
  <borders count="21">
    <border/>
    <border>
      <left/>
      <top/>
      <bottom/>
    </border>
    <border>
      <top/>
      <bottom/>
    </border>
    <border>
      <right/>
      <top/>
      <bottom/>
    </border>
    <border>
      <left style="thin">
        <color rgb="FFD4D4D8"/>
      </left>
      <right style="thin">
        <color rgb="FFD4D4D8"/>
      </right>
      <top style="thin">
        <color rgb="FFD4D4D8"/>
      </top>
    </border>
    <border>
      <left style="thin">
        <color rgb="FFD4D4D8"/>
      </left>
      <top style="thin">
        <color rgb="FFD4D4D8"/>
      </top>
      <bottom style="thin">
        <color rgb="FFD4D4D8"/>
      </bottom>
    </border>
    <border>
      <top style="thin">
        <color rgb="FFD4D4D8"/>
      </top>
      <bottom style="thin">
        <color rgb="FFD4D4D8"/>
      </bottom>
    </border>
    <border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D4D4D8"/>
      </left>
      <right style="thin">
        <color rgb="FFD4D4D8"/>
      </right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D4D4D8"/>
      </left>
      <right style="thin">
        <color rgb="FFD4D4D8"/>
      </right>
      <bottom style="thin">
        <color rgb="FFD4D4D8"/>
      </bottom>
    </border>
    <border>
      <left style="thin">
        <color rgb="FFD4D4D8"/>
      </left>
      <top style="thin">
        <color rgb="FFD4D4D8"/>
      </top>
    </border>
    <border>
      <right style="thin">
        <color rgb="FFD4D4D8"/>
      </right>
      <top style="thin">
        <color rgb="FFD4D4D8"/>
      </top>
    </border>
    <border>
      <left style="thin">
        <color rgb="FFF97316"/>
      </left>
      <top style="thin">
        <color rgb="FFF97316"/>
      </top>
      <bottom style="thin">
        <color rgb="FFF97316"/>
      </bottom>
    </border>
    <border>
      <top style="thin">
        <color rgb="FFF97316"/>
      </top>
      <bottom style="thin">
        <color rgb="FFF97316"/>
      </bottom>
    </border>
    <border>
      <right style="thin">
        <color rgb="FFF97316"/>
      </right>
      <top style="thin">
        <color rgb="FFF97316"/>
      </top>
      <bottom style="thin">
        <color rgb="FFF97316"/>
      </bottom>
    </border>
    <border>
      <left style="thin">
        <color rgb="FFD4D4D8"/>
      </left>
    </border>
    <border>
      <right style="thin">
        <color rgb="FFD4D4D8"/>
      </right>
    </border>
    <border>
      <left style="thin">
        <color rgb="FFD4D4D8"/>
      </left>
      <bottom style="thin">
        <color rgb="FFD4D4D8"/>
      </bottom>
    </border>
    <border>
      <right style="thin">
        <color rgb="FFD4D4D8"/>
      </right>
      <bottom style="thin">
        <color rgb="FFD4D4D8"/>
      </bottom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left" shrinkToFit="0" vertical="center" wrapText="0"/>
    </xf>
    <xf borderId="4" fillId="3" fontId="5" numFmtId="0" xfId="0" applyAlignment="1" applyBorder="1" applyFill="1" applyFont="1">
      <alignment horizontal="center" shrinkToFit="0" vertical="center" wrapText="1"/>
    </xf>
    <xf borderId="5" fillId="2" fontId="5" numFmtId="0" xfId="0" applyAlignment="1" applyBorder="1" applyFill="1" applyFont="1">
      <alignment horizontal="center" shrinkToFit="0" vertical="center" wrapText="0"/>
    </xf>
    <xf borderId="6" fillId="0" fontId="2" numFmtId="0" xfId="0" applyBorder="1" applyFont="1"/>
    <xf borderId="7" fillId="0" fontId="2" numFmtId="0" xfId="0" applyBorder="1" applyFont="1"/>
    <xf borderId="5" fillId="4" fontId="5" numFmtId="0" xfId="0" applyAlignment="1" applyBorder="1" applyFill="1" applyFont="1">
      <alignment horizontal="center" shrinkToFit="0" vertical="center" wrapText="0"/>
    </xf>
    <xf borderId="4" fillId="3" fontId="5" numFmtId="0" xfId="0" applyAlignment="1" applyBorder="1" applyFill="1" applyFont="1">
      <alignment horizontal="center" shrinkToFit="0" vertical="center" wrapText="0"/>
    </xf>
    <xf borderId="8" fillId="0" fontId="2" numFmtId="0" xfId="0" applyBorder="1" applyFont="1"/>
    <xf borderId="9" fillId="5" fontId="6" numFmtId="0" xfId="0" applyAlignment="1" applyBorder="1" applyFill="1" applyFont="1">
      <alignment horizontal="center" shrinkToFit="0" vertical="center" wrapText="0"/>
    </xf>
    <xf borderId="4" fillId="3" fontId="7" numFmtId="0" xfId="0" applyAlignment="1" applyBorder="1" applyFill="1" applyFont="1">
      <alignment horizontal="center" shrinkToFit="0" vertical="center" wrapText="1"/>
    </xf>
    <xf borderId="9" fillId="3" fontId="5" numFmtId="0" xfId="0" applyAlignment="1" applyBorder="1" applyFill="1" applyFont="1">
      <alignment horizontal="center" shrinkToFit="0" vertical="center" wrapText="0"/>
    </xf>
    <xf borderId="10" fillId="0" fontId="2" numFmtId="0" xfId="0" applyBorder="1" applyFont="1"/>
    <xf borderId="9" fillId="6" fontId="8" numFmtId="0" xfId="0" applyAlignment="1" applyBorder="1" applyFill="1" applyFont="1">
      <alignment horizontal="center" shrinkToFit="0" vertical="center" wrapText="0"/>
    </xf>
    <xf borderId="9" fillId="7" fontId="9" numFmtId="0" xfId="0" applyAlignment="1" applyBorder="1" applyFill="1" applyFont="1">
      <alignment horizontal="center" shrinkToFit="0" vertical="center" wrapText="0"/>
    </xf>
    <xf borderId="9" fillId="7" fontId="10" numFmtId="0" xfId="0" applyAlignment="1" applyBorder="1" applyFill="1" applyFont="1">
      <alignment horizontal="center" shrinkToFit="0" vertical="center" wrapText="0"/>
    </xf>
    <xf borderId="9" fillId="7" fontId="10" numFmtId="0" xfId="0" applyAlignment="1" applyBorder="1" applyFill="1" applyFont="1">
      <alignment horizontal="left" shrinkToFit="0" vertical="center" wrapText="0"/>
    </xf>
    <xf borderId="9" fillId="7" fontId="11" numFmtId="0" xfId="0" applyAlignment="1" applyBorder="1" applyFill="1" applyFont="1">
      <alignment horizontal="left" shrinkToFit="0" vertical="center" wrapText="0"/>
    </xf>
    <xf borderId="9" fillId="7" fontId="12" numFmtId="0" xfId="0" applyAlignment="1" applyBorder="1" applyFill="1" applyFont="1">
      <alignment horizontal="center" shrinkToFit="0" vertical="center" wrapText="0"/>
    </xf>
    <xf borderId="9" fillId="5" fontId="10" numFmtId="164" xfId="0" applyAlignment="1" applyBorder="1" applyFill="1" applyFont="1" applyNumberFormat="1">
      <alignment horizontal="center" shrinkToFit="0" vertical="center" wrapText="0"/>
    </xf>
    <xf borderId="9" fillId="5" fontId="13" numFmtId="165" xfId="0" applyAlignment="1" applyBorder="1" applyFill="1" applyFont="1" applyNumberFormat="1">
      <alignment horizontal="center" shrinkToFit="0" vertical="center" wrapText="0"/>
    </xf>
    <xf borderId="9" fillId="5" fontId="10" numFmtId="165" xfId="0" applyAlignment="1" applyBorder="1" applyFill="1" applyFont="1" applyNumberFormat="1">
      <alignment horizontal="center" shrinkToFit="0" vertical="center" wrapText="0"/>
    </xf>
    <xf borderId="9" fillId="5" fontId="14" numFmtId="165" xfId="0" applyAlignment="1" applyBorder="1" applyFill="1" applyFont="1" applyNumberFormat="1">
      <alignment horizontal="center" shrinkToFit="0" vertical="center" wrapText="0"/>
    </xf>
    <xf borderId="5" fillId="3" fontId="5" numFmtId="0" xfId="0" applyAlignment="1" applyBorder="1" applyFill="1" applyFont="1">
      <alignment horizontal="left" shrinkToFit="0" vertical="center" wrapText="0"/>
    </xf>
    <xf borderId="5" fillId="5" fontId="10" numFmtId="0" xfId="0" applyAlignment="1" applyBorder="1" applyFill="1" applyFont="1">
      <alignment horizontal="center" shrinkToFit="0" vertical="center" wrapText="0"/>
    </xf>
    <xf borderId="9" fillId="8" fontId="14" numFmtId="164" xfId="0" applyAlignment="1" applyBorder="1" applyFill="1" applyFont="1" applyNumberFormat="1">
      <alignment horizontal="center" shrinkToFit="0" vertical="center" wrapText="0"/>
    </xf>
    <xf borderId="9" fillId="8" fontId="14" numFmtId="165" xfId="0" applyAlignment="1" applyBorder="1" applyFill="1" applyFont="1" applyNumberFormat="1">
      <alignment horizontal="center" shrinkToFit="0" vertical="center" wrapText="0"/>
    </xf>
    <xf borderId="9" fillId="5" fontId="10" numFmtId="0" xfId="0" applyAlignment="1" applyBorder="1" applyFill="1" applyFont="1">
      <alignment horizontal="center" shrinkToFit="0" vertical="center" wrapText="0"/>
    </xf>
    <xf borderId="5" fillId="5" fontId="15" numFmtId="0" xfId="0" applyAlignment="1" applyBorder="1" applyFill="1" applyFont="1">
      <alignment horizontal="left" shrinkToFit="0" vertical="center" wrapText="0"/>
    </xf>
    <xf borderId="9" fillId="8" fontId="16" numFmtId="164" xfId="0" applyAlignment="1" applyBorder="1" applyFill="1" applyFont="1" applyNumberFormat="1">
      <alignment horizontal="center" shrinkToFit="0" vertical="center" wrapText="0"/>
    </xf>
    <xf borderId="9" fillId="8" fontId="16" numFmtId="165" xfId="0" applyAlignment="1" applyBorder="1" applyFill="1" applyFont="1" applyNumberFormat="1">
      <alignment horizontal="center" shrinkToFit="0" vertical="center" wrapText="0"/>
    </xf>
    <xf borderId="5" fillId="5" fontId="17" numFmtId="0" xfId="0" applyAlignment="1" applyBorder="1" applyFill="1" applyFont="1">
      <alignment horizontal="left" shrinkToFit="0" vertical="center" wrapText="0"/>
    </xf>
    <xf borderId="9" fillId="5" fontId="17" numFmtId="164" xfId="0" applyAlignment="1" applyBorder="1" applyFill="1" applyFont="1" applyNumberFormat="1">
      <alignment horizontal="center" shrinkToFit="0" vertical="center" wrapText="0"/>
    </xf>
    <xf borderId="0" fillId="0" fontId="18" numFmtId="0" xfId="0" applyAlignment="1" applyFont="1">
      <alignment horizontal="left" shrinkToFit="0" vertical="center" wrapText="0"/>
    </xf>
    <xf borderId="5" fillId="3" fontId="5" numFmtId="0" xfId="0" applyAlignment="1" applyBorder="1" applyFill="1" applyFont="1">
      <alignment horizontal="center" shrinkToFit="0" vertical="center" wrapText="0"/>
    </xf>
    <xf borderId="0" fillId="0" fontId="15" numFmtId="0" xfId="0" applyAlignment="1" applyFont="1">
      <alignment horizontal="center" shrinkToFit="0" vertical="center" wrapText="0"/>
    </xf>
    <xf borderId="9" fillId="9" fontId="19" numFmtId="0" xfId="0" applyAlignment="1" applyBorder="1" applyFill="1" applyFont="1">
      <alignment horizontal="center" shrinkToFit="0" vertical="center" wrapText="0"/>
    </xf>
    <xf borderId="5" fillId="0" fontId="11" numFmtId="0" xfId="0" applyAlignment="1" applyBorder="1" applyFont="1">
      <alignment horizontal="left" shrinkToFit="0" vertical="center" wrapText="0"/>
    </xf>
    <xf borderId="0" fillId="0" fontId="18" numFmtId="0" xfId="0" applyAlignment="1" applyFont="1">
      <alignment horizontal="center" shrinkToFit="0" vertical="center" wrapText="0"/>
    </xf>
    <xf borderId="9" fillId="8" fontId="16" numFmtId="0" xfId="0" applyAlignment="1" applyBorder="1" applyFill="1" applyFont="1">
      <alignment horizontal="center" shrinkToFit="0" vertical="center" wrapText="0"/>
    </xf>
    <xf borderId="9" fillId="10" fontId="16" numFmtId="0" xfId="0" applyAlignment="1" applyBorder="1" applyFill="1" applyFont="1">
      <alignment horizontal="center" shrinkToFit="0" vertical="center" wrapText="0"/>
    </xf>
    <xf borderId="9" fillId="2" fontId="7" numFmtId="0" xfId="0" applyAlignment="1" applyBorder="1" applyFill="1" applyFont="1">
      <alignment horizontal="center" shrinkToFit="0" vertical="center" wrapText="0"/>
    </xf>
    <xf borderId="9" fillId="11" fontId="7" numFmtId="0" xfId="0" applyAlignment="1" applyBorder="1" applyFill="1" applyFont="1">
      <alignment horizontal="center" shrinkToFit="0" vertical="center" wrapText="0"/>
    </xf>
    <xf borderId="9" fillId="12" fontId="8" numFmtId="0" xfId="0" applyAlignment="1" applyBorder="1" applyFill="1" applyFont="1">
      <alignment horizontal="center" shrinkToFit="0" vertical="center" wrapText="0"/>
    </xf>
    <xf borderId="9" fillId="4" fontId="7" numFmtId="0" xfId="0" applyAlignment="1" applyBorder="1" applyFill="1" applyFont="1">
      <alignment horizontal="center" shrinkToFit="0" vertical="center" wrapText="0"/>
    </xf>
    <xf borderId="9" fillId="3" fontId="7" numFmtId="0" xfId="0" applyAlignment="1" applyBorder="1" applyFill="1" applyFont="1">
      <alignment horizontal="center" shrinkToFit="0" vertical="center" wrapText="0"/>
    </xf>
    <xf borderId="9" fillId="5" fontId="20" numFmtId="0" xfId="0" applyAlignment="1" applyBorder="1" applyFill="1" applyFont="1">
      <alignment horizontal="center" shrinkToFit="0" vertical="center" wrapText="0"/>
    </xf>
    <xf borderId="9" fillId="3" fontId="7" numFmtId="0" xfId="0" applyAlignment="1" applyBorder="1" applyFill="1" applyFont="1">
      <alignment horizontal="center" shrinkToFit="0" vertical="center" wrapText="1"/>
    </xf>
    <xf borderId="9" fillId="5" fontId="9" numFmtId="0" xfId="0" applyAlignment="1" applyBorder="1" applyFill="1" applyFont="1">
      <alignment horizontal="center" shrinkToFit="0" vertical="center" wrapText="0"/>
    </xf>
    <xf borderId="9" fillId="5" fontId="13" numFmtId="0" xfId="0" applyAlignment="1" applyBorder="1" applyFill="1" applyFont="1">
      <alignment horizontal="left" shrinkToFit="0" vertical="center" wrapText="0"/>
    </xf>
    <xf borderId="9" fillId="5" fontId="11" numFmtId="0" xfId="0" applyAlignment="1" applyBorder="1" applyFill="1" applyFont="1">
      <alignment horizontal="left" shrinkToFit="0" vertical="center" wrapText="0"/>
    </xf>
    <xf borderId="9" fillId="5" fontId="10" numFmtId="166" xfId="0" applyAlignment="1" applyBorder="1" applyFill="1" applyFont="1" applyNumberFormat="1">
      <alignment horizontal="center" shrinkToFit="0" vertical="center" wrapText="0"/>
    </xf>
    <xf borderId="9" fillId="5" fontId="13" numFmtId="166" xfId="0" applyAlignment="1" applyBorder="1" applyFill="1" applyFont="1" applyNumberFormat="1">
      <alignment horizontal="center" shrinkToFit="0" vertical="center" wrapText="0"/>
    </xf>
    <xf borderId="9" fillId="8" fontId="13" numFmtId="166" xfId="0" applyAlignment="1" applyBorder="1" applyFill="1" applyFont="1" applyNumberFormat="1">
      <alignment horizontal="center" shrinkToFit="0" vertical="center" wrapText="0"/>
    </xf>
    <xf borderId="9" fillId="7" fontId="10" numFmtId="166" xfId="0" applyAlignment="1" applyBorder="1" applyFill="1" applyFont="1" applyNumberFormat="1">
      <alignment horizontal="center" shrinkToFit="0" vertical="center" wrapText="0"/>
    </xf>
    <xf borderId="9" fillId="8" fontId="14" numFmtId="166" xfId="0" applyAlignment="1" applyBorder="1" applyFill="1" applyFont="1" applyNumberFormat="1">
      <alignment horizontal="center" shrinkToFit="0" vertical="center" wrapText="0"/>
    </xf>
    <xf borderId="1" fillId="3" fontId="7" numFmtId="0" xfId="0" applyAlignment="1" applyBorder="1" applyFill="1" applyFont="1">
      <alignment horizontal="center" shrinkToFit="0" vertical="center" wrapText="0"/>
    </xf>
    <xf borderId="5" fillId="5" fontId="21" numFmtId="3" xfId="0" applyAlignment="1" applyBorder="1" applyFill="1" applyFont="1" applyNumberFormat="1">
      <alignment horizontal="center" shrinkToFit="0" vertical="center" wrapText="0"/>
    </xf>
    <xf borderId="5" fillId="5" fontId="21" numFmtId="1" xfId="0" applyAlignment="1" applyBorder="1" applyFill="1" applyFont="1" applyNumberFormat="1">
      <alignment horizontal="center" shrinkToFit="0" vertical="center" wrapText="0"/>
    </xf>
    <xf borderId="9" fillId="2" fontId="7" numFmtId="0" xfId="0" applyAlignment="1" applyBorder="1" applyFill="1" applyFont="1">
      <alignment horizontal="center" shrinkToFit="0" vertical="center" wrapText="1"/>
    </xf>
    <xf borderId="9" fillId="4" fontId="7" numFmtId="0" xfId="0" applyAlignment="1" applyBorder="1" applyFill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0"/>
    </xf>
    <xf borderId="9" fillId="7" fontId="10" numFmtId="167" xfId="0" applyAlignment="1" applyBorder="1" applyFill="1" applyFont="1" applyNumberFormat="1">
      <alignment horizontal="center" shrinkToFit="0" vertical="center" wrapText="0"/>
    </xf>
    <xf borderId="9" fillId="5" fontId="11" numFmtId="0" xfId="0" applyAlignment="1" applyBorder="1" applyFill="1" applyFont="1">
      <alignment horizontal="center" shrinkToFit="0" vertical="center" wrapText="0"/>
    </xf>
    <xf borderId="9" fillId="7" fontId="10" numFmtId="168" xfId="0" applyAlignment="1" applyBorder="1" applyFill="1" applyFont="1" applyNumberFormat="1">
      <alignment horizontal="center" shrinkToFit="0" vertical="center" wrapText="0"/>
    </xf>
    <xf borderId="9" fillId="5" fontId="14" numFmtId="166" xfId="0" applyAlignment="1" applyBorder="1" applyFill="1" applyFont="1" applyNumberFormat="1">
      <alignment horizontal="center" shrinkToFit="0" vertical="center" wrapText="0"/>
    </xf>
    <xf borderId="9" fillId="7" fontId="11" numFmtId="0" xfId="0" applyAlignment="1" applyBorder="1" applyFill="1" applyFont="1">
      <alignment horizontal="left" shrinkToFit="0" vertical="center" wrapText="1"/>
    </xf>
    <xf borderId="9" fillId="7" fontId="11" numFmtId="0" xfId="0" applyAlignment="1" applyBorder="1" applyFill="1" applyFont="1">
      <alignment horizontal="center" shrinkToFit="0" vertical="center" wrapText="0"/>
    </xf>
    <xf borderId="1" fillId="2" fontId="22" numFmtId="0" xfId="0" applyAlignment="1" applyBorder="1" applyFill="1" applyFont="1">
      <alignment horizontal="left" shrinkToFit="0" vertical="center" wrapText="0"/>
    </xf>
    <xf borderId="1" fillId="3" fontId="5" numFmtId="0" xfId="0" applyAlignment="1" applyBorder="1" applyFill="1" applyFont="1">
      <alignment horizontal="left" shrinkToFit="0" vertical="center" wrapText="0"/>
    </xf>
    <xf borderId="11" fillId="5" fontId="11" numFmtId="0" xfId="0" applyAlignment="1" applyBorder="1" applyFill="1" applyFont="1">
      <alignment horizontal="left" shrinkToFit="0" vertical="top" wrapText="1"/>
    </xf>
    <xf borderId="12" fillId="0" fontId="2" numFmtId="0" xfId="0" applyBorder="1" applyFont="1"/>
    <xf borderId="13" fillId="13" fontId="14" numFmtId="0" xfId="0" applyAlignment="1" applyBorder="1" applyFill="1" applyFont="1">
      <alignment horizontal="left" shrinkToFit="0" vertical="center" wrapText="0"/>
    </xf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3" fillId="13" fontId="14" numFmtId="1" xfId="0" applyAlignment="1" applyBorder="1" applyFill="1" applyFont="1" applyNumberFormat="1">
      <alignment horizontal="center" shrinkToFit="0" vertical="center" wrapText="0"/>
    </xf>
    <xf borderId="5" fillId="5" fontId="10" numFmtId="1" xfId="0" applyAlignment="1" applyBorder="1" applyFill="1" applyFont="1" applyNumberFormat="1">
      <alignment horizontal="center" shrinkToFit="0" vertical="center" wrapText="0"/>
    </xf>
    <xf borderId="0" fillId="0" fontId="23" numFmtId="0" xfId="0" applyAlignment="1" applyFont="1">
      <alignment horizontal="left"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13" fontId="14" numFmtId="0" xfId="0" applyAlignment="1" applyBorder="1" applyFill="1" applyFont="1">
      <alignment horizontal="center" shrinkToFit="0" vertical="center" wrapText="0"/>
    </xf>
    <xf borderId="20" fillId="13" fontId="10" numFmtId="0" xfId="0" applyAlignment="1" applyBorder="1" applyFill="1" applyFont="1">
      <alignment horizontal="left" shrinkToFit="0" vertical="center" wrapText="0"/>
    </xf>
    <xf borderId="20" fillId="13" fontId="10" numFmtId="169" xfId="0" applyAlignment="1" applyBorder="1" applyFill="1" applyFont="1" applyNumberFormat="1">
      <alignment horizontal="center" shrinkToFit="0" vertical="center" wrapText="0"/>
    </xf>
    <xf borderId="20" fillId="13" fontId="10" numFmtId="170" xfId="0" applyAlignment="1" applyBorder="1" applyFill="1" applyFont="1" applyNumberFormat="1">
      <alignment horizontal="center" shrinkToFit="0" vertical="center" wrapText="0"/>
    </xf>
    <xf borderId="9" fillId="5" fontId="10" numFmtId="170" xfId="0" applyAlignment="1" applyBorder="1" applyFill="1" applyFont="1" applyNumberFormat="1">
      <alignment horizontal="center" shrinkToFit="0" vertical="center" wrapText="0"/>
    </xf>
    <xf borderId="20" fillId="13" fontId="10" numFmtId="167" xfId="0" applyAlignment="1" applyBorder="1" applyFill="1" applyFont="1" applyNumberFormat="1">
      <alignment horizontal="center" shrinkToFit="0" vertical="center" wrapText="0"/>
    </xf>
    <xf borderId="9" fillId="5" fontId="10" numFmtId="169" xfId="0" applyAlignment="1" applyBorder="1" applyFill="1" applyFont="1" applyNumberFormat="1">
      <alignment horizontal="center" shrinkToFit="0" vertical="center" wrapText="0"/>
    </xf>
    <xf borderId="0" fillId="0" fontId="23" numFmtId="0" xfId="0" applyAlignment="1" applyFont="1">
      <alignment horizontal="left" shrinkToFit="0" vertical="top" wrapText="1"/>
    </xf>
    <xf borderId="13" fillId="13" fontId="14" numFmtId="170" xfId="0" applyAlignment="1" applyBorder="1" applyFill="1" applyFont="1" applyNumberFormat="1">
      <alignment horizontal="center" shrinkToFit="0" vertical="center" wrapText="0"/>
    </xf>
    <xf borderId="13" fillId="13" fontId="14" numFmtId="3" xfId="0" applyAlignment="1" applyBorder="1" applyFill="1" applyFont="1" applyNumberFormat="1">
      <alignment horizontal="center" shrinkToFit="0" vertical="center" wrapText="0"/>
    </xf>
    <xf borderId="13" fillId="13" fontId="14" numFmtId="171" xfId="0" applyAlignment="1" applyBorder="1" applyFill="1" applyFont="1" applyNumberFormat="1">
      <alignment horizontal="center" shrinkToFit="0" vertical="center" wrapText="0"/>
    </xf>
    <xf borderId="5" fillId="2" fontId="7" numFmtId="0" xfId="0" applyAlignment="1" applyBorder="1" applyFill="1" applyFont="1">
      <alignment horizontal="center" shrinkToFit="0" vertical="center" wrapText="0"/>
    </xf>
    <xf borderId="13" fillId="13" fontId="16" numFmtId="0" xfId="0" applyAlignment="1" applyBorder="1" applyFill="1" applyFont="1">
      <alignment horizontal="left" shrinkToFit="0" vertical="center" wrapText="0"/>
    </xf>
    <xf borderId="20" fillId="13" fontId="10" numFmtId="3" xfId="0" applyAlignment="1" applyBorder="1" applyFill="1" applyFont="1" applyNumberFormat="1">
      <alignment horizontal="center" shrinkToFit="0" vertical="center" wrapText="0"/>
    </xf>
    <xf borderId="13" fillId="13" fontId="11" numFmtId="0" xfId="0" applyAlignment="1" applyBorder="1" applyFill="1" applyFont="1">
      <alignment horizontal="left" shrinkToFit="0" vertical="center" wrapText="0"/>
    </xf>
    <xf borderId="20" fillId="13" fontId="11" numFmtId="0" xfId="0" applyAlignment="1" applyBorder="1" applyFill="1" applyFont="1">
      <alignment horizontal="center" shrinkToFit="0" vertical="center" wrapText="0"/>
    </xf>
    <xf borderId="13" fillId="13" fontId="10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9">
    <dxf>
      <font/>
      <fill>
        <patternFill patternType="solid">
          <fgColor rgb="FFD4D4D8"/>
          <bgColor rgb="FFD4D4D8"/>
        </patternFill>
      </fill>
      <border/>
    </dxf>
    <dxf>
      <font/>
      <fill>
        <patternFill patternType="solid">
          <fgColor rgb="FFFFEDD5"/>
          <bgColor rgb="FFFFEDD5"/>
        </patternFill>
      </fill>
      <border/>
    </dxf>
    <dxf>
      <font/>
      <fill>
        <patternFill patternType="solid">
          <fgColor rgb="FFFFF7ED"/>
          <bgColor rgb="FFFFF7ED"/>
        </patternFill>
      </fill>
      <border/>
    </dxf>
    <dxf>
      <font>
        <b/>
        <color rgb="FFFFFFFF"/>
      </font>
      <fill>
        <patternFill patternType="solid">
          <fgColor rgb="FF9A3412"/>
          <bgColor rgb="FF9A3412"/>
        </patternFill>
      </fill>
      <border/>
    </dxf>
    <dxf>
      <font>
        <b/>
        <color rgb="FFFFFFFF"/>
      </font>
      <fill>
        <patternFill patternType="solid">
          <fgColor rgb="FFF97316"/>
          <bgColor rgb="FFF97316"/>
        </patternFill>
      </fill>
      <border/>
    </dxf>
    <dxf>
      <font>
        <b/>
        <color rgb="FF3F3F46"/>
      </font>
      <fill>
        <patternFill patternType="solid">
          <fgColor rgb="FFE4E4E7"/>
          <bgColor rgb="FFE4E4E7"/>
        </patternFill>
      </fill>
      <border/>
    </dxf>
    <dxf>
      <font>
        <b/>
        <color rgb="FF9A3412"/>
      </font>
      <fill>
        <patternFill patternType="solid">
          <fgColor rgb="FFFED7AA"/>
          <bgColor rgb="FFFED7AA"/>
        </patternFill>
      </fill>
      <border/>
    </dxf>
    <dxf>
      <font>
        <b/>
        <color rgb="FFFFFFFF"/>
      </font>
      <fill>
        <patternFill patternType="solid">
          <fgColor rgb="FF3F3F46"/>
          <bgColor rgb="FF3F3F46"/>
        </patternFill>
      </fill>
      <border/>
    </dxf>
    <dxf>
      <font>
        <b/>
        <color rgb="FF9A3412"/>
      </font>
      <fill>
        <patternFill patternType="solid">
          <fgColor rgb="FFFFEDD5"/>
          <bgColor rgb="FFFFEDD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4.0" ySplit="7.0" topLeftCell="E8" activePane="bottomRight" state="frozen"/>
      <selection activeCell="E1" sqref="E1" pane="topRight"/>
      <selection activeCell="A8" sqref="A8" pane="bottomLeft"/>
      <selection activeCell="E8" sqref="E8" pane="bottomRight"/>
    </sheetView>
  </sheetViews>
  <sheetFormatPr customHeight="1" defaultColWidth="14.43" defaultRowHeight="15.0"/>
  <cols>
    <col customWidth="1" min="1" max="1" width="5.0"/>
    <col customWidth="1" min="2" max="2" width="10.0"/>
    <col customWidth="1" min="3" max="3" width="24.0"/>
    <col customWidth="1" min="4" max="4" width="21.0"/>
    <col customWidth="1" min="5" max="35" width="4.86"/>
    <col customWidth="1" min="36" max="44" width="7.43"/>
    <col customWidth="1" min="45" max="49" width="10.57"/>
    <col customWidth="1" min="50" max="50" width="24.0"/>
  </cols>
  <sheetData>
    <row r="1" ht="24.0" customHeight="1">
      <c r="A1" s="1" t="str">
        <f>'Cài đặt'!D5</f>
        <v>CÔNG TY TNHH XÂY DỰNG &amp; THƯƠNG MẠI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3"/>
    </row>
    <row r="2" ht="39.75" customHeight="1">
      <c r="A2" s="4"/>
      <c r="B2" s="4"/>
      <c r="C2" s="4"/>
      <c r="D2" s="4"/>
      <c r="E2" s="5" t="s">
        <v>0</v>
      </c>
      <c r="AE2" s="4"/>
      <c r="AF2" s="4"/>
      <c r="AG2" s="4"/>
      <c r="AH2" s="4"/>
      <c r="AI2" s="4"/>
    </row>
    <row r="3" ht="21.75" customHeight="1">
      <c r="A3" s="6" t="str">
        <f>"Tháng "&amp;'Cài đặt'!D7&amp;" năm "&amp;'Cài đặt'!D8&amp;"   |   Công trình: "&amp;'Cài đặt'!D6&amp;"   |   Công chuẩn: "&amp;'Cài đặt'!D11&amp;" ngày"</f>
        <v>Tháng 11 năm 2026   |   Công trình: Nhà phố 4 tầng – 45 Lê Văn Lương, Hà Nội   |   Công chuẩn: 25 ngày</v>
      </c>
    </row>
    <row r="4" ht="19.5" customHeight="1">
      <c r="A4" s="7" t="s">
        <v>1</v>
      </c>
      <c r="B4" s="7" t="s">
        <v>2</v>
      </c>
      <c r="C4" s="7" t="s">
        <v>3</v>
      </c>
      <c r="D4" s="7" t="s">
        <v>4</v>
      </c>
      <c r="E4" s="8" t="s">
        <v>5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10"/>
      <c r="AJ4" s="11" t="s">
        <v>6</v>
      </c>
      <c r="AK4" s="9"/>
      <c r="AL4" s="9"/>
      <c r="AM4" s="9"/>
      <c r="AN4" s="9"/>
      <c r="AO4" s="9"/>
      <c r="AP4" s="9"/>
      <c r="AQ4" s="9"/>
      <c r="AR4" s="10"/>
      <c r="AS4" s="8" t="s">
        <v>7</v>
      </c>
      <c r="AT4" s="9"/>
      <c r="AU4" s="9"/>
      <c r="AV4" s="9"/>
      <c r="AW4" s="10"/>
      <c r="AX4" s="12" t="s">
        <v>8</v>
      </c>
    </row>
    <row r="5" ht="15.75" customHeight="1">
      <c r="A5" s="13"/>
      <c r="B5" s="13"/>
      <c r="C5" s="13"/>
      <c r="D5" s="13"/>
      <c r="E5" s="14" t="str">
        <f>IF(E$6="","",IF(COUNTIF('Cài đặt'!$J$16:$J$30,DATE('Cài đặt'!$D$8,'Cài đặt'!$D$7,E$6))&gt;0,"Lễ",""))</f>
        <v/>
      </c>
      <c r="F5" s="14" t="str">
        <f>IF(F$6="","",IF(COUNTIF('Cài đặt'!$J$16:$J$30,DATE('Cài đặt'!$D$8,'Cài đặt'!$D$7,F$6))&gt;0,"Lễ",""))</f>
        <v/>
      </c>
      <c r="G5" s="14" t="str">
        <f>IF(G$6="","",IF(COUNTIF('Cài đặt'!$J$16:$J$30,DATE('Cài đặt'!$D$8,'Cài đặt'!$D$7,G$6))&gt;0,"Lễ",""))</f>
        <v/>
      </c>
      <c r="H5" s="14" t="str">
        <f>IF(H$6="","",IF(COUNTIF('Cài đặt'!$J$16:$J$30,DATE('Cài đặt'!$D$8,'Cài đặt'!$D$7,H$6))&gt;0,"Lễ",""))</f>
        <v/>
      </c>
      <c r="I5" s="14" t="str">
        <f>IF(I$6="","",IF(COUNTIF('Cài đặt'!$J$16:$J$30,DATE('Cài đặt'!$D$8,'Cài đặt'!$D$7,I$6))&gt;0,"Lễ",""))</f>
        <v/>
      </c>
      <c r="J5" s="14" t="str">
        <f>IF(J$6="","",IF(COUNTIF('Cài đặt'!$J$16:$J$30,DATE('Cài đặt'!$D$8,'Cài đặt'!$D$7,J$6))&gt;0,"Lễ",""))</f>
        <v/>
      </c>
      <c r="K5" s="14" t="str">
        <f>IF(K$6="","",IF(COUNTIF('Cài đặt'!$J$16:$J$30,DATE('Cài đặt'!$D$8,'Cài đặt'!$D$7,K$6))&gt;0,"Lễ",""))</f>
        <v/>
      </c>
      <c r="L5" s="14" t="str">
        <f>IF(L$6="","",IF(COUNTIF('Cài đặt'!$J$16:$J$30,DATE('Cài đặt'!$D$8,'Cài đặt'!$D$7,L$6))&gt;0,"Lễ",""))</f>
        <v/>
      </c>
      <c r="M5" s="14" t="str">
        <f>IF(M$6="","",IF(COUNTIF('Cài đặt'!$J$16:$J$30,DATE('Cài đặt'!$D$8,'Cài đặt'!$D$7,M$6))&gt;0,"Lễ",""))</f>
        <v/>
      </c>
      <c r="N5" s="14" t="str">
        <f>IF(N$6="","",IF(COUNTIF('Cài đặt'!$J$16:$J$30,DATE('Cài đặt'!$D$8,'Cài đặt'!$D$7,N$6))&gt;0,"Lễ",""))</f>
        <v/>
      </c>
      <c r="O5" s="14" t="str">
        <f>IF(O$6="","",IF(COUNTIF('Cài đặt'!$J$16:$J$30,DATE('Cài đặt'!$D$8,'Cài đặt'!$D$7,O$6))&gt;0,"Lễ",""))</f>
        <v/>
      </c>
      <c r="P5" s="14" t="str">
        <f>IF(P$6="","",IF(COUNTIF('Cài đặt'!$J$16:$J$30,DATE('Cài đặt'!$D$8,'Cài đặt'!$D$7,P$6))&gt;0,"Lễ",""))</f>
        <v/>
      </c>
      <c r="Q5" s="14" t="str">
        <f>IF(Q$6="","",IF(COUNTIF('Cài đặt'!$J$16:$J$30,DATE('Cài đặt'!$D$8,'Cài đặt'!$D$7,Q$6))&gt;0,"Lễ",""))</f>
        <v/>
      </c>
      <c r="R5" s="14" t="str">
        <f>IF(R$6="","",IF(COUNTIF('Cài đặt'!$J$16:$J$30,DATE('Cài đặt'!$D$8,'Cài đặt'!$D$7,R$6))&gt;0,"Lễ",""))</f>
        <v/>
      </c>
      <c r="S5" s="14" t="str">
        <f>IF(S$6="","",IF(COUNTIF('Cài đặt'!$J$16:$J$30,DATE('Cài đặt'!$D$8,'Cài đặt'!$D$7,S$6))&gt;0,"Lễ",""))</f>
        <v/>
      </c>
      <c r="T5" s="14" t="str">
        <f>IF(T$6="","",IF(COUNTIF('Cài đặt'!$J$16:$J$30,DATE('Cài đặt'!$D$8,'Cài đặt'!$D$7,T$6))&gt;0,"Lễ",""))</f>
        <v/>
      </c>
      <c r="U5" s="14" t="str">
        <f>IF(U$6="","",IF(COUNTIF('Cài đặt'!$J$16:$J$30,DATE('Cài đặt'!$D$8,'Cài đặt'!$D$7,U$6))&gt;0,"Lễ",""))</f>
        <v/>
      </c>
      <c r="V5" s="14" t="str">
        <f>IF(V$6="","",IF(COUNTIF('Cài đặt'!$J$16:$J$30,DATE('Cài đặt'!$D$8,'Cài đặt'!$D$7,V$6))&gt;0,"Lễ",""))</f>
        <v/>
      </c>
      <c r="W5" s="14" t="str">
        <f>IF(W$6="","",IF(COUNTIF('Cài đặt'!$J$16:$J$30,DATE('Cài đặt'!$D$8,'Cài đặt'!$D$7,W$6))&gt;0,"Lễ",""))</f>
        <v/>
      </c>
      <c r="X5" s="14" t="str">
        <f>IF(X$6="","",IF(COUNTIF('Cài đặt'!$J$16:$J$30,DATE('Cài đặt'!$D$8,'Cài đặt'!$D$7,X$6))&gt;0,"Lễ",""))</f>
        <v/>
      </c>
      <c r="Y5" s="14" t="str">
        <f>IF(Y$6="","",IF(COUNTIF('Cài đặt'!$J$16:$J$30,DATE('Cài đặt'!$D$8,'Cài đặt'!$D$7,Y$6))&gt;0,"Lễ",""))</f>
        <v/>
      </c>
      <c r="Z5" s="14" t="str">
        <f>IF(Z$6="","",IF(COUNTIF('Cài đặt'!$J$16:$J$30,DATE('Cài đặt'!$D$8,'Cài đặt'!$D$7,Z$6))&gt;0,"Lễ",""))</f>
        <v/>
      </c>
      <c r="AA5" s="14" t="str">
        <f>IF(AA$6="","",IF(COUNTIF('Cài đặt'!$J$16:$J$30,DATE('Cài đặt'!$D$8,'Cài đặt'!$D$7,AA$6))&gt;0,"Lễ",""))</f>
        <v/>
      </c>
      <c r="AB5" s="14" t="str">
        <f>IF(AB$6="","",IF(COUNTIF('Cài đặt'!$J$16:$J$30,DATE('Cài đặt'!$D$8,'Cài đặt'!$D$7,AB$6))&gt;0,"Lễ",""))</f>
        <v/>
      </c>
      <c r="AC5" s="14" t="str">
        <f>IF(AC$6="","",IF(COUNTIF('Cài đặt'!$J$16:$J$30,DATE('Cài đặt'!$D$8,'Cài đặt'!$D$7,AC$6))&gt;0,"Lễ",""))</f>
        <v/>
      </c>
      <c r="AD5" s="14" t="str">
        <f>IF(AD$6="","",IF(COUNTIF('Cài đặt'!$J$16:$J$30,DATE('Cài đặt'!$D$8,'Cài đặt'!$D$7,AD$6))&gt;0,"Lễ",""))</f>
        <v/>
      </c>
      <c r="AE5" s="14" t="str">
        <f>IF(AE$6="","",IF(COUNTIF('Cài đặt'!$J$16:$J$30,DATE('Cài đặt'!$D$8,'Cài đặt'!$D$7,AE$6))&gt;0,"Lễ",""))</f>
        <v/>
      </c>
      <c r="AF5" s="14" t="str">
        <f>IF(AF$6="","",IF(COUNTIF('Cài đặt'!$J$16:$J$30,DATE('Cài đặt'!$D$8,'Cài đặt'!$D$7,AF$6))&gt;0,"Lễ",""))</f>
        <v/>
      </c>
      <c r="AG5" s="14" t="str">
        <f>IF(AG$6="","",IF(COUNTIF('Cài đặt'!$J$16:$J$30,DATE('Cài đặt'!$D$8,'Cài đặt'!$D$7,AG$6))&gt;0,"Lễ",""))</f>
        <v/>
      </c>
      <c r="AH5" s="14" t="str">
        <f>IF(AH$6="","",IF(COUNTIF('Cài đặt'!$J$16:$J$30,DATE('Cài đặt'!$D$8,'Cài đặt'!$D$7,AH$6))&gt;0,"Lễ",""))</f>
        <v/>
      </c>
      <c r="AI5" s="14" t="str">
        <f>IF(AI$6="","",IF(COUNTIF('Cài đặt'!$J$16:$J$30,DATE('Cài đặt'!$D$8,'Cài đặt'!$D$7,AI$6))&gt;0,"Lễ",""))</f>
        <v/>
      </c>
      <c r="AJ5" s="15" t="str">
        <f>'Cài đặt'!C16</f>
        <v>Cả ngày</v>
      </c>
      <c r="AK5" s="15" t="str">
        <f>'Cài đặt'!C17</f>
        <v>Nửa ngày sáng</v>
      </c>
      <c r="AL5" s="15" t="str">
        <f>'Cài đặt'!C18</f>
        <v>Nửa ngày chiều</v>
      </c>
      <c r="AM5" s="15" t="str">
        <f>'Cài đặt'!C19</f>
        <v>Cả ngày + tăng ca</v>
      </c>
      <c r="AN5" s="15" t="str">
        <f>'Cài đặt'!C20</f>
        <v>Nghỉ mưa / bão</v>
      </c>
      <c r="AO5" s="15" t="str">
        <f>'Cài đặt'!C21</f>
        <v>Nghỉ phép năm</v>
      </c>
      <c r="AP5" s="15" t="str">
        <f>'Cài đặt'!C22</f>
        <v>Nghỉ lễ</v>
      </c>
      <c r="AQ5" s="15" t="str">
        <f>'Cài đặt'!C23</f>
        <v>Nghỉ ốm</v>
      </c>
      <c r="AR5" s="15" t="str">
        <f>'Cài đặt'!C24</f>
        <v>Nghỉ không lương</v>
      </c>
      <c r="AS5" s="15" t="s">
        <v>9</v>
      </c>
      <c r="AT5" s="15" t="s">
        <v>10</v>
      </c>
      <c r="AU5" s="15" t="s">
        <v>11</v>
      </c>
      <c r="AV5" s="15" t="s">
        <v>12</v>
      </c>
      <c r="AW5" s="15" t="s">
        <v>13</v>
      </c>
      <c r="AX5" s="13"/>
    </row>
    <row r="6" ht="19.5" customHeight="1">
      <c r="A6" s="13"/>
      <c r="B6" s="13"/>
      <c r="C6" s="13"/>
      <c r="D6" s="13"/>
      <c r="E6" s="16">
        <f>IF(COLUMN()-4&lt;='Cài đặt'!$D$9,COLUMN()-4,"")</f>
        <v>1</v>
      </c>
      <c r="F6" s="16">
        <f>IF(COLUMN()-4&lt;='Cài đặt'!$D$9,COLUMN()-4,"")</f>
        <v>2</v>
      </c>
      <c r="G6" s="16">
        <f>IF(COLUMN()-4&lt;='Cài đặt'!$D$9,COLUMN()-4,"")</f>
        <v>3</v>
      </c>
      <c r="H6" s="16">
        <f>IF(COLUMN()-4&lt;='Cài đặt'!$D$9,COLUMN()-4,"")</f>
        <v>4</v>
      </c>
      <c r="I6" s="16">
        <f>IF(COLUMN()-4&lt;='Cài đặt'!$D$9,COLUMN()-4,"")</f>
        <v>5</v>
      </c>
      <c r="J6" s="16">
        <f>IF(COLUMN()-4&lt;='Cài đặt'!$D$9,COLUMN()-4,"")</f>
        <v>6</v>
      </c>
      <c r="K6" s="16">
        <f>IF(COLUMN()-4&lt;='Cài đặt'!$D$9,COLUMN()-4,"")</f>
        <v>7</v>
      </c>
      <c r="L6" s="16">
        <f>IF(COLUMN()-4&lt;='Cài đặt'!$D$9,COLUMN()-4,"")</f>
        <v>8</v>
      </c>
      <c r="M6" s="16">
        <f>IF(COLUMN()-4&lt;='Cài đặt'!$D$9,COLUMN()-4,"")</f>
        <v>9</v>
      </c>
      <c r="N6" s="16">
        <f>IF(COLUMN()-4&lt;='Cài đặt'!$D$9,COLUMN()-4,"")</f>
        <v>10</v>
      </c>
      <c r="O6" s="16">
        <f>IF(COLUMN()-4&lt;='Cài đặt'!$D$9,COLUMN()-4,"")</f>
        <v>11</v>
      </c>
      <c r="P6" s="16">
        <f>IF(COLUMN()-4&lt;='Cài đặt'!$D$9,COLUMN()-4,"")</f>
        <v>12</v>
      </c>
      <c r="Q6" s="16">
        <f>IF(COLUMN()-4&lt;='Cài đặt'!$D$9,COLUMN()-4,"")</f>
        <v>13</v>
      </c>
      <c r="R6" s="16">
        <f>IF(COLUMN()-4&lt;='Cài đặt'!$D$9,COLUMN()-4,"")</f>
        <v>14</v>
      </c>
      <c r="S6" s="16">
        <f>IF(COLUMN()-4&lt;='Cài đặt'!$D$9,COLUMN()-4,"")</f>
        <v>15</v>
      </c>
      <c r="T6" s="16">
        <f>IF(COLUMN()-4&lt;='Cài đặt'!$D$9,COLUMN()-4,"")</f>
        <v>16</v>
      </c>
      <c r="U6" s="16">
        <f>IF(COLUMN()-4&lt;='Cài đặt'!$D$9,COLUMN()-4,"")</f>
        <v>17</v>
      </c>
      <c r="V6" s="16">
        <f>IF(COLUMN()-4&lt;='Cài đặt'!$D$9,COLUMN()-4,"")</f>
        <v>18</v>
      </c>
      <c r="W6" s="16">
        <f>IF(COLUMN()-4&lt;='Cài đặt'!$D$9,COLUMN()-4,"")</f>
        <v>19</v>
      </c>
      <c r="X6" s="16">
        <f>IF(COLUMN()-4&lt;='Cài đặt'!$D$9,COLUMN()-4,"")</f>
        <v>20</v>
      </c>
      <c r="Y6" s="16">
        <f>IF(COLUMN()-4&lt;='Cài đặt'!$D$9,COLUMN()-4,"")</f>
        <v>21</v>
      </c>
      <c r="Z6" s="16">
        <f>IF(COLUMN()-4&lt;='Cài đặt'!$D$9,COLUMN()-4,"")</f>
        <v>22</v>
      </c>
      <c r="AA6" s="16">
        <f>IF(COLUMN()-4&lt;='Cài đặt'!$D$9,COLUMN()-4,"")</f>
        <v>23</v>
      </c>
      <c r="AB6" s="16">
        <f>IF(COLUMN()-4&lt;='Cài đặt'!$D$9,COLUMN()-4,"")</f>
        <v>24</v>
      </c>
      <c r="AC6" s="16">
        <f>IF(COLUMN()-4&lt;='Cài đặt'!$D$9,COLUMN()-4,"")</f>
        <v>25</v>
      </c>
      <c r="AD6" s="16">
        <f>IF(COLUMN()-4&lt;='Cài đặt'!$D$9,COLUMN()-4,"")</f>
        <v>26</v>
      </c>
      <c r="AE6" s="16">
        <f>IF(COLUMN()-4&lt;='Cài đặt'!$D$9,COLUMN()-4,"")</f>
        <v>27</v>
      </c>
      <c r="AF6" s="16">
        <f>IF(COLUMN()-4&lt;='Cài đặt'!$D$9,COLUMN()-4,"")</f>
        <v>28</v>
      </c>
      <c r="AG6" s="16">
        <f>IF(COLUMN()-4&lt;='Cài đặt'!$D$9,COLUMN()-4,"")</f>
        <v>29</v>
      </c>
      <c r="AH6" s="16">
        <f>IF(COLUMN()-4&lt;='Cài đặt'!$D$9,COLUMN()-4,"")</f>
        <v>30</v>
      </c>
      <c r="AI6" s="16" t="str">
        <f>IF(COLUMN()-4&lt;='Cài đặt'!$D$9,COLUMN()-4,"")</f>
        <v/>
      </c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</row>
    <row r="7" ht="19.5" customHeight="1">
      <c r="A7" s="17"/>
      <c r="B7" s="17"/>
      <c r="C7" s="17"/>
      <c r="D7" s="17"/>
      <c r="E7" s="18" t="str">
        <f>IF(E$6="","",CHOOSE(WEEKDAY(DATE('Cài đặt'!$D$8,'Cài đặt'!$D$7,E$6),2),"T2","T3","T4","T5","T6","T7","CN"))</f>
        <v>CN</v>
      </c>
      <c r="F7" s="18" t="str">
        <f>IF(F$6="","",CHOOSE(WEEKDAY(DATE('Cài đặt'!$D$8,'Cài đặt'!$D$7,F$6),2),"T2","T3","T4","T5","T6","T7","CN"))</f>
        <v>T2</v>
      </c>
      <c r="G7" s="18" t="str">
        <f>IF(G$6="","",CHOOSE(WEEKDAY(DATE('Cài đặt'!$D$8,'Cài đặt'!$D$7,G$6),2),"T2","T3","T4","T5","T6","T7","CN"))</f>
        <v>T3</v>
      </c>
      <c r="H7" s="18" t="str">
        <f>IF(H$6="","",CHOOSE(WEEKDAY(DATE('Cài đặt'!$D$8,'Cài đặt'!$D$7,H$6),2),"T2","T3","T4","T5","T6","T7","CN"))</f>
        <v>T4</v>
      </c>
      <c r="I7" s="18" t="str">
        <f>IF(I$6="","",CHOOSE(WEEKDAY(DATE('Cài đặt'!$D$8,'Cài đặt'!$D$7,I$6),2),"T2","T3","T4","T5","T6","T7","CN"))</f>
        <v>T5</v>
      </c>
      <c r="J7" s="18" t="str">
        <f>IF(J$6="","",CHOOSE(WEEKDAY(DATE('Cài đặt'!$D$8,'Cài đặt'!$D$7,J$6),2),"T2","T3","T4","T5","T6","T7","CN"))</f>
        <v>T6</v>
      </c>
      <c r="K7" s="18" t="str">
        <f>IF(K$6="","",CHOOSE(WEEKDAY(DATE('Cài đặt'!$D$8,'Cài đặt'!$D$7,K$6),2),"T2","T3","T4","T5","T6","T7","CN"))</f>
        <v>T7</v>
      </c>
      <c r="L7" s="18" t="str">
        <f>IF(L$6="","",CHOOSE(WEEKDAY(DATE('Cài đặt'!$D$8,'Cài đặt'!$D$7,L$6),2),"T2","T3","T4","T5","T6","T7","CN"))</f>
        <v>CN</v>
      </c>
      <c r="M7" s="18" t="str">
        <f>IF(M$6="","",CHOOSE(WEEKDAY(DATE('Cài đặt'!$D$8,'Cài đặt'!$D$7,M$6),2),"T2","T3","T4","T5","T6","T7","CN"))</f>
        <v>T2</v>
      </c>
      <c r="N7" s="18" t="str">
        <f>IF(N$6="","",CHOOSE(WEEKDAY(DATE('Cài đặt'!$D$8,'Cài đặt'!$D$7,N$6),2),"T2","T3","T4","T5","T6","T7","CN"))</f>
        <v>T3</v>
      </c>
      <c r="O7" s="18" t="str">
        <f>IF(O$6="","",CHOOSE(WEEKDAY(DATE('Cài đặt'!$D$8,'Cài đặt'!$D$7,O$6),2),"T2","T3","T4","T5","T6","T7","CN"))</f>
        <v>T4</v>
      </c>
      <c r="P7" s="18" t="str">
        <f>IF(P$6="","",CHOOSE(WEEKDAY(DATE('Cài đặt'!$D$8,'Cài đặt'!$D$7,P$6),2),"T2","T3","T4","T5","T6","T7","CN"))</f>
        <v>T5</v>
      </c>
      <c r="Q7" s="18" t="str">
        <f>IF(Q$6="","",CHOOSE(WEEKDAY(DATE('Cài đặt'!$D$8,'Cài đặt'!$D$7,Q$6),2),"T2","T3","T4","T5","T6","T7","CN"))</f>
        <v>T6</v>
      </c>
      <c r="R7" s="18" t="str">
        <f>IF(R$6="","",CHOOSE(WEEKDAY(DATE('Cài đặt'!$D$8,'Cài đặt'!$D$7,R$6),2),"T2","T3","T4","T5","T6","T7","CN"))</f>
        <v>T7</v>
      </c>
      <c r="S7" s="18" t="str">
        <f>IF(S$6="","",CHOOSE(WEEKDAY(DATE('Cài đặt'!$D$8,'Cài đặt'!$D$7,S$6),2),"T2","T3","T4","T5","T6","T7","CN"))</f>
        <v>CN</v>
      </c>
      <c r="T7" s="18" t="str">
        <f>IF(T$6="","",CHOOSE(WEEKDAY(DATE('Cài đặt'!$D$8,'Cài đặt'!$D$7,T$6),2),"T2","T3","T4","T5","T6","T7","CN"))</f>
        <v>T2</v>
      </c>
      <c r="U7" s="18" t="str">
        <f>IF(U$6="","",CHOOSE(WEEKDAY(DATE('Cài đặt'!$D$8,'Cài đặt'!$D$7,U$6),2),"T2","T3","T4","T5","T6","T7","CN"))</f>
        <v>T3</v>
      </c>
      <c r="V7" s="18" t="str">
        <f>IF(V$6="","",CHOOSE(WEEKDAY(DATE('Cài đặt'!$D$8,'Cài đặt'!$D$7,V$6),2),"T2","T3","T4","T5","T6","T7","CN"))</f>
        <v>T4</v>
      </c>
      <c r="W7" s="18" t="str">
        <f>IF(W$6="","",CHOOSE(WEEKDAY(DATE('Cài đặt'!$D$8,'Cài đặt'!$D$7,W$6),2),"T2","T3","T4","T5","T6","T7","CN"))</f>
        <v>T5</v>
      </c>
      <c r="X7" s="18" t="str">
        <f>IF(X$6="","",CHOOSE(WEEKDAY(DATE('Cài đặt'!$D$8,'Cài đặt'!$D$7,X$6),2),"T2","T3","T4","T5","T6","T7","CN"))</f>
        <v>T6</v>
      </c>
      <c r="Y7" s="18" t="str">
        <f>IF(Y$6="","",CHOOSE(WEEKDAY(DATE('Cài đặt'!$D$8,'Cài đặt'!$D$7,Y$6),2),"T2","T3","T4","T5","T6","T7","CN"))</f>
        <v>T7</v>
      </c>
      <c r="Z7" s="18" t="str">
        <f>IF(Z$6="","",CHOOSE(WEEKDAY(DATE('Cài đặt'!$D$8,'Cài đặt'!$D$7,Z$6),2),"T2","T3","T4","T5","T6","T7","CN"))</f>
        <v>CN</v>
      </c>
      <c r="AA7" s="18" t="str">
        <f>IF(AA$6="","",CHOOSE(WEEKDAY(DATE('Cài đặt'!$D$8,'Cài đặt'!$D$7,AA$6),2),"T2","T3","T4","T5","T6","T7","CN"))</f>
        <v>T2</v>
      </c>
      <c r="AB7" s="18" t="str">
        <f>IF(AB$6="","",CHOOSE(WEEKDAY(DATE('Cài đặt'!$D$8,'Cài đặt'!$D$7,AB$6),2),"T2","T3","T4","T5","T6","T7","CN"))</f>
        <v>T3</v>
      </c>
      <c r="AC7" s="18" t="str">
        <f>IF(AC$6="","",CHOOSE(WEEKDAY(DATE('Cài đặt'!$D$8,'Cài đặt'!$D$7,AC$6),2),"T2","T3","T4","T5","T6","T7","CN"))</f>
        <v>T4</v>
      </c>
      <c r="AD7" s="18" t="str">
        <f>IF(AD$6="","",CHOOSE(WEEKDAY(DATE('Cài đặt'!$D$8,'Cài đặt'!$D$7,AD$6),2),"T2","T3","T4","T5","T6","T7","CN"))</f>
        <v>T5</v>
      </c>
      <c r="AE7" s="18" t="str">
        <f>IF(AE$6="","",CHOOSE(WEEKDAY(DATE('Cài đặt'!$D$8,'Cài đặt'!$D$7,AE$6),2),"T2","T3","T4","T5","T6","T7","CN"))</f>
        <v>T6</v>
      </c>
      <c r="AF7" s="18" t="str">
        <f>IF(AF$6="","",CHOOSE(WEEKDAY(DATE('Cài đặt'!$D$8,'Cài đặt'!$D$7,AF$6),2),"T2","T3","T4","T5","T6","T7","CN"))</f>
        <v>T7</v>
      </c>
      <c r="AG7" s="18" t="str">
        <f>IF(AG$6="","",CHOOSE(WEEKDAY(DATE('Cài đặt'!$D$8,'Cài đặt'!$D$7,AG$6),2),"T2","T3","T4","T5","T6","T7","CN"))</f>
        <v>CN</v>
      </c>
      <c r="AH7" s="18" t="str">
        <f>IF(AH$6="","",CHOOSE(WEEKDAY(DATE('Cài đặt'!$D$8,'Cài đặt'!$D$7,AH$6),2),"T2","T3","T4","T5","T6","T7","CN"))</f>
        <v>T2</v>
      </c>
      <c r="AI7" s="18" t="str">
        <f>IF(AI$6="","",CHOOSE(WEEKDAY(DATE('Cài đặt'!$D$8,'Cài đặt'!$D$7,AI$6),2),"T2","T3","T4","T5","T6","T7","CN"))</f>
        <v/>
      </c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ht="21.0" customHeight="1">
      <c r="A8" s="19">
        <v>1.0</v>
      </c>
      <c r="B8" s="20" t="s">
        <v>14</v>
      </c>
      <c r="C8" s="21" t="s">
        <v>15</v>
      </c>
      <c r="D8" s="22" t="s">
        <v>16</v>
      </c>
      <c r="E8" s="23" t="s">
        <v>17</v>
      </c>
      <c r="F8" s="23" t="s">
        <v>18</v>
      </c>
      <c r="G8" s="23" t="s">
        <v>18</v>
      </c>
      <c r="H8" s="23" t="s">
        <v>18</v>
      </c>
      <c r="I8" s="23" t="s">
        <v>18</v>
      </c>
      <c r="J8" s="23" t="s">
        <v>18</v>
      </c>
      <c r="K8" s="23" t="s">
        <v>18</v>
      </c>
      <c r="L8" s="23" t="s">
        <v>18</v>
      </c>
      <c r="M8" s="23" t="s">
        <v>18</v>
      </c>
      <c r="N8" s="23" t="s">
        <v>18</v>
      </c>
      <c r="O8" s="23" t="s">
        <v>18</v>
      </c>
      <c r="P8" s="23" t="s">
        <v>18</v>
      </c>
      <c r="Q8" s="23" t="s">
        <v>18</v>
      </c>
      <c r="R8" s="23" t="s">
        <v>19</v>
      </c>
      <c r="S8" s="23" t="s">
        <v>17</v>
      </c>
      <c r="T8" s="23" t="s">
        <v>18</v>
      </c>
      <c r="U8" s="23" t="s">
        <v>18</v>
      </c>
      <c r="V8" s="23" t="s">
        <v>18</v>
      </c>
      <c r="W8" s="23" t="s">
        <v>18</v>
      </c>
      <c r="X8" s="23" t="s">
        <v>18</v>
      </c>
      <c r="Y8" s="23" t="s">
        <v>18</v>
      </c>
      <c r="Z8" s="23" t="s">
        <v>17</v>
      </c>
      <c r="AA8" s="23" t="s">
        <v>18</v>
      </c>
      <c r="AB8" s="23" t="s">
        <v>18</v>
      </c>
      <c r="AC8" s="23" t="s">
        <v>18</v>
      </c>
      <c r="AD8" s="23" t="s">
        <v>18</v>
      </c>
      <c r="AE8" s="23" t="s">
        <v>18</v>
      </c>
      <c r="AF8" s="23" t="s">
        <v>18</v>
      </c>
      <c r="AG8" s="23" t="s">
        <v>17</v>
      </c>
      <c r="AH8" s="23" t="s">
        <v>18</v>
      </c>
      <c r="AI8" s="23"/>
      <c r="AJ8" s="24">
        <f>IF($C8="","",COUNTIF($E8:$AI8,'Cài đặt'!$B$16))</f>
        <v>25</v>
      </c>
      <c r="AK8" s="24">
        <f>IF($C8="","",COUNTIF($E8:$AI8,'Cài đặt'!$B$17))</f>
        <v>0</v>
      </c>
      <c r="AL8" s="24">
        <f>IF($C8="","",COUNTIF($E8:$AI8,'Cài đặt'!$B$18))</f>
        <v>0</v>
      </c>
      <c r="AM8" s="24">
        <f>IF($C8="","",COUNTIF($E8:$AI8,'Cài đặt'!$B$19))</f>
        <v>0</v>
      </c>
      <c r="AN8" s="24">
        <f>IF($C8="","",COUNTIF($E8:$AI8,'Cài đặt'!$B$20))</f>
        <v>1</v>
      </c>
      <c r="AO8" s="24">
        <f>IF($C8="","",COUNTIF($E8:$AI8,'Cài đặt'!$B$21))</f>
        <v>0</v>
      </c>
      <c r="AP8" s="24">
        <f>IF($C8="","",COUNTIF($E8:$AI8,'Cài đặt'!$B$22))</f>
        <v>0</v>
      </c>
      <c r="AQ8" s="24">
        <f>IF($C8="","",COUNTIF($E8:$AI8,'Cài đặt'!$B$23))</f>
        <v>0</v>
      </c>
      <c r="AR8" s="24">
        <f>IF($C8="","",COUNTIF($E8:$AI8,'Cài đặt'!$B$24))</f>
        <v>0</v>
      </c>
      <c r="AS8" s="25">
        <f t="array" ref="AS8">IF($C8="","",SUMPRODUCT(COUNTIF($E8:$AI8,'Cài đặt'!$B$16:$B$25)*'Cài đặt'!$G$16:$G$25))</f>
        <v>200</v>
      </c>
      <c r="AT8" s="26">
        <f>IF($C8="","",SUMPRODUCT(--($E$7:$AI$7="CN"),SUMIF('Cài đặt'!$B$16:$B$25,$E8:$AI8,'Cài đặt'!$G$16:$G$25)))</f>
        <v>8</v>
      </c>
      <c r="AU8" s="26">
        <f>IF($C8="","",SUMPRODUCT(--($E$5:$AI$5="Lễ"),SUMIF('Cài đặt'!$B$16:$B$25,$E8:$AI8,'Cài đặt'!$G$16:$G$25)))</f>
        <v>0</v>
      </c>
      <c r="AV8" s="27">
        <f t="array" ref="AV8">IF($C8="","",SUMPRODUCT(COUNTIF($E8:$AI8,'Cài đặt'!$B$16:$B$25)*'Cài đặt'!$H$16:$H$25)/'Cài đặt'!$D$12)</f>
        <v>25</v>
      </c>
      <c r="AW8" s="25">
        <f>IF($C8="","",MAX(0,AS8-'Cài đặt'!$D$11*'Cài đặt'!$D$12))</f>
        <v>0</v>
      </c>
      <c r="AX8" s="22"/>
    </row>
    <row r="9" ht="21.0" customHeight="1">
      <c r="A9" s="19">
        <v>2.0</v>
      </c>
      <c r="B9" s="20" t="s">
        <v>20</v>
      </c>
      <c r="C9" s="21" t="s">
        <v>21</v>
      </c>
      <c r="D9" s="22" t="s">
        <v>22</v>
      </c>
      <c r="E9" s="23" t="s">
        <v>17</v>
      </c>
      <c r="F9" s="23" t="s">
        <v>18</v>
      </c>
      <c r="G9" s="23" t="s">
        <v>18</v>
      </c>
      <c r="H9" s="23" t="s">
        <v>23</v>
      </c>
      <c r="I9" s="23" t="s">
        <v>18</v>
      </c>
      <c r="J9" s="23" t="s">
        <v>18</v>
      </c>
      <c r="K9" s="23" t="s">
        <v>18</v>
      </c>
      <c r="L9" s="23" t="s">
        <v>17</v>
      </c>
      <c r="M9" s="23" t="s">
        <v>18</v>
      </c>
      <c r="N9" s="23" t="s">
        <v>18</v>
      </c>
      <c r="O9" s="23" t="s">
        <v>18</v>
      </c>
      <c r="P9" s="23" t="s">
        <v>23</v>
      </c>
      <c r="Q9" s="23" t="s">
        <v>18</v>
      </c>
      <c r="R9" s="23" t="s">
        <v>19</v>
      </c>
      <c r="S9" s="23" t="s">
        <v>17</v>
      </c>
      <c r="T9" s="23" t="s">
        <v>23</v>
      </c>
      <c r="U9" s="23" t="s">
        <v>18</v>
      </c>
      <c r="V9" s="23" t="s">
        <v>18</v>
      </c>
      <c r="W9" s="23" t="s">
        <v>18</v>
      </c>
      <c r="X9" s="23" t="s">
        <v>23</v>
      </c>
      <c r="Y9" s="23" t="s">
        <v>18</v>
      </c>
      <c r="Z9" s="23" t="s">
        <v>17</v>
      </c>
      <c r="AA9" s="23" t="s">
        <v>18</v>
      </c>
      <c r="AB9" s="23" t="s">
        <v>23</v>
      </c>
      <c r="AC9" s="23" t="s">
        <v>18</v>
      </c>
      <c r="AD9" s="23" t="s">
        <v>18</v>
      </c>
      <c r="AE9" s="23" t="s">
        <v>18</v>
      </c>
      <c r="AF9" s="23" t="s">
        <v>23</v>
      </c>
      <c r="AG9" s="23" t="s">
        <v>17</v>
      </c>
      <c r="AH9" s="23" t="s">
        <v>18</v>
      </c>
      <c r="AI9" s="23"/>
      <c r="AJ9" s="24">
        <f>IF($C9="","",COUNTIF($E9:$AI9,'Cài đặt'!$B$16))</f>
        <v>18</v>
      </c>
      <c r="AK9" s="24">
        <f>IF($C9="","",COUNTIF($E9:$AI9,'Cài đặt'!$B$17))</f>
        <v>0</v>
      </c>
      <c r="AL9" s="24">
        <f>IF($C9="","",COUNTIF($E9:$AI9,'Cài đặt'!$B$18))</f>
        <v>0</v>
      </c>
      <c r="AM9" s="24">
        <f>IF($C9="","",COUNTIF($E9:$AI9,'Cài đặt'!$B$19))</f>
        <v>6</v>
      </c>
      <c r="AN9" s="24">
        <f>IF($C9="","",COUNTIF($E9:$AI9,'Cài đặt'!$B$20))</f>
        <v>1</v>
      </c>
      <c r="AO9" s="24">
        <f>IF($C9="","",COUNTIF($E9:$AI9,'Cài đặt'!$B$21))</f>
        <v>0</v>
      </c>
      <c r="AP9" s="24">
        <f>IF($C9="","",COUNTIF($E9:$AI9,'Cài đặt'!$B$22))</f>
        <v>0</v>
      </c>
      <c r="AQ9" s="24">
        <f>IF($C9="","",COUNTIF($E9:$AI9,'Cài đặt'!$B$23))</f>
        <v>0</v>
      </c>
      <c r="AR9" s="24">
        <f>IF($C9="","",COUNTIF($E9:$AI9,'Cài đặt'!$B$24))</f>
        <v>0</v>
      </c>
      <c r="AS9" s="25">
        <f t="array" ref="AS9">IF($C9="","",SUMPRODUCT(COUNTIF($E9:$AI9,'Cài đặt'!$B$16:$B$25)*'Cài đặt'!$G$16:$G$25))</f>
        <v>210</v>
      </c>
      <c r="AT9" s="26">
        <f>IF($C9="","",SUMPRODUCT(--($E$7:$AI$7="CN"),SUMIF('Cài đặt'!$B$16:$B$25,$E9:$AI9,'Cài đặt'!$G$16:$G$25)))</f>
        <v>0</v>
      </c>
      <c r="AU9" s="26">
        <f>IF($C9="","",SUMPRODUCT(--($E$5:$AI$5="Lễ"),SUMIF('Cài đặt'!$B$16:$B$25,$E9:$AI9,'Cài đặt'!$G$16:$G$25)))</f>
        <v>0</v>
      </c>
      <c r="AV9" s="27">
        <f t="array" ref="AV9">IF($C9="","",SUMPRODUCT(COUNTIF($E9:$AI9,'Cài đặt'!$B$16:$B$25)*'Cài đặt'!$H$16:$H$25)/'Cài đặt'!$D$12)</f>
        <v>26.25</v>
      </c>
      <c r="AW9" s="25">
        <f>IF($C9="","",MAX(0,AS9-'Cài đặt'!$D$11*'Cài đặt'!$D$12))</f>
        <v>10</v>
      </c>
      <c r="AX9" s="22"/>
    </row>
    <row r="10" ht="21.0" customHeight="1">
      <c r="A10" s="19">
        <v>3.0</v>
      </c>
      <c r="B10" s="20" t="s">
        <v>24</v>
      </c>
      <c r="C10" s="21" t="s">
        <v>25</v>
      </c>
      <c r="D10" s="22" t="s">
        <v>22</v>
      </c>
      <c r="E10" s="23" t="s">
        <v>17</v>
      </c>
      <c r="F10" s="23" t="s">
        <v>18</v>
      </c>
      <c r="G10" s="23" t="s">
        <v>18</v>
      </c>
      <c r="H10" s="23" t="s">
        <v>23</v>
      </c>
      <c r="I10" s="23" t="s">
        <v>18</v>
      </c>
      <c r="J10" s="23" t="s">
        <v>18</v>
      </c>
      <c r="K10" s="23" t="s">
        <v>18</v>
      </c>
      <c r="L10" s="23" t="s">
        <v>17</v>
      </c>
      <c r="M10" s="23" t="s">
        <v>18</v>
      </c>
      <c r="N10" s="23" t="s">
        <v>18</v>
      </c>
      <c r="O10" s="23" t="s">
        <v>18</v>
      </c>
      <c r="P10" s="23" t="s">
        <v>23</v>
      </c>
      <c r="Q10" s="23" t="s">
        <v>18</v>
      </c>
      <c r="R10" s="23" t="s">
        <v>19</v>
      </c>
      <c r="S10" s="23" t="s">
        <v>17</v>
      </c>
      <c r="T10" s="23" t="s">
        <v>23</v>
      </c>
      <c r="U10" s="23" t="s">
        <v>18</v>
      </c>
      <c r="V10" s="23" t="s">
        <v>18</v>
      </c>
      <c r="W10" s="23" t="s">
        <v>18</v>
      </c>
      <c r="X10" s="23" t="s">
        <v>23</v>
      </c>
      <c r="Y10" s="23" t="s">
        <v>18</v>
      </c>
      <c r="Z10" s="23" t="s">
        <v>17</v>
      </c>
      <c r="AA10" s="23" t="s">
        <v>18</v>
      </c>
      <c r="AB10" s="23" t="s">
        <v>23</v>
      </c>
      <c r="AC10" s="23" t="s">
        <v>18</v>
      </c>
      <c r="AD10" s="23" t="s">
        <v>18</v>
      </c>
      <c r="AE10" s="23" t="s">
        <v>18</v>
      </c>
      <c r="AF10" s="23" t="s">
        <v>23</v>
      </c>
      <c r="AG10" s="23" t="s">
        <v>17</v>
      </c>
      <c r="AH10" s="23" t="s">
        <v>18</v>
      </c>
      <c r="AI10" s="23"/>
      <c r="AJ10" s="24">
        <f>IF($C10="","",COUNTIF($E10:$AI10,'Cài đặt'!$B$16))</f>
        <v>18</v>
      </c>
      <c r="AK10" s="24">
        <f>IF($C10="","",COUNTIF($E10:$AI10,'Cài đặt'!$B$17))</f>
        <v>0</v>
      </c>
      <c r="AL10" s="24">
        <f>IF($C10="","",COUNTIF($E10:$AI10,'Cài đặt'!$B$18))</f>
        <v>0</v>
      </c>
      <c r="AM10" s="24">
        <f>IF($C10="","",COUNTIF($E10:$AI10,'Cài đặt'!$B$19))</f>
        <v>6</v>
      </c>
      <c r="AN10" s="24">
        <f>IF($C10="","",COUNTIF($E10:$AI10,'Cài đặt'!$B$20))</f>
        <v>1</v>
      </c>
      <c r="AO10" s="24">
        <f>IF($C10="","",COUNTIF($E10:$AI10,'Cài đặt'!$B$21))</f>
        <v>0</v>
      </c>
      <c r="AP10" s="24">
        <f>IF($C10="","",COUNTIF($E10:$AI10,'Cài đặt'!$B$22))</f>
        <v>0</v>
      </c>
      <c r="AQ10" s="24">
        <f>IF($C10="","",COUNTIF($E10:$AI10,'Cài đặt'!$B$23))</f>
        <v>0</v>
      </c>
      <c r="AR10" s="24">
        <f>IF($C10="","",COUNTIF($E10:$AI10,'Cài đặt'!$B$24))</f>
        <v>0</v>
      </c>
      <c r="AS10" s="25">
        <f t="array" ref="AS10">IF($C10="","",SUMPRODUCT(COUNTIF($E10:$AI10,'Cài đặt'!$B$16:$B$25)*'Cài đặt'!$G$16:$G$25))</f>
        <v>210</v>
      </c>
      <c r="AT10" s="26">
        <f>IF($C10="","",SUMPRODUCT(--($E$7:$AI$7="CN"),SUMIF('Cài đặt'!$B$16:$B$25,$E10:$AI10,'Cài đặt'!$G$16:$G$25)))</f>
        <v>0</v>
      </c>
      <c r="AU10" s="26">
        <f>IF($C10="","",SUMPRODUCT(--($E$5:$AI$5="Lễ"),SUMIF('Cài đặt'!$B$16:$B$25,$E10:$AI10,'Cài đặt'!$G$16:$G$25)))</f>
        <v>0</v>
      </c>
      <c r="AV10" s="27">
        <f t="array" ref="AV10">IF($C10="","",SUMPRODUCT(COUNTIF($E10:$AI10,'Cài đặt'!$B$16:$B$25)*'Cài đặt'!$H$16:$H$25)/'Cài đặt'!$D$12)</f>
        <v>26.25</v>
      </c>
      <c r="AW10" s="25">
        <f>IF($C10="","",MAX(0,AS10-'Cài đặt'!$D$11*'Cài đặt'!$D$12))</f>
        <v>10</v>
      </c>
      <c r="AX10" s="22"/>
    </row>
    <row r="11" ht="21.0" customHeight="1">
      <c r="A11" s="19">
        <v>4.0</v>
      </c>
      <c r="B11" s="20" t="s">
        <v>26</v>
      </c>
      <c r="C11" s="21" t="s">
        <v>27</v>
      </c>
      <c r="D11" s="22" t="s">
        <v>22</v>
      </c>
      <c r="E11" s="23" t="s">
        <v>17</v>
      </c>
      <c r="F11" s="23" t="s">
        <v>18</v>
      </c>
      <c r="G11" s="23" t="s">
        <v>18</v>
      </c>
      <c r="H11" s="23" t="s">
        <v>23</v>
      </c>
      <c r="I11" s="23" t="s">
        <v>18</v>
      </c>
      <c r="J11" s="23" t="s">
        <v>18</v>
      </c>
      <c r="K11" s="23" t="s">
        <v>18</v>
      </c>
      <c r="L11" s="23" t="s">
        <v>17</v>
      </c>
      <c r="M11" s="23" t="s">
        <v>18</v>
      </c>
      <c r="N11" s="23" t="s">
        <v>18</v>
      </c>
      <c r="O11" s="23" t="s">
        <v>18</v>
      </c>
      <c r="P11" s="23" t="s">
        <v>23</v>
      </c>
      <c r="Q11" s="23" t="s">
        <v>18</v>
      </c>
      <c r="R11" s="23" t="s">
        <v>19</v>
      </c>
      <c r="S11" s="23" t="s">
        <v>17</v>
      </c>
      <c r="T11" s="23" t="s">
        <v>23</v>
      </c>
      <c r="U11" s="23" t="s">
        <v>18</v>
      </c>
      <c r="V11" s="23" t="s">
        <v>18</v>
      </c>
      <c r="W11" s="23" t="s">
        <v>18</v>
      </c>
      <c r="X11" s="23" t="s">
        <v>23</v>
      </c>
      <c r="Y11" s="23" t="s">
        <v>18</v>
      </c>
      <c r="Z11" s="23" t="s">
        <v>17</v>
      </c>
      <c r="AA11" s="23" t="s">
        <v>18</v>
      </c>
      <c r="AB11" s="23" t="s">
        <v>23</v>
      </c>
      <c r="AC11" s="23" t="s">
        <v>18</v>
      </c>
      <c r="AD11" s="23" t="s">
        <v>18</v>
      </c>
      <c r="AE11" s="23" t="s">
        <v>18</v>
      </c>
      <c r="AF11" s="23" t="s">
        <v>23</v>
      </c>
      <c r="AG11" s="23" t="s">
        <v>17</v>
      </c>
      <c r="AH11" s="23" t="s">
        <v>18</v>
      </c>
      <c r="AI11" s="23"/>
      <c r="AJ11" s="24">
        <f>IF($C11="","",COUNTIF($E11:$AI11,'Cài đặt'!$B$16))</f>
        <v>18</v>
      </c>
      <c r="AK11" s="24">
        <f>IF($C11="","",COUNTIF($E11:$AI11,'Cài đặt'!$B$17))</f>
        <v>0</v>
      </c>
      <c r="AL11" s="24">
        <f>IF($C11="","",COUNTIF($E11:$AI11,'Cài đặt'!$B$18))</f>
        <v>0</v>
      </c>
      <c r="AM11" s="24">
        <f>IF($C11="","",COUNTIF($E11:$AI11,'Cài đặt'!$B$19))</f>
        <v>6</v>
      </c>
      <c r="AN11" s="24">
        <f>IF($C11="","",COUNTIF($E11:$AI11,'Cài đặt'!$B$20))</f>
        <v>1</v>
      </c>
      <c r="AO11" s="24">
        <f>IF($C11="","",COUNTIF($E11:$AI11,'Cài đặt'!$B$21))</f>
        <v>0</v>
      </c>
      <c r="AP11" s="24">
        <f>IF($C11="","",COUNTIF($E11:$AI11,'Cài đặt'!$B$22))</f>
        <v>0</v>
      </c>
      <c r="AQ11" s="24">
        <f>IF($C11="","",COUNTIF($E11:$AI11,'Cài đặt'!$B$23))</f>
        <v>0</v>
      </c>
      <c r="AR11" s="24">
        <f>IF($C11="","",COUNTIF($E11:$AI11,'Cài đặt'!$B$24))</f>
        <v>0</v>
      </c>
      <c r="AS11" s="25">
        <f t="array" ref="AS11">IF($C11="","",SUMPRODUCT(COUNTIF($E11:$AI11,'Cài đặt'!$B$16:$B$25)*'Cài đặt'!$G$16:$G$25))</f>
        <v>210</v>
      </c>
      <c r="AT11" s="26">
        <f>IF($C11="","",SUMPRODUCT(--($E$7:$AI$7="CN"),SUMIF('Cài đặt'!$B$16:$B$25,$E11:$AI11,'Cài đặt'!$G$16:$G$25)))</f>
        <v>0</v>
      </c>
      <c r="AU11" s="26">
        <f>IF($C11="","",SUMPRODUCT(--($E$5:$AI$5="Lễ"),SUMIF('Cài đặt'!$B$16:$B$25,$E11:$AI11,'Cài đặt'!$G$16:$G$25)))</f>
        <v>0</v>
      </c>
      <c r="AV11" s="27">
        <f t="array" ref="AV11">IF($C11="","",SUMPRODUCT(COUNTIF($E11:$AI11,'Cài đặt'!$B$16:$B$25)*'Cài đặt'!$H$16:$H$25)/'Cài đặt'!$D$12)</f>
        <v>26.25</v>
      </c>
      <c r="AW11" s="25">
        <f>IF($C11="","",MAX(0,AS11-'Cài đặt'!$D$11*'Cài đặt'!$D$12))</f>
        <v>10</v>
      </c>
      <c r="AX11" s="22"/>
    </row>
    <row r="12" ht="21.0" customHeight="1">
      <c r="A12" s="19">
        <v>5.0</v>
      </c>
      <c r="B12" s="20" t="s">
        <v>28</v>
      </c>
      <c r="C12" s="21" t="s">
        <v>29</v>
      </c>
      <c r="D12" s="22" t="s">
        <v>30</v>
      </c>
      <c r="E12" s="23" t="s">
        <v>17</v>
      </c>
      <c r="F12" s="23" t="s">
        <v>18</v>
      </c>
      <c r="G12" s="23" t="s">
        <v>18</v>
      </c>
      <c r="H12" s="23" t="s">
        <v>18</v>
      </c>
      <c r="I12" s="23" t="s">
        <v>18</v>
      </c>
      <c r="J12" s="23" t="s">
        <v>18</v>
      </c>
      <c r="K12" s="23" t="s">
        <v>18</v>
      </c>
      <c r="L12" s="23" t="s">
        <v>17</v>
      </c>
      <c r="M12" s="23" t="s">
        <v>18</v>
      </c>
      <c r="N12" s="23" t="s">
        <v>31</v>
      </c>
      <c r="O12" s="23" t="s">
        <v>31</v>
      </c>
      <c r="P12" s="23" t="s">
        <v>18</v>
      </c>
      <c r="Q12" s="23" t="s">
        <v>18</v>
      </c>
      <c r="R12" s="23" t="s">
        <v>19</v>
      </c>
      <c r="S12" s="23" t="s">
        <v>17</v>
      </c>
      <c r="T12" s="23" t="s">
        <v>18</v>
      </c>
      <c r="U12" s="23" t="s">
        <v>18</v>
      </c>
      <c r="V12" s="23" t="s">
        <v>18</v>
      </c>
      <c r="W12" s="23" t="s">
        <v>18</v>
      </c>
      <c r="X12" s="23" t="s">
        <v>18</v>
      </c>
      <c r="Y12" s="23" t="s">
        <v>18</v>
      </c>
      <c r="Z12" s="23" t="s">
        <v>17</v>
      </c>
      <c r="AA12" s="23" t="s">
        <v>18</v>
      </c>
      <c r="AB12" s="23" t="s">
        <v>18</v>
      </c>
      <c r="AC12" s="23" t="s">
        <v>18</v>
      </c>
      <c r="AD12" s="23" t="s">
        <v>18</v>
      </c>
      <c r="AE12" s="23" t="s">
        <v>18</v>
      </c>
      <c r="AF12" s="23" t="s">
        <v>18</v>
      </c>
      <c r="AG12" s="23" t="s">
        <v>17</v>
      </c>
      <c r="AH12" s="23" t="s">
        <v>18</v>
      </c>
      <c r="AI12" s="23"/>
      <c r="AJ12" s="24">
        <f>IF($C12="","",COUNTIF($E12:$AI12,'Cài đặt'!$B$16))</f>
        <v>22</v>
      </c>
      <c r="AK12" s="24">
        <f>IF($C12="","",COUNTIF($E12:$AI12,'Cài đặt'!$B$17))</f>
        <v>0</v>
      </c>
      <c r="AL12" s="24">
        <f>IF($C12="","",COUNTIF($E12:$AI12,'Cài đặt'!$B$18))</f>
        <v>0</v>
      </c>
      <c r="AM12" s="24">
        <f>IF($C12="","",COUNTIF($E12:$AI12,'Cài đặt'!$B$19))</f>
        <v>0</v>
      </c>
      <c r="AN12" s="24">
        <f>IF($C12="","",COUNTIF($E12:$AI12,'Cài đặt'!$B$20))</f>
        <v>1</v>
      </c>
      <c r="AO12" s="24">
        <f>IF($C12="","",COUNTIF($E12:$AI12,'Cài đặt'!$B$21))</f>
        <v>2</v>
      </c>
      <c r="AP12" s="24">
        <f>IF($C12="","",COUNTIF($E12:$AI12,'Cài đặt'!$B$22))</f>
        <v>0</v>
      </c>
      <c r="AQ12" s="24">
        <f>IF($C12="","",COUNTIF($E12:$AI12,'Cài đặt'!$B$23))</f>
        <v>0</v>
      </c>
      <c r="AR12" s="24">
        <f>IF($C12="","",COUNTIF($E12:$AI12,'Cài đặt'!$B$24))</f>
        <v>0</v>
      </c>
      <c r="AS12" s="25">
        <f t="array" ref="AS12">IF($C12="","",SUMPRODUCT(COUNTIF($E12:$AI12,'Cài đặt'!$B$16:$B$25)*'Cài đặt'!$G$16:$G$25))</f>
        <v>176</v>
      </c>
      <c r="AT12" s="26">
        <f>IF($C12="","",SUMPRODUCT(--($E$7:$AI$7="CN"),SUMIF('Cài đặt'!$B$16:$B$25,$E12:$AI12,'Cài đặt'!$G$16:$G$25)))</f>
        <v>0</v>
      </c>
      <c r="AU12" s="26">
        <f>IF($C12="","",SUMPRODUCT(--($E$5:$AI$5="Lễ"),SUMIF('Cài đặt'!$B$16:$B$25,$E12:$AI12,'Cài đặt'!$G$16:$G$25)))</f>
        <v>0</v>
      </c>
      <c r="AV12" s="27">
        <f t="array" ref="AV12">IF($C12="","",SUMPRODUCT(COUNTIF($E12:$AI12,'Cài đặt'!$B$16:$B$25)*'Cài đặt'!$H$16:$H$25)/'Cài đặt'!$D$12)</f>
        <v>24</v>
      </c>
      <c r="AW12" s="25">
        <f>IF($C12="","",MAX(0,AS12-'Cài đặt'!$D$11*'Cài đặt'!$D$12))</f>
        <v>0</v>
      </c>
      <c r="AX12" s="22"/>
    </row>
    <row r="13" ht="21.0" customHeight="1">
      <c r="A13" s="19">
        <v>6.0</v>
      </c>
      <c r="B13" s="20" t="s">
        <v>32</v>
      </c>
      <c r="C13" s="21" t="s">
        <v>33</v>
      </c>
      <c r="D13" s="22" t="s">
        <v>30</v>
      </c>
      <c r="E13" s="23" t="s">
        <v>17</v>
      </c>
      <c r="F13" s="23" t="s">
        <v>18</v>
      </c>
      <c r="G13" s="23" t="s">
        <v>18</v>
      </c>
      <c r="H13" s="23" t="s">
        <v>18</v>
      </c>
      <c r="I13" s="23" t="s">
        <v>18</v>
      </c>
      <c r="J13" s="23" t="s">
        <v>18</v>
      </c>
      <c r="K13" s="23" t="s">
        <v>18</v>
      </c>
      <c r="L13" s="23" t="s">
        <v>17</v>
      </c>
      <c r="M13" s="23" t="s">
        <v>18</v>
      </c>
      <c r="N13" s="23" t="s">
        <v>18</v>
      </c>
      <c r="O13" s="23" t="s">
        <v>18</v>
      </c>
      <c r="P13" s="23" t="s">
        <v>18</v>
      </c>
      <c r="Q13" s="23" t="s">
        <v>18</v>
      </c>
      <c r="R13" s="23" t="s">
        <v>19</v>
      </c>
      <c r="S13" s="23" t="s">
        <v>17</v>
      </c>
      <c r="T13" s="23" t="s">
        <v>18</v>
      </c>
      <c r="U13" s="23" t="s">
        <v>18</v>
      </c>
      <c r="V13" s="23" t="s">
        <v>18</v>
      </c>
      <c r="W13" s="23" t="s">
        <v>18</v>
      </c>
      <c r="X13" s="23" t="s">
        <v>18</v>
      </c>
      <c r="Y13" s="23" t="s">
        <v>18</v>
      </c>
      <c r="Z13" s="23" t="s">
        <v>17</v>
      </c>
      <c r="AA13" s="23" t="s">
        <v>18</v>
      </c>
      <c r="AB13" s="23" t="s">
        <v>18</v>
      </c>
      <c r="AC13" s="23" t="s">
        <v>34</v>
      </c>
      <c r="AD13" s="23" t="s">
        <v>18</v>
      </c>
      <c r="AE13" s="23" t="s">
        <v>18</v>
      </c>
      <c r="AF13" s="23" t="s">
        <v>18</v>
      </c>
      <c r="AG13" s="23" t="s">
        <v>17</v>
      </c>
      <c r="AH13" s="23" t="s">
        <v>18</v>
      </c>
      <c r="AI13" s="23"/>
      <c r="AJ13" s="24">
        <f>IF($C13="","",COUNTIF($E13:$AI13,'Cài đặt'!$B$16))</f>
        <v>23</v>
      </c>
      <c r="AK13" s="24">
        <f>IF($C13="","",COUNTIF($E13:$AI13,'Cài đặt'!$B$17))</f>
        <v>0</v>
      </c>
      <c r="AL13" s="24">
        <f>IF($C13="","",COUNTIF($E13:$AI13,'Cài đặt'!$B$18))</f>
        <v>0</v>
      </c>
      <c r="AM13" s="24">
        <f>IF($C13="","",COUNTIF($E13:$AI13,'Cài đặt'!$B$19))</f>
        <v>0</v>
      </c>
      <c r="AN13" s="24">
        <f>IF($C13="","",COUNTIF($E13:$AI13,'Cài đặt'!$B$20))</f>
        <v>1</v>
      </c>
      <c r="AO13" s="24">
        <f>IF($C13="","",COUNTIF($E13:$AI13,'Cài đặt'!$B$21))</f>
        <v>0</v>
      </c>
      <c r="AP13" s="24">
        <f>IF($C13="","",COUNTIF($E13:$AI13,'Cài đặt'!$B$22))</f>
        <v>0</v>
      </c>
      <c r="AQ13" s="24">
        <f>IF($C13="","",COUNTIF($E13:$AI13,'Cài đặt'!$B$23))</f>
        <v>0</v>
      </c>
      <c r="AR13" s="24">
        <f>IF($C13="","",COUNTIF($E13:$AI13,'Cài đặt'!$B$24))</f>
        <v>1</v>
      </c>
      <c r="AS13" s="25">
        <f t="array" ref="AS13">IF($C13="","",SUMPRODUCT(COUNTIF($E13:$AI13,'Cài đặt'!$B$16:$B$25)*'Cài đặt'!$G$16:$G$25))</f>
        <v>184</v>
      </c>
      <c r="AT13" s="26">
        <f>IF($C13="","",SUMPRODUCT(--($E$7:$AI$7="CN"),SUMIF('Cài đặt'!$B$16:$B$25,$E13:$AI13,'Cài đặt'!$G$16:$G$25)))</f>
        <v>0</v>
      </c>
      <c r="AU13" s="26">
        <f>IF($C13="","",SUMPRODUCT(--($E$5:$AI$5="Lễ"),SUMIF('Cài đặt'!$B$16:$B$25,$E13:$AI13,'Cài đặt'!$G$16:$G$25)))</f>
        <v>0</v>
      </c>
      <c r="AV13" s="27">
        <f t="array" ref="AV13">IF($C13="","",SUMPRODUCT(COUNTIF($E13:$AI13,'Cài đặt'!$B$16:$B$25)*'Cài đặt'!$H$16:$H$25)/'Cài đặt'!$D$12)</f>
        <v>23</v>
      </c>
      <c r="AW13" s="25">
        <f>IF($C13="","",MAX(0,AS13-'Cài đặt'!$D$11*'Cài đặt'!$D$12))</f>
        <v>0</v>
      </c>
      <c r="AX13" s="22"/>
    </row>
    <row r="14" ht="21.0" customHeight="1">
      <c r="A14" s="19">
        <v>7.0</v>
      </c>
      <c r="B14" s="20" t="s">
        <v>35</v>
      </c>
      <c r="C14" s="21" t="s">
        <v>36</v>
      </c>
      <c r="D14" s="22" t="s">
        <v>37</v>
      </c>
      <c r="E14" s="23" t="s">
        <v>17</v>
      </c>
      <c r="F14" s="23" t="s">
        <v>18</v>
      </c>
      <c r="G14" s="23" t="s">
        <v>18</v>
      </c>
      <c r="H14" s="23" t="s">
        <v>18</v>
      </c>
      <c r="I14" s="23" t="s">
        <v>18</v>
      </c>
      <c r="J14" s="23" t="s">
        <v>18</v>
      </c>
      <c r="K14" s="23" t="s">
        <v>18</v>
      </c>
      <c r="L14" s="23" t="s">
        <v>17</v>
      </c>
      <c r="M14" s="23" t="s">
        <v>18</v>
      </c>
      <c r="N14" s="23" t="s">
        <v>18</v>
      </c>
      <c r="O14" s="23" t="s">
        <v>18</v>
      </c>
      <c r="P14" s="23" t="s">
        <v>18</v>
      </c>
      <c r="Q14" s="23" t="s">
        <v>18</v>
      </c>
      <c r="R14" s="23" t="s">
        <v>19</v>
      </c>
      <c r="S14" s="23" t="s">
        <v>17</v>
      </c>
      <c r="T14" s="23" t="s">
        <v>18</v>
      </c>
      <c r="U14" s="23" t="s">
        <v>18</v>
      </c>
      <c r="V14" s="23" t="s">
        <v>18</v>
      </c>
      <c r="W14" s="23" t="s">
        <v>18</v>
      </c>
      <c r="X14" s="23" t="s">
        <v>18</v>
      </c>
      <c r="Y14" s="23" t="s">
        <v>18</v>
      </c>
      <c r="Z14" s="23" t="s">
        <v>17</v>
      </c>
      <c r="AA14" s="23" t="s">
        <v>18</v>
      </c>
      <c r="AB14" s="23" t="s">
        <v>18</v>
      </c>
      <c r="AC14" s="23" t="s">
        <v>18</v>
      </c>
      <c r="AD14" s="23" t="s">
        <v>18</v>
      </c>
      <c r="AE14" s="23" t="s">
        <v>18</v>
      </c>
      <c r="AF14" s="23" t="s">
        <v>18</v>
      </c>
      <c r="AG14" s="23" t="s">
        <v>17</v>
      </c>
      <c r="AH14" s="23" t="s">
        <v>18</v>
      </c>
      <c r="AI14" s="23"/>
      <c r="AJ14" s="24">
        <f>IF($C14="","",COUNTIF($E14:$AI14,'Cài đặt'!$B$16))</f>
        <v>24</v>
      </c>
      <c r="AK14" s="24">
        <f>IF($C14="","",COUNTIF($E14:$AI14,'Cài đặt'!$B$17))</f>
        <v>0</v>
      </c>
      <c r="AL14" s="24">
        <f>IF($C14="","",COUNTIF($E14:$AI14,'Cài đặt'!$B$18))</f>
        <v>0</v>
      </c>
      <c r="AM14" s="24">
        <f>IF($C14="","",COUNTIF($E14:$AI14,'Cài đặt'!$B$19))</f>
        <v>0</v>
      </c>
      <c r="AN14" s="24">
        <f>IF($C14="","",COUNTIF($E14:$AI14,'Cài đặt'!$B$20))</f>
        <v>1</v>
      </c>
      <c r="AO14" s="24">
        <f>IF($C14="","",COUNTIF($E14:$AI14,'Cài đặt'!$B$21))</f>
        <v>0</v>
      </c>
      <c r="AP14" s="24">
        <f>IF($C14="","",COUNTIF($E14:$AI14,'Cài đặt'!$B$22))</f>
        <v>0</v>
      </c>
      <c r="AQ14" s="24">
        <f>IF($C14="","",COUNTIF($E14:$AI14,'Cài đặt'!$B$23))</f>
        <v>0</v>
      </c>
      <c r="AR14" s="24">
        <f>IF($C14="","",COUNTIF($E14:$AI14,'Cài đặt'!$B$24))</f>
        <v>0</v>
      </c>
      <c r="AS14" s="25">
        <f t="array" ref="AS14">IF($C14="","",SUMPRODUCT(COUNTIF($E14:$AI14,'Cài đặt'!$B$16:$B$25)*'Cài đặt'!$G$16:$G$25))</f>
        <v>192</v>
      </c>
      <c r="AT14" s="26">
        <f>IF($C14="","",SUMPRODUCT(--($E$7:$AI$7="CN"),SUMIF('Cài đặt'!$B$16:$B$25,$E14:$AI14,'Cài đặt'!$G$16:$G$25)))</f>
        <v>0</v>
      </c>
      <c r="AU14" s="26">
        <f>IF($C14="","",SUMPRODUCT(--($E$5:$AI$5="Lễ"),SUMIF('Cài đặt'!$B$16:$B$25,$E14:$AI14,'Cài đặt'!$G$16:$G$25)))</f>
        <v>0</v>
      </c>
      <c r="AV14" s="27">
        <f t="array" ref="AV14">IF($C14="","",SUMPRODUCT(COUNTIF($E14:$AI14,'Cài đặt'!$B$16:$B$25)*'Cài đặt'!$H$16:$H$25)/'Cài đặt'!$D$12)</f>
        <v>24</v>
      </c>
      <c r="AW14" s="25">
        <f>IF($C14="","",MAX(0,AS14-'Cài đặt'!$D$11*'Cài đặt'!$D$12))</f>
        <v>0</v>
      </c>
      <c r="AX14" s="22"/>
    </row>
    <row r="15" ht="21.0" customHeight="1">
      <c r="A15" s="19">
        <v>8.0</v>
      </c>
      <c r="B15" s="20" t="s">
        <v>38</v>
      </c>
      <c r="C15" s="21" t="s">
        <v>39</v>
      </c>
      <c r="D15" s="22" t="s">
        <v>37</v>
      </c>
      <c r="E15" s="23" t="s">
        <v>17</v>
      </c>
      <c r="F15" s="23" t="s">
        <v>18</v>
      </c>
      <c r="G15" s="23" t="s">
        <v>18</v>
      </c>
      <c r="H15" s="23" t="s">
        <v>18</v>
      </c>
      <c r="I15" s="23" t="s">
        <v>18</v>
      </c>
      <c r="J15" s="23" t="s">
        <v>18</v>
      </c>
      <c r="K15" s="23" t="s">
        <v>18</v>
      </c>
      <c r="L15" s="23" t="s">
        <v>17</v>
      </c>
      <c r="M15" s="23" t="s">
        <v>18</v>
      </c>
      <c r="N15" s="23" t="s">
        <v>18</v>
      </c>
      <c r="O15" s="23" t="s">
        <v>18</v>
      </c>
      <c r="P15" s="23" t="s">
        <v>18</v>
      </c>
      <c r="Q15" s="23" t="s">
        <v>18</v>
      </c>
      <c r="R15" s="23" t="s">
        <v>19</v>
      </c>
      <c r="S15" s="23" t="s">
        <v>17</v>
      </c>
      <c r="T15" s="23" t="s">
        <v>18</v>
      </c>
      <c r="U15" s="23" t="s">
        <v>18</v>
      </c>
      <c r="V15" s="23" t="s">
        <v>40</v>
      </c>
      <c r="W15" s="23" t="s">
        <v>18</v>
      </c>
      <c r="X15" s="23" t="s">
        <v>18</v>
      </c>
      <c r="Y15" s="23" t="s">
        <v>18</v>
      </c>
      <c r="Z15" s="23" t="s">
        <v>17</v>
      </c>
      <c r="AA15" s="23" t="s">
        <v>18</v>
      </c>
      <c r="AB15" s="23" t="s">
        <v>18</v>
      </c>
      <c r="AC15" s="23" t="s">
        <v>18</v>
      </c>
      <c r="AD15" s="23" t="s">
        <v>18</v>
      </c>
      <c r="AE15" s="23" t="s">
        <v>18</v>
      </c>
      <c r="AF15" s="23" t="s">
        <v>18</v>
      </c>
      <c r="AG15" s="23" t="s">
        <v>17</v>
      </c>
      <c r="AH15" s="23" t="s">
        <v>18</v>
      </c>
      <c r="AI15" s="23"/>
      <c r="AJ15" s="24">
        <f>IF($C15="","",COUNTIF($E15:$AI15,'Cài đặt'!$B$16))</f>
        <v>23</v>
      </c>
      <c r="AK15" s="24">
        <f>IF($C15="","",COUNTIF($E15:$AI15,'Cài đặt'!$B$17))</f>
        <v>0</v>
      </c>
      <c r="AL15" s="24">
        <f>IF($C15="","",COUNTIF($E15:$AI15,'Cài đặt'!$B$18))</f>
        <v>0</v>
      </c>
      <c r="AM15" s="24">
        <f>IF($C15="","",COUNTIF($E15:$AI15,'Cài đặt'!$B$19))</f>
        <v>0</v>
      </c>
      <c r="AN15" s="24">
        <f>IF($C15="","",COUNTIF($E15:$AI15,'Cài đặt'!$B$20))</f>
        <v>1</v>
      </c>
      <c r="AO15" s="24">
        <f>IF($C15="","",COUNTIF($E15:$AI15,'Cài đặt'!$B$21))</f>
        <v>0</v>
      </c>
      <c r="AP15" s="24">
        <f>IF($C15="","",COUNTIF($E15:$AI15,'Cài đặt'!$B$22))</f>
        <v>0</v>
      </c>
      <c r="AQ15" s="24">
        <f>IF($C15="","",COUNTIF($E15:$AI15,'Cài đặt'!$B$23))</f>
        <v>1</v>
      </c>
      <c r="AR15" s="24">
        <f>IF($C15="","",COUNTIF($E15:$AI15,'Cài đặt'!$B$24))</f>
        <v>0</v>
      </c>
      <c r="AS15" s="25">
        <f t="array" ref="AS15">IF($C15="","",SUMPRODUCT(COUNTIF($E15:$AI15,'Cài đặt'!$B$16:$B$25)*'Cài đặt'!$G$16:$G$25))</f>
        <v>184</v>
      </c>
      <c r="AT15" s="26">
        <f>IF($C15="","",SUMPRODUCT(--($E$7:$AI$7="CN"),SUMIF('Cài đặt'!$B$16:$B$25,$E15:$AI15,'Cài đặt'!$G$16:$G$25)))</f>
        <v>0</v>
      </c>
      <c r="AU15" s="26">
        <f>IF($C15="","",SUMPRODUCT(--($E$5:$AI$5="Lễ"),SUMIF('Cài đặt'!$B$16:$B$25,$E15:$AI15,'Cài đặt'!$G$16:$G$25)))</f>
        <v>0</v>
      </c>
      <c r="AV15" s="27">
        <f t="array" ref="AV15">IF($C15="","",SUMPRODUCT(COUNTIF($E15:$AI15,'Cài đặt'!$B$16:$B$25)*'Cài đặt'!$H$16:$H$25)/'Cài đặt'!$D$12)</f>
        <v>23</v>
      </c>
      <c r="AW15" s="25">
        <f>IF($C15="","",MAX(0,AS15-'Cài đặt'!$D$11*'Cài đặt'!$D$12))</f>
        <v>0</v>
      </c>
      <c r="AX15" s="22"/>
    </row>
    <row r="16" ht="21.0" customHeight="1">
      <c r="A16" s="19">
        <v>9.0</v>
      </c>
      <c r="B16" s="20" t="s">
        <v>41</v>
      </c>
      <c r="C16" s="21" t="s">
        <v>42</v>
      </c>
      <c r="D16" s="22" t="s">
        <v>43</v>
      </c>
      <c r="E16" s="23" t="s">
        <v>17</v>
      </c>
      <c r="F16" s="23" t="s">
        <v>18</v>
      </c>
      <c r="G16" s="23" t="s">
        <v>18</v>
      </c>
      <c r="H16" s="23" t="s">
        <v>18</v>
      </c>
      <c r="I16" s="23" t="s">
        <v>18</v>
      </c>
      <c r="J16" s="23" t="s">
        <v>18</v>
      </c>
      <c r="K16" s="23" t="s">
        <v>18</v>
      </c>
      <c r="L16" s="23" t="s">
        <v>17</v>
      </c>
      <c r="M16" s="23" t="s">
        <v>18</v>
      </c>
      <c r="N16" s="23" t="s">
        <v>18</v>
      </c>
      <c r="O16" s="23" t="s">
        <v>18</v>
      </c>
      <c r="P16" s="23" t="s">
        <v>18</v>
      </c>
      <c r="Q16" s="23" t="s">
        <v>18</v>
      </c>
      <c r="R16" s="23" t="s">
        <v>19</v>
      </c>
      <c r="S16" s="23" t="s">
        <v>17</v>
      </c>
      <c r="T16" s="23" t="s">
        <v>18</v>
      </c>
      <c r="U16" s="23" t="s">
        <v>18</v>
      </c>
      <c r="V16" s="23" t="s">
        <v>18</v>
      </c>
      <c r="W16" s="23" t="s">
        <v>18</v>
      </c>
      <c r="X16" s="23" t="s">
        <v>18</v>
      </c>
      <c r="Y16" s="23" t="s">
        <v>18</v>
      </c>
      <c r="Z16" s="23" t="s">
        <v>17</v>
      </c>
      <c r="AA16" s="23" t="s">
        <v>18</v>
      </c>
      <c r="AB16" s="23" t="s">
        <v>18</v>
      </c>
      <c r="AC16" s="23" t="s">
        <v>18</v>
      </c>
      <c r="AD16" s="23" t="s">
        <v>18</v>
      </c>
      <c r="AE16" s="23" t="s">
        <v>18</v>
      </c>
      <c r="AF16" s="23" t="s">
        <v>18</v>
      </c>
      <c r="AG16" s="23" t="s">
        <v>17</v>
      </c>
      <c r="AH16" s="23" t="s">
        <v>18</v>
      </c>
      <c r="AI16" s="23"/>
      <c r="AJ16" s="24">
        <f>IF($C16="","",COUNTIF($E16:$AI16,'Cài đặt'!$B$16))</f>
        <v>24</v>
      </c>
      <c r="AK16" s="24">
        <f>IF($C16="","",COUNTIF($E16:$AI16,'Cài đặt'!$B$17))</f>
        <v>0</v>
      </c>
      <c r="AL16" s="24">
        <f>IF($C16="","",COUNTIF($E16:$AI16,'Cài đặt'!$B$18))</f>
        <v>0</v>
      </c>
      <c r="AM16" s="24">
        <f>IF($C16="","",COUNTIF($E16:$AI16,'Cài đặt'!$B$19))</f>
        <v>0</v>
      </c>
      <c r="AN16" s="24">
        <f>IF($C16="","",COUNTIF($E16:$AI16,'Cài đặt'!$B$20))</f>
        <v>1</v>
      </c>
      <c r="AO16" s="24">
        <f>IF($C16="","",COUNTIF($E16:$AI16,'Cài đặt'!$B$21))</f>
        <v>0</v>
      </c>
      <c r="AP16" s="24">
        <f>IF($C16="","",COUNTIF($E16:$AI16,'Cài đặt'!$B$22))</f>
        <v>0</v>
      </c>
      <c r="AQ16" s="24">
        <f>IF($C16="","",COUNTIF($E16:$AI16,'Cài đặt'!$B$23))</f>
        <v>0</v>
      </c>
      <c r="AR16" s="24">
        <f>IF($C16="","",COUNTIF($E16:$AI16,'Cài đặt'!$B$24))</f>
        <v>0</v>
      </c>
      <c r="AS16" s="25">
        <f t="array" ref="AS16">IF($C16="","",SUMPRODUCT(COUNTIF($E16:$AI16,'Cài đặt'!$B$16:$B$25)*'Cài đặt'!$G$16:$G$25))</f>
        <v>192</v>
      </c>
      <c r="AT16" s="26">
        <f>IF($C16="","",SUMPRODUCT(--($E$7:$AI$7="CN"),SUMIF('Cài đặt'!$B$16:$B$25,$E16:$AI16,'Cài đặt'!$G$16:$G$25)))</f>
        <v>0</v>
      </c>
      <c r="AU16" s="26">
        <f>IF($C16="","",SUMPRODUCT(--($E$5:$AI$5="Lễ"),SUMIF('Cài đặt'!$B$16:$B$25,$E16:$AI16,'Cài đặt'!$G$16:$G$25)))</f>
        <v>0</v>
      </c>
      <c r="AV16" s="27">
        <f t="array" ref="AV16">IF($C16="","",SUMPRODUCT(COUNTIF($E16:$AI16,'Cài đặt'!$B$16:$B$25)*'Cài đặt'!$H$16:$H$25)/'Cài đặt'!$D$12)</f>
        <v>24</v>
      </c>
      <c r="AW16" s="25">
        <f>IF($C16="","",MAX(0,AS16-'Cài đặt'!$D$11*'Cài đặt'!$D$12))</f>
        <v>0</v>
      </c>
      <c r="AX16" s="22"/>
    </row>
    <row r="17" ht="21.0" customHeight="1">
      <c r="A17" s="19">
        <v>10.0</v>
      </c>
      <c r="B17" s="20" t="s">
        <v>44</v>
      </c>
      <c r="C17" s="21" t="s">
        <v>45</v>
      </c>
      <c r="D17" s="22" t="s">
        <v>46</v>
      </c>
      <c r="E17" s="23" t="s">
        <v>17</v>
      </c>
      <c r="F17" s="23" t="s">
        <v>18</v>
      </c>
      <c r="G17" s="23" t="s">
        <v>18</v>
      </c>
      <c r="H17" s="23" t="s">
        <v>18</v>
      </c>
      <c r="I17" s="23" t="s">
        <v>23</v>
      </c>
      <c r="J17" s="23" t="s">
        <v>18</v>
      </c>
      <c r="K17" s="23" t="s">
        <v>18</v>
      </c>
      <c r="L17" s="23" t="s">
        <v>17</v>
      </c>
      <c r="M17" s="23" t="s">
        <v>18</v>
      </c>
      <c r="N17" s="23" t="s">
        <v>18</v>
      </c>
      <c r="O17" s="23" t="s">
        <v>18</v>
      </c>
      <c r="P17" s="23" t="s">
        <v>18</v>
      </c>
      <c r="Q17" s="23" t="s">
        <v>18</v>
      </c>
      <c r="R17" s="23" t="s">
        <v>19</v>
      </c>
      <c r="S17" s="23" t="s">
        <v>17</v>
      </c>
      <c r="T17" s="23" t="s">
        <v>18</v>
      </c>
      <c r="U17" s="23" t="s">
        <v>18</v>
      </c>
      <c r="V17" s="23" t="s">
        <v>18</v>
      </c>
      <c r="W17" s="23" t="s">
        <v>23</v>
      </c>
      <c r="X17" s="23" t="s">
        <v>18</v>
      </c>
      <c r="Y17" s="23" t="s">
        <v>18</v>
      </c>
      <c r="Z17" s="23" t="s">
        <v>17</v>
      </c>
      <c r="AA17" s="23" t="s">
        <v>18</v>
      </c>
      <c r="AB17" s="23" t="s">
        <v>18</v>
      </c>
      <c r="AC17" s="23" t="s">
        <v>18</v>
      </c>
      <c r="AD17" s="23" t="s">
        <v>23</v>
      </c>
      <c r="AE17" s="23" t="s">
        <v>18</v>
      </c>
      <c r="AF17" s="23" t="s">
        <v>18</v>
      </c>
      <c r="AG17" s="23" t="s">
        <v>17</v>
      </c>
      <c r="AH17" s="23" t="s">
        <v>18</v>
      </c>
      <c r="AI17" s="23"/>
      <c r="AJ17" s="24">
        <f>IF($C17="","",COUNTIF($E17:$AI17,'Cài đặt'!$B$16))</f>
        <v>21</v>
      </c>
      <c r="AK17" s="24">
        <f>IF($C17="","",COUNTIF($E17:$AI17,'Cài đặt'!$B$17))</f>
        <v>0</v>
      </c>
      <c r="AL17" s="24">
        <f>IF($C17="","",COUNTIF($E17:$AI17,'Cài đặt'!$B$18))</f>
        <v>0</v>
      </c>
      <c r="AM17" s="24">
        <f>IF($C17="","",COUNTIF($E17:$AI17,'Cài đặt'!$B$19))</f>
        <v>3</v>
      </c>
      <c r="AN17" s="24">
        <f>IF($C17="","",COUNTIF($E17:$AI17,'Cài đặt'!$B$20))</f>
        <v>1</v>
      </c>
      <c r="AO17" s="24">
        <f>IF($C17="","",COUNTIF($E17:$AI17,'Cài đặt'!$B$21))</f>
        <v>0</v>
      </c>
      <c r="AP17" s="24">
        <f>IF($C17="","",COUNTIF($E17:$AI17,'Cài đặt'!$B$22))</f>
        <v>0</v>
      </c>
      <c r="AQ17" s="24">
        <f>IF($C17="","",COUNTIF($E17:$AI17,'Cài đặt'!$B$23))</f>
        <v>0</v>
      </c>
      <c r="AR17" s="24">
        <f>IF($C17="","",COUNTIF($E17:$AI17,'Cài đặt'!$B$24))</f>
        <v>0</v>
      </c>
      <c r="AS17" s="25">
        <f t="array" ref="AS17">IF($C17="","",SUMPRODUCT(COUNTIF($E17:$AI17,'Cài đặt'!$B$16:$B$25)*'Cài đặt'!$G$16:$G$25))</f>
        <v>201</v>
      </c>
      <c r="AT17" s="26">
        <f>IF($C17="","",SUMPRODUCT(--($E$7:$AI$7="CN"),SUMIF('Cài đặt'!$B$16:$B$25,$E17:$AI17,'Cài đặt'!$G$16:$G$25)))</f>
        <v>0</v>
      </c>
      <c r="AU17" s="26">
        <f>IF($C17="","",SUMPRODUCT(--($E$5:$AI$5="Lễ"),SUMIF('Cài đặt'!$B$16:$B$25,$E17:$AI17,'Cài đặt'!$G$16:$G$25)))</f>
        <v>0</v>
      </c>
      <c r="AV17" s="27">
        <f t="array" ref="AV17">IF($C17="","",SUMPRODUCT(COUNTIF($E17:$AI17,'Cài đặt'!$B$16:$B$25)*'Cài đặt'!$H$16:$H$25)/'Cài đặt'!$D$12)</f>
        <v>25.125</v>
      </c>
      <c r="AW17" s="25">
        <f>IF($C17="","",MAX(0,AS17-'Cài đặt'!$D$11*'Cài đặt'!$D$12))</f>
        <v>1</v>
      </c>
      <c r="AX17" s="22"/>
    </row>
    <row r="18" ht="21.0" customHeight="1">
      <c r="A18" s="19">
        <v>11.0</v>
      </c>
      <c r="B18" s="20" t="s">
        <v>47</v>
      </c>
      <c r="C18" s="21" t="s">
        <v>48</v>
      </c>
      <c r="D18" s="22" t="s">
        <v>49</v>
      </c>
      <c r="E18" s="23" t="s">
        <v>17</v>
      </c>
      <c r="F18" s="23" t="s">
        <v>18</v>
      </c>
      <c r="G18" s="23" t="s">
        <v>18</v>
      </c>
      <c r="H18" s="23" t="s">
        <v>18</v>
      </c>
      <c r="I18" s="23" t="s">
        <v>18</v>
      </c>
      <c r="J18" s="23" t="s">
        <v>18</v>
      </c>
      <c r="K18" s="23" t="s">
        <v>50</v>
      </c>
      <c r="L18" s="23" t="s">
        <v>17</v>
      </c>
      <c r="M18" s="23" t="s">
        <v>18</v>
      </c>
      <c r="N18" s="23" t="s">
        <v>18</v>
      </c>
      <c r="O18" s="23" t="s">
        <v>18</v>
      </c>
      <c r="P18" s="23" t="s">
        <v>18</v>
      </c>
      <c r="Q18" s="23" t="s">
        <v>18</v>
      </c>
      <c r="R18" s="23" t="s">
        <v>19</v>
      </c>
      <c r="S18" s="23" t="s">
        <v>17</v>
      </c>
      <c r="T18" s="23" t="s">
        <v>18</v>
      </c>
      <c r="U18" s="23" t="s">
        <v>18</v>
      </c>
      <c r="V18" s="23" t="s">
        <v>18</v>
      </c>
      <c r="W18" s="23" t="s">
        <v>18</v>
      </c>
      <c r="X18" s="23" t="s">
        <v>18</v>
      </c>
      <c r="Y18" s="23" t="s">
        <v>50</v>
      </c>
      <c r="Z18" s="23" t="s">
        <v>17</v>
      </c>
      <c r="AA18" s="23" t="s">
        <v>18</v>
      </c>
      <c r="AB18" s="23" t="s">
        <v>18</v>
      </c>
      <c r="AC18" s="23" t="s">
        <v>18</v>
      </c>
      <c r="AD18" s="23" t="s">
        <v>18</v>
      </c>
      <c r="AE18" s="23" t="s">
        <v>18</v>
      </c>
      <c r="AF18" s="23" t="s">
        <v>50</v>
      </c>
      <c r="AG18" s="23" t="s">
        <v>17</v>
      </c>
      <c r="AH18" s="23" t="s">
        <v>18</v>
      </c>
      <c r="AI18" s="23"/>
      <c r="AJ18" s="24">
        <f>IF($C18="","",COUNTIF($E18:$AI18,'Cài đặt'!$B$16))</f>
        <v>21</v>
      </c>
      <c r="AK18" s="24">
        <f>IF($C18="","",COUNTIF($E18:$AI18,'Cài đặt'!$B$17))</f>
        <v>3</v>
      </c>
      <c r="AL18" s="24">
        <f>IF($C18="","",COUNTIF($E18:$AI18,'Cài đặt'!$B$18))</f>
        <v>0</v>
      </c>
      <c r="AM18" s="24">
        <f>IF($C18="","",COUNTIF($E18:$AI18,'Cài đặt'!$B$19))</f>
        <v>0</v>
      </c>
      <c r="AN18" s="24">
        <f>IF($C18="","",COUNTIF($E18:$AI18,'Cài đặt'!$B$20))</f>
        <v>1</v>
      </c>
      <c r="AO18" s="24">
        <f>IF($C18="","",COUNTIF($E18:$AI18,'Cài đặt'!$B$21))</f>
        <v>0</v>
      </c>
      <c r="AP18" s="24">
        <f>IF($C18="","",COUNTIF($E18:$AI18,'Cài đặt'!$B$22))</f>
        <v>0</v>
      </c>
      <c r="AQ18" s="24">
        <f>IF($C18="","",COUNTIF($E18:$AI18,'Cài đặt'!$B$23))</f>
        <v>0</v>
      </c>
      <c r="AR18" s="24">
        <f>IF($C18="","",COUNTIF($E18:$AI18,'Cài đặt'!$B$24))</f>
        <v>0</v>
      </c>
      <c r="AS18" s="25">
        <f t="array" ref="AS18">IF($C18="","",SUMPRODUCT(COUNTIF($E18:$AI18,'Cài đặt'!$B$16:$B$25)*'Cài đặt'!$G$16:$G$25))</f>
        <v>180</v>
      </c>
      <c r="AT18" s="26">
        <f>IF($C18="","",SUMPRODUCT(--($E$7:$AI$7="CN"),SUMIF('Cài đặt'!$B$16:$B$25,$E18:$AI18,'Cài đặt'!$G$16:$G$25)))</f>
        <v>0</v>
      </c>
      <c r="AU18" s="26">
        <f>IF($C18="","",SUMPRODUCT(--($E$5:$AI$5="Lễ"),SUMIF('Cài đặt'!$B$16:$B$25,$E18:$AI18,'Cài đặt'!$G$16:$G$25)))</f>
        <v>0</v>
      </c>
      <c r="AV18" s="27">
        <f t="array" ref="AV18">IF($C18="","",SUMPRODUCT(COUNTIF($E18:$AI18,'Cài đặt'!$B$16:$B$25)*'Cài đặt'!$H$16:$H$25)/'Cài đặt'!$D$12)</f>
        <v>22.5</v>
      </c>
      <c r="AW18" s="25">
        <f>IF($C18="","",MAX(0,AS18-'Cài đặt'!$D$11*'Cài đặt'!$D$12))</f>
        <v>0</v>
      </c>
      <c r="AX18" s="22"/>
    </row>
    <row r="19" ht="21.0" customHeight="1">
      <c r="A19" s="19">
        <v>12.0</v>
      </c>
      <c r="B19" s="20" t="s">
        <v>51</v>
      </c>
      <c r="C19" s="21" t="s">
        <v>52</v>
      </c>
      <c r="D19" s="22" t="s">
        <v>49</v>
      </c>
      <c r="E19" s="23" t="s">
        <v>17</v>
      </c>
      <c r="F19" s="23" t="s">
        <v>18</v>
      </c>
      <c r="G19" s="23" t="s">
        <v>18</v>
      </c>
      <c r="H19" s="23" t="s">
        <v>18</v>
      </c>
      <c r="I19" s="23" t="s">
        <v>18</v>
      </c>
      <c r="J19" s="23" t="s">
        <v>18</v>
      </c>
      <c r="K19" s="23" t="s">
        <v>50</v>
      </c>
      <c r="L19" s="23" t="s">
        <v>17</v>
      </c>
      <c r="M19" s="23" t="s">
        <v>18</v>
      </c>
      <c r="N19" s="23" t="s">
        <v>18</v>
      </c>
      <c r="O19" s="23" t="s">
        <v>18</v>
      </c>
      <c r="P19" s="23" t="s">
        <v>18</v>
      </c>
      <c r="Q19" s="23" t="s">
        <v>18</v>
      </c>
      <c r="R19" s="23" t="s">
        <v>19</v>
      </c>
      <c r="S19" s="23" t="s">
        <v>17</v>
      </c>
      <c r="T19" s="23" t="s">
        <v>18</v>
      </c>
      <c r="U19" s="23" t="s">
        <v>18</v>
      </c>
      <c r="V19" s="23" t="s">
        <v>18</v>
      </c>
      <c r="W19" s="23" t="s">
        <v>18</v>
      </c>
      <c r="X19" s="23" t="s">
        <v>18</v>
      </c>
      <c r="Y19" s="23" t="s">
        <v>50</v>
      </c>
      <c r="Z19" s="23" t="s">
        <v>17</v>
      </c>
      <c r="AA19" s="23" t="s">
        <v>18</v>
      </c>
      <c r="AB19" s="23" t="s">
        <v>18</v>
      </c>
      <c r="AC19" s="23" t="s">
        <v>18</v>
      </c>
      <c r="AD19" s="23" t="s">
        <v>18</v>
      </c>
      <c r="AE19" s="23" t="s">
        <v>18</v>
      </c>
      <c r="AF19" s="23" t="s">
        <v>50</v>
      </c>
      <c r="AG19" s="23" t="s">
        <v>17</v>
      </c>
      <c r="AH19" s="23" t="s">
        <v>18</v>
      </c>
      <c r="AI19" s="23"/>
      <c r="AJ19" s="24">
        <f>IF($C19="","",COUNTIF($E19:$AI19,'Cài đặt'!$B$16))</f>
        <v>21</v>
      </c>
      <c r="AK19" s="24">
        <f>IF($C19="","",COUNTIF($E19:$AI19,'Cài đặt'!$B$17))</f>
        <v>3</v>
      </c>
      <c r="AL19" s="24">
        <f>IF($C19="","",COUNTIF($E19:$AI19,'Cài đặt'!$B$18))</f>
        <v>0</v>
      </c>
      <c r="AM19" s="24">
        <f>IF($C19="","",COUNTIF($E19:$AI19,'Cài đặt'!$B$19))</f>
        <v>0</v>
      </c>
      <c r="AN19" s="24">
        <f>IF($C19="","",COUNTIF($E19:$AI19,'Cài đặt'!$B$20))</f>
        <v>1</v>
      </c>
      <c r="AO19" s="24">
        <f>IF($C19="","",COUNTIF($E19:$AI19,'Cài đặt'!$B$21))</f>
        <v>0</v>
      </c>
      <c r="AP19" s="24">
        <f>IF($C19="","",COUNTIF($E19:$AI19,'Cài đặt'!$B$22))</f>
        <v>0</v>
      </c>
      <c r="AQ19" s="24">
        <f>IF($C19="","",COUNTIF($E19:$AI19,'Cài đặt'!$B$23))</f>
        <v>0</v>
      </c>
      <c r="AR19" s="24">
        <f>IF($C19="","",COUNTIF($E19:$AI19,'Cài đặt'!$B$24))</f>
        <v>0</v>
      </c>
      <c r="AS19" s="25">
        <f t="array" ref="AS19">IF($C19="","",SUMPRODUCT(COUNTIF($E19:$AI19,'Cài đặt'!$B$16:$B$25)*'Cài đặt'!$G$16:$G$25))</f>
        <v>180</v>
      </c>
      <c r="AT19" s="26">
        <f>IF($C19="","",SUMPRODUCT(--($E$7:$AI$7="CN"),SUMIF('Cài đặt'!$B$16:$B$25,$E19:$AI19,'Cài đặt'!$G$16:$G$25)))</f>
        <v>0</v>
      </c>
      <c r="AU19" s="26">
        <f>IF($C19="","",SUMPRODUCT(--($E$5:$AI$5="Lễ"),SUMIF('Cài đặt'!$B$16:$B$25,$E19:$AI19,'Cài đặt'!$G$16:$G$25)))</f>
        <v>0</v>
      </c>
      <c r="AV19" s="27">
        <f t="array" ref="AV19">IF($C19="","",SUMPRODUCT(COUNTIF($E19:$AI19,'Cài đặt'!$B$16:$B$25)*'Cài đặt'!$H$16:$H$25)/'Cài đặt'!$D$12)</f>
        <v>22.5</v>
      </c>
      <c r="AW19" s="25">
        <f>IF($C19="","",MAX(0,AS19-'Cài đặt'!$D$11*'Cài đặt'!$D$12))</f>
        <v>0</v>
      </c>
      <c r="AX19" s="22"/>
    </row>
    <row r="20" ht="21.0" customHeight="1">
      <c r="A20" s="19">
        <v>13.0</v>
      </c>
      <c r="B20" s="20"/>
      <c r="C20" s="21"/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4" t="str">
        <f>IF($C20="","",COUNTIF($E20:$AI20,'Cài đặt'!$B$16))</f>
        <v/>
      </c>
      <c r="AK20" s="24" t="str">
        <f>IF($C20="","",COUNTIF($E20:$AI20,'Cài đặt'!$B$17))</f>
        <v/>
      </c>
      <c r="AL20" s="24" t="str">
        <f>IF($C20="","",COUNTIF($E20:$AI20,'Cài đặt'!$B$18))</f>
        <v/>
      </c>
      <c r="AM20" s="24" t="str">
        <f>IF($C20="","",COUNTIF($E20:$AI20,'Cài đặt'!$B$19))</f>
        <v/>
      </c>
      <c r="AN20" s="24" t="str">
        <f>IF($C20="","",COUNTIF($E20:$AI20,'Cài đặt'!$B$20))</f>
        <v/>
      </c>
      <c r="AO20" s="24" t="str">
        <f>IF($C20="","",COUNTIF($E20:$AI20,'Cài đặt'!$B$21))</f>
        <v/>
      </c>
      <c r="AP20" s="24" t="str">
        <f>IF($C20="","",COUNTIF($E20:$AI20,'Cài đặt'!$B$22))</f>
        <v/>
      </c>
      <c r="AQ20" s="24" t="str">
        <f>IF($C20="","",COUNTIF($E20:$AI20,'Cài đặt'!$B$23))</f>
        <v/>
      </c>
      <c r="AR20" s="24" t="str">
        <f>IF($C20="","",COUNTIF($E20:$AI20,'Cài đặt'!$B$24))</f>
        <v/>
      </c>
      <c r="AS20" s="25" t="str">
        <f t="array" ref="AS20">IF($C20="","",SUMPRODUCT(COUNTIF($E20:$AI20,'Cài đặt'!$B$16:$B$25)*'Cài đặt'!$G$16:$G$25))</f>
        <v/>
      </c>
      <c r="AT20" s="26" t="str">
        <f>IF($C20="","",SUMPRODUCT(--($E$7:$AI$7="CN"),SUMIF('Cài đặt'!$B$16:$B$25,$E20:$AI20,'Cài đặt'!$G$16:$G$25)))</f>
        <v/>
      </c>
      <c r="AU20" s="26" t="str">
        <f>IF($C20="","",SUMPRODUCT(--($E$5:$AI$5="Lễ"),SUMIF('Cài đặt'!$B$16:$B$25,$E20:$AI20,'Cài đặt'!$G$16:$G$25)))</f>
        <v/>
      </c>
      <c r="AV20" s="27" t="str">
        <f t="array" ref="AV20">IF($C20="","",SUMPRODUCT(COUNTIF($E20:$AI20,'Cài đặt'!$B$16:$B$25)*'Cài đặt'!$H$16:$H$25)/'Cài đặt'!$D$12)</f>
        <v/>
      </c>
      <c r="AW20" s="25" t="str">
        <f>IF($C20="","",MAX(0,AS20-'Cài đặt'!$D$11*'Cài đặt'!$D$12))</f>
        <v/>
      </c>
      <c r="AX20" s="22"/>
    </row>
    <row r="21" ht="21.0" customHeight="1">
      <c r="A21" s="19">
        <v>14.0</v>
      </c>
      <c r="B21" s="20"/>
      <c r="C21" s="21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4" t="str">
        <f>IF($C21="","",COUNTIF($E21:$AI21,'Cài đặt'!$B$16))</f>
        <v/>
      </c>
      <c r="AK21" s="24" t="str">
        <f>IF($C21="","",COUNTIF($E21:$AI21,'Cài đặt'!$B$17))</f>
        <v/>
      </c>
      <c r="AL21" s="24" t="str">
        <f>IF($C21="","",COUNTIF($E21:$AI21,'Cài đặt'!$B$18))</f>
        <v/>
      </c>
      <c r="AM21" s="24" t="str">
        <f>IF($C21="","",COUNTIF($E21:$AI21,'Cài đặt'!$B$19))</f>
        <v/>
      </c>
      <c r="AN21" s="24" t="str">
        <f>IF($C21="","",COUNTIF($E21:$AI21,'Cài đặt'!$B$20))</f>
        <v/>
      </c>
      <c r="AO21" s="24" t="str">
        <f>IF($C21="","",COUNTIF($E21:$AI21,'Cài đặt'!$B$21))</f>
        <v/>
      </c>
      <c r="AP21" s="24" t="str">
        <f>IF($C21="","",COUNTIF($E21:$AI21,'Cài đặt'!$B$22))</f>
        <v/>
      </c>
      <c r="AQ21" s="24" t="str">
        <f>IF($C21="","",COUNTIF($E21:$AI21,'Cài đặt'!$B$23))</f>
        <v/>
      </c>
      <c r="AR21" s="24" t="str">
        <f>IF($C21="","",COUNTIF($E21:$AI21,'Cài đặt'!$B$24))</f>
        <v/>
      </c>
      <c r="AS21" s="25" t="str">
        <f t="array" ref="AS21">IF($C21="","",SUMPRODUCT(COUNTIF($E21:$AI21,'Cài đặt'!$B$16:$B$25)*'Cài đặt'!$G$16:$G$25))</f>
        <v/>
      </c>
      <c r="AT21" s="26" t="str">
        <f>IF($C21="","",SUMPRODUCT(--($E$7:$AI$7="CN"),SUMIF('Cài đặt'!$B$16:$B$25,$E21:$AI21,'Cài đặt'!$G$16:$G$25)))</f>
        <v/>
      </c>
      <c r="AU21" s="26" t="str">
        <f>IF($C21="","",SUMPRODUCT(--($E$5:$AI$5="Lễ"),SUMIF('Cài đặt'!$B$16:$B$25,$E21:$AI21,'Cài đặt'!$G$16:$G$25)))</f>
        <v/>
      </c>
      <c r="AV21" s="27" t="str">
        <f t="array" ref="AV21">IF($C21="","",SUMPRODUCT(COUNTIF($E21:$AI21,'Cài đặt'!$B$16:$B$25)*'Cài đặt'!$H$16:$H$25)/'Cài đặt'!$D$12)</f>
        <v/>
      </c>
      <c r="AW21" s="25" t="str">
        <f>IF($C21="","",MAX(0,AS21-'Cài đặt'!$D$11*'Cài đặt'!$D$12))</f>
        <v/>
      </c>
      <c r="AX21" s="22"/>
    </row>
    <row r="22" ht="21.0" customHeight="1">
      <c r="A22" s="19">
        <v>15.0</v>
      </c>
      <c r="B22" s="20"/>
      <c r="C22" s="21"/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4" t="str">
        <f>IF($C22="","",COUNTIF($E22:$AI22,'Cài đặt'!$B$16))</f>
        <v/>
      </c>
      <c r="AK22" s="24" t="str">
        <f>IF($C22="","",COUNTIF($E22:$AI22,'Cài đặt'!$B$17))</f>
        <v/>
      </c>
      <c r="AL22" s="24" t="str">
        <f>IF($C22="","",COUNTIF($E22:$AI22,'Cài đặt'!$B$18))</f>
        <v/>
      </c>
      <c r="AM22" s="24" t="str">
        <f>IF($C22="","",COUNTIF($E22:$AI22,'Cài đặt'!$B$19))</f>
        <v/>
      </c>
      <c r="AN22" s="24" t="str">
        <f>IF($C22="","",COUNTIF($E22:$AI22,'Cài đặt'!$B$20))</f>
        <v/>
      </c>
      <c r="AO22" s="24" t="str">
        <f>IF($C22="","",COUNTIF($E22:$AI22,'Cài đặt'!$B$21))</f>
        <v/>
      </c>
      <c r="AP22" s="24" t="str">
        <f>IF($C22="","",COUNTIF($E22:$AI22,'Cài đặt'!$B$22))</f>
        <v/>
      </c>
      <c r="AQ22" s="24" t="str">
        <f>IF($C22="","",COUNTIF($E22:$AI22,'Cài đặt'!$B$23))</f>
        <v/>
      </c>
      <c r="AR22" s="24" t="str">
        <f>IF($C22="","",COUNTIF($E22:$AI22,'Cài đặt'!$B$24))</f>
        <v/>
      </c>
      <c r="AS22" s="25" t="str">
        <f t="array" ref="AS22">IF($C22="","",SUMPRODUCT(COUNTIF($E22:$AI22,'Cài đặt'!$B$16:$B$25)*'Cài đặt'!$G$16:$G$25))</f>
        <v/>
      </c>
      <c r="AT22" s="26" t="str">
        <f>IF($C22="","",SUMPRODUCT(--($E$7:$AI$7="CN"),SUMIF('Cài đặt'!$B$16:$B$25,$E22:$AI22,'Cài đặt'!$G$16:$G$25)))</f>
        <v/>
      </c>
      <c r="AU22" s="26" t="str">
        <f>IF($C22="","",SUMPRODUCT(--($E$5:$AI$5="Lễ"),SUMIF('Cài đặt'!$B$16:$B$25,$E22:$AI22,'Cài đặt'!$G$16:$G$25)))</f>
        <v/>
      </c>
      <c r="AV22" s="27" t="str">
        <f t="array" ref="AV22">IF($C22="","",SUMPRODUCT(COUNTIF($E22:$AI22,'Cài đặt'!$B$16:$B$25)*'Cài đặt'!$H$16:$H$25)/'Cài đặt'!$D$12)</f>
        <v/>
      </c>
      <c r="AW22" s="25" t="str">
        <f>IF($C22="","",MAX(0,AS22-'Cài đặt'!$D$11*'Cài đặt'!$D$12))</f>
        <v/>
      </c>
      <c r="AX22" s="22"/>
    </row>
    <row r="23" ht="21.0" customHeight="1">
      <c r="A23" s="19">
        <v>16.0</v>
      </c>
      <c r="B23" s="20"/>
      <c r="C23" s="21"/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4" t="str">
        <f>IF($C23="","",COUNTIF($E23:$AI23,'Cài đặt'!$B$16))</f>
        <v/>
      </c>
      <c r="AK23" s="24" t="str">
        <f>IF($C23="","",COUNTIF($E23:$AI23,'Cài đặt'!$B$17))</f>
        <v/>
      </c>
      <c r="AL23" s="24" t="str">
        <f>IF($C23="","",COUNTIF($E23:$AI23,'Cài đặt'!$B$18))</f>
        <v/>
      </c>
      <c r="AM23" s="24" t="str">
        <f>IF($C23="","",COUNTIF($E23:$AI23,'Cài đặt'!$B$19))</f>
        <v/>
      </c>
      <c r="AN23" s="24" t="str">
        <f>IF($C23="","",COUNTIF($E23:$AI23,'Cài đặt'!$B$20))</f>
        <v/>
      </c>
      <c r="AO23" s="24" t="str">
        <f>IF($C23="","",COUNTIF($E23:$AI23,'Cài đặt'!$B$21))</f>
        <v/>
      </c>
      <c r="AP23" s="24" t="str">
        <f>IF($C23="","",COUNTIF($E23:$AI23,'Cài đặt'!$B$22))</f>
        <v/>
      </c>
      <c r="AQ23" s="24" t="str">
        <f>IF($C23="","",COUNTIF($E23:$AI23,'Cài đặt'!$B$23))</f>
        <v/>
      </c>
      <c r="AR23" s="24" t="str">
        <f>IF($C23="","",COUNTIF($E23:$AI23,'Cài đặt'!$B$24))</f>
        <v/>
      </c>
      <c r="AS23" s="25" t="str">
        <f t="array" ref="AS23">IF($C23="","",SUMPRODUCT(COUNTIF($E23:$AI23,'Cài đặt'!$B$16:$B$25)*'Cài đặt'!$G$16:$G$25))</f>
        <v/>
      </c>
      <c r="AT23" s="26" t="str">
        <f>IF($C23="","",SUMPRODUCT(--($E$7:$AI$7="CN"),SUMIF('Cài đặt'!$B$16:$B$25,$E23:$AI23,'Cài đặt'!$G$16:$G$25)))</f>
        <v/>
      </c>
      <c r="AU23" s="26" t="str">
        <f>IF($C23="","",SUMPRODUCT(--($E$5:$AI$5="Lễ"),SUMIF('Cài đặt'!$B$16:$B$25,$E23:$AI23,'Cài đặt'!$G$16:$G$25)))</f>
        <v/>
      </c>
      <c r="AV23" s="27" t="str">
        <f t="array" ref="AV23">IF($C23="","",SUMPRODUCT(COUNTIF($E23:$AI23,'Cài đặt'!$B$16:$B$25)*'Cài đặt'!$H$16:$H$25)/'Cài đặt'!$D$12)</f>
        <v/>
      </c>
      <c r="AW23" s="25" t="str">
        <f>IF($C23="","",MAX(0,AS23-'Cài đặt'!$D$11*'Cài đặt'!$D$12))</f>
        <v/>
      </c>
      <c r="AX23" s="22"/>
    </row>
    <row r="24" ht="21.0" customHeight="1">
      <c r="A24" s="19">
        <v>17.0</v>
      </c>
      <c r="B24" s="20"/>
      <c r="C24" s="21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4" t="str">
        <f>IF($C24="","",COUNTIF($E24:$AI24,'Cài đặt'!$B$16))</f>
        <v/>
      </c>
      <c r="AK24" s="24" t="str">
        <f>IF($C24="","",COUNTIF($E24:$AI24,'Cài đặt'!$B$17))</f>
        <v/>
      </c>
      <c r="AL24" s="24" t="str">
        <f>IF($C24="","",COUNTIF($E24:$AI24,'Cài đặt'!$B$18))</f>
        <v/>
      </c>
      <c r="AM24" s="24" t="str">
        <f>IF($C24="","",COUNTIF($E24:$AI24,'Cài đặt'!$B$19))</f>
        <v/>
      </c>
      <c r="AN24" s="24" t="str">
        <f>IF($C24="","",COUNTIF($E24:$AI24,'Cài đặt'!$B$20))</f>
        <v/>
      </c>
      <c r="AO24" s="24" t="str">
        <f>IF($C24="","",COUNTIF($E24:$AI24,'Cài đặt'!$B$21))</f>
        <v/>
      </c>
      <c r="AP24" s="24" t="str">
        <f>IF($C24="","",COUNTIF($E24:$AI24,'Cài đặt'!$B$22))</f>
        <v/>
      </c>
      <c r="AQ24" s="24" t="str">
        <f>IF($C24="","",COUNTIF($E24:$AI24,'Cài đặt'!$B$23))</f>
        <v/>
      </c>
      <c r="AR24" s="24" t="str">
        <f>IF($C24="","",COUNTIF($E24:$AI24,'Cài đặt'!$B$24))</f>
        <v/>
      </c>
      <c r="AS24" s="25" t="str">
        <f t="array" ref="AS24">IF($C24="","",SUMPRODUCT(COUNTIF($E24:$AI24,'Cài đặt'!$B$16:$B$25)*'Cài đặt'!$G$16:$G$25))</f>
        <v/>
      </c>
      <c r="AT24" s="26" t="str">
        <f>IF($C24="","",SUMPRODUCT(--($E$7:$AI$7="CN"),SUMIF('Cài đặt'!$B$16:$B$25,$E24:$AI24,'Cài đặt'!$G$16:$G$25)))</f>
        <v/>
      </c>
      <c r="AU24" s="26" t="str">
        <f>IF($C24="","",SUMPRODUCT(--($E$5:$AI$5="Lễ"),SUMIF('Cài đặt'!$B$16:$B$25,$E24:$AI24,'Cài đặt'!$G$16:$G$25)))</f>
        <v/>
      </c>
      <c r="AV24" s="27" t="str">
        <f t="array" ref="AV24">IF($C24="","",SUMPRODUCT(COUNTIF($E24:$AI24,'Cài đặt'!$B$16:$B$25)*'Cài đặt'!$H$16:$H$25)/'Cài đặt'!$D$12)</f>
        <v/>
      </c>
      <c r="AW24" s="25" t="str">
        <f>IF($C24="","",MAX(0,AS24-'Cài đặt'!$D$11*'Cài đặt'!$D$12))</f>
        <v/>
      </c>
      <c r="AX24" s="22"/>
    </row>
    <row r="25" ht="21.0" customHeight="1">
      <c r="A25" s="19">
        <v>18.0</v>
      </c>
      <c r="B25" s="20"/>
      <c r="C25" s="21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4" t="str">
        <f>IF($C25="","",COUNTIF($E25:$AI25,'Cài đặt'!$B$16))</f>
        <v/>
      </c>
      <c r="AK25" s="24" t="str">
        <f>IF($C25="","",COUNTIF($E25:$AI25,'Cài đặt'!$B$17))</f>
        <v/>
      </c>
      <c r="AL25" s="24" t="str">
        <f>IF($C25="","",COUNTIF($E25:$AI25,'Cài đặt'!$B$18))</f>
        <v/>
      </c>
      <c r="AM25" s="24" t="str">
        <f>IF($C25="","",COUNTIF($E25:$AI25,'Cài đặt'!$B$19))</f>
        <v/>
      </c>
      <c r="AN25" s="24" t="str">
        <f>IF($C25="","",COUNTIF($E25:$AI25,'Cài đặt'!$B$20))</f>
        <v/>
      </c>
      <c r="AO25" s="24" t="str">
        <f>IF($C25="","",COUNTIF($E25:$AI25,'Cài đặt'!$B$21))</f>
        <v/>
      </c>
      <c r="AP25" s="24" t="str">
        <f>IF($C25="","",COUNTIF($E25:$AI25,'Cài đặt'!$B$22))</f>
        <v/>
      </c>
      <c r="AQ25" s="24" t="str">
        <f>IF($C25="","",COUNTIF($E25:$AI25,'Cài đặt'!$B$23))</f>
        <v/>
      </c>
      <c r="AR25" s="24" t="str">
        <f>IF($C25="","",COUNTIF($E25:$AI25,'Cài đặt'!$B$24))</f>
        <v/>
      </c>
      <c r="AS25" s="25" t="str">
        <f t="array" ref="AS25">IF($C25="","",SUMPRODUCT(COUNTIF($E25:$AI25,'Cài đặt'!$B$16:$B$25)*'Cài đặt'!$G$16:$G$25))</f>
        <v/>
      </c>
      <c r="AT25" s="26" t="str">
        <f>IF($C25="","",SUMPRODUCT(--($E$7:$AI$7="CN"),SUMIF('Cài đặt'!$B$16:$B$25,$E25:$AI25,'Cài đặt'!$G$16:$G$25)))</f>
        <v/>
      </c>
      <c r="AU25" s="26" t="str">
        <f>IF($C25="","",SUMPRODUCT(--($E$5:$AI$5="Lễ"),SUMIF('Cài đặt'!$B$16:$B$25,$E25:$AI25,'Cài đặt'!$G$16:$G$25)))</f>
        <v/>
      </c>
      <c r="AV25" s="27" t="str">
        <f t="array" ref="AV25">IF($C25="","",SUMPRODUCT(COUNTIF($E25:$AI25,'Cài đặt'!$B$16:$B$25)*'Cài đặt'!$H$16:$H$25)/'Cài đặt'!$D$12)</f>
        <v/>
      </c>
      <c r="AW25" s="25" t="str">
        <f>IF($C25="","",MAX(0,AS25-'Cài đặt'!$D$11*'Cài đặt'!$D$12))</f>
        <v/>
      </c>
      <c r="AX25" s="22"/>
    </row>
    <row r="26" ht="21.0" customHeight="1">
      <c r="A26" s="19">
        <v>19.0</v>
      </c>
      <c r="B26" s="20"/>
      <c r="C26" s="21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4" t="str">
        <f>IF($C26="","",COUNTIF($E26:$AI26,'Cài đặt'!$B$16))</f>
        <v/>
      </c>
      <c r="AK26" s="24" t="str">
        <f>IF($C26="","",COUNTIF($E26:$AI26,'Cài đặt'!$B$17))</f>
        <v/>
      </c>
      <c r="AL26" s="24" t="str">
        <f>IF($C26="","",COUNTIF($E26:$AI26,'Cài đặt'!$B$18))</f>
        <v/>
      </c>
      <c r="AM26" s="24" t="str">
        <f>IF($C26="","",COUNTIF($E26:$AI26,'Cài đặt'!$B$19))</f>
        <v/>
      </c>
      <c r="AN26" s="24" t="str">
        <f>IF($C26="","",COUNTIF($E26:$AI26,'Cài đặt'!$B$20))</f>
        <v/>
      </c>
      <c r="AO26" s="24" t="str">
        <f>IF($C26="","",COUNTIF($E26:$AI26,'Cài đặt'!$B$21))</f>
        <v/>
      </c>
      <c r="AP26" s="24" t="str">
        <f>IF($C26="","",COUNTIF($E26:$AI26,'Cài đặt'!$B$22))</f>
        <v/>
      </c>
      <c r="AQ26" s="24" t="str">
        <f>IF($C26="","",COUNTIF($E26:$AI26,'Cài đặt'!$B$23))</f>
        <v/>
      </c>
      <c r="AR26" s="24" t="str">
        <f>IF($C26="","",COUNTIF($E26:$AI26,'Cài đặt'!$B$24))</f>
        <v/>
      </c>
      <c r="AS26" s="25" t="str">
        <f t="array" ref="AS26">IF($C26="","",SUMPRODUCT(COUNTIF($E26:$AI26,'Cài đặt'!$B$16:$B$25)*'Cài đặt'!$G$16:$G$25))</f>
        <v/>
      </c>
      <c r="AT26" s="26" t="str">
        <f>IF($C26="","",SUMPRODUCT(--($E$7:$AI$7="CN"),SUMIF('Cài đặt'!$B$16:$B$25,$E26:$AI26,'Cài đặt'!$G$16:$G$25)))</f>
        <v/>
      </c>
      <c r="AU26" s="26" t="str">
        <f>IF($C26="","",SUMPRODUCT(--($E$5:$AI$5="Lễ"),SUMIF('Cài đặt'!$B$16:$B$25,$E26:$AI26,'Cài đặt'!$G$16:$G$25)))</f>
        <v/>
      </c>
      <c r="AV26" s="27" t="str">
        <f t="array" ref="AV26">IF($C26="","",SUMPRODUCT(COUNTIF($E26:$AI26,'Cài đặt'!$B$16:$B$25)*'Cài đặt'!$H$16:$H$25)/'Cài đặt'!$D$12)</f>
        <v/>
      </c>
      <c r="AW26" s="25" t="str">
        <f>IF($C26="","",MAX(0,AS26-'Cài đặt'!$D$11*'Cài đặt'!$D$12))</f>
        <v/>
      </c>
      <c r="AX26" s="22"/>
    </row>
    <row r="27" ht="21.0" customHeight="1">
      <c r="A27" s="19">
        <v>20.0</v>
      </c>
      <c r="B27" s="20"/>
      <c r="C27" s="21"/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4" t="str">
        <f>IF($C27="","",COUNTIF($E27:$AI27,'Cài đặt'!$B$16))</f>
        <v/>
      </c>
      <c r="AK27" s="24" t="str">
        <f>IF($C27="","",COUNTIF($E27:$AI27,'Cài đặt'!$B$17))</f>
        <v/>
      </c>
      <c r="AL27" s="24" t="str">
        <f>IF($C27="","",COUNTIF($E27:$AI27,'Cài đặt'!$B$18))</f>
        <v/>
      </c>
      <c r="AM27" s="24" t="str">
        <f>IF($C27="","",COUNTIF($E27:$AI27,'Cài đặt'!$B$19))</f>
        <v/>
      </c>
      <c r="AN27" s="24" t="str">
        <f>IF($C27="","",COUNTIF($E27:$AI27,'Cài đặt'!$B$20))</f>
        <v/>
      </c>
      <c r="AO27" s="24" t="str">
        <f>IF($C27="","",COUNTIF($E27:$AI27,'Cài đặt'!$B$21))</f>
        <v/>
      </c>
      <c r="AP27" s="24" t="str">
        <f>IF($C27="","",COUNTIF($E27:$AI27,'Cài đặt'!$B$22))</f>
        <v/>
      </c>
      <c r="AQ27" s="24" t="str">
        <f>IF($C27="","",COUNTIF($E27:$AI27,'Cài đặt'!$B$23))</f>
        <v/>
      </c>
      <c r="AR27" s="24" t="str">
        <f>IF($C27="","",COUNTIF($E27:$AI27,'Cài đặt'!$B$24))</f>
        <v/>
      </c>
      <c r="AS27" s="25" t="str">
        <f t="array" ref="AS27">IF($C27="","",SUMPRODUCT(COUNTIF($E27:$AI27,'Cài đặt'!$B$16:$B$25)*'Cài đặt'!$G$16:$G$25))</f>
        <v/>
      </c>
      <c r="AT27" s="26" t="str">
        <f>IF($C27="","",SUMPRODUCT(--($E$7:$AI$7="CN"),SUMIF('Cài đặt'!$B$16:$B$25,$E27:$AI27,'Cài đặt'!$G$16:$G$25)))</f>
        <v/>
      </c>
      <c r="AU27" s="26" t="str">
        <f>IF($C27="","",SUMPRODUCT(--($E$5:$AI$5="Lễ"),SUMIF('Cài đặt'!$B$16:$B$25,$E27:$AI27,'Cài đặt'!$G$16:$G$25)))</f>
        <v/>
      </c>
      <c r="AV27" s="27" t="str">
        <f t="array" ref="AV27">IF($C27="","",SUMPRODUCT(COUNTIF($E27:$AI27,'Cài đặt'!$B$16:$B$25)*'Cài đặt'!$H$16:$H$25)/'Cài đặt'!$D$12)</f>
        <v/>
      </c>
      <c r="AW27" s="25" t="str">
        <f>IF($C27="","",MAX(0,AS27-'Cài đặt'!$D$11*'Cài đặt'!$D$12))</f>
        <v/>
      </c>
      <c r="AX27" s="22"/>
    </row>
    <row r="28" ht="21.0" customHeight="1">
      <c r="A28" s="19">
        <v>21.0</v>
      </c>
      <c r="B28" s="20"/>
      <c r="C28" s="21"/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4" t="str">
        <f>IF($C28="","",COUNTIF($E28:$AI28,'Cài đặt'!$B$16))</f>
        <v/>
      </c>
      <c r="AK28" s="24" t="str">
        <f>IF($C28="","",COUNTIF($E28:$AI28,'Cài đặt'!$B$17))</f>
        <v/>
      </c>
      <c r="AL28" s="24" t="str">
        <f>IF($C28="","",COUNTIF($E28:$AI28,'Cài đặt'!$B$18))</f>
        <v/>
      </c>
      <c r="AM28" s="24" t="str">
        <f>IF($C28="","",COUNTIF($E28:$AI28,'Cài đặt'!$B$19))</f>
        <v/>
      </c>
      <c r="AN28" s="24" t="str">
        <f>IF($C28="","",COUNTIF($E28:$AI28,'Cài đặt'!$B$20))</f>
        <v/>
      </c>
      <c r="AO28" s="24" t="str">
        <f>IF($C28="","",COUNTIF($E28:$AI28,'Cài đặt'!$B$21))</f>
        <v/>
      </c>
      <c r="AP28" s="24" t="str">
        <f>IF($C28="","",COUNTIF($E28:$AI28,'Cài đặt'!$B$22))</f>
        <v/>
      </c>
      <c r="AQ28" s="24" t="str">
        <f>IF($C28="","",COUNTIF($E28:$AI28,'Cài đặt'!$B$23))</f>
        <v/>
      </c>
      <c r="AR28" s="24" t="str">
        <f>IF($C28="","",COUNTIF($E28:$AI28,'Cài đặt'!$B$24))</f>
        <v/>
      </c>
      <c r="AS28" s="25" t="str">
        <f t="array" ref="AS28">IF($C28="","",SUMPRODUCT(COUNTIF($E28:$AI28,'Cài đặt'!$B$16:$B$25)*'Cài đặt'!$G$16:$G$25))</f>
        <v/>
      </c>
      <c r="AT28" s="26" t="str">
        <f>IF($C28="","",SUMPRODUCT(--($E$7:$AI$7="CN"),SUMIF('Cài đặt'!$B$16:$B$25,$E28:$AI28,'Cài đặt'!$G$16:$G$25)))</f>
        <v/>
      </c>
      <c r="AU28" s="26" t="str">
        <f>IF($C28="","",SUMPRODUCT(--($E$5:$AI$5="Lễ"),SUMIF('Cài đặt'!$B$16:$B$25,$E28:$AI28,'Cài đặt'!$G$16:$G$25)))</f>
        <v/>
      </c>
      <c r="AV28" s="27" t="str">
        <f t="array" ref="AV28">IF($C28="","",SUMPRODUCT(COUNTIF($E28:$AI28,'Cài đặt'!$B$16:$B$25)*'Cài đặt'!$H$16:$H$25)/'Cài đặt'!$D$12)</f>
        <v/>
      </c>
      <c r="AW28" s="25" t="str">
        <f>IF($C28="","",MAX(0,AS28-'Cài đặt'!$D$11*'Cài đặt'!$D$12))</f>
        <v/>
      </c>
      <c r="AX28" s="22"/>
    </row>
    <row r="29" ht="21.0" customHeight="1">
      <c r="A29" s="19">
        <v>22.0</v>
      </c>
      <c r="B29" s="20"/>
      <c r="C29" s="21"/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4" t="str">
        <f>IF($C29="","",COUNTIF($E29:$AI29,'Cài đặt'!$B$16))</f>
        <v/>
      </c>
      <c r="AK29" s="24" t="str">
        <f>IF($C29="","",COUNTIF($E29:$AI29,'Cài đặt'!$B$17))</f>
        <v/>
      </c>
      <c r="AL29" s="24" t="str">
        <f>IF($C29="","",COUNTIF($E29:$AI29,'Cài đặt'!$B$18))</f>
        <v/>
      </c>
      <c r="AM29" s="24" t="str">
        <f>IF($C29="","",COUNTIF($E29:$AI29,'Cài đặt'!$B$19))</f>
        <v/>
      </c>
      <c r="AN29" s="24" t="str">
        <f>IF($C29="","",COUNTIF($E29:$AI29,'Cài đặt'!$B$20))</f>
        <v/>
      </c>
      <c r="AO29" s="24" t="str">
        <f>IF($C29="","",COUNTIF($E29:$AI29,'Cài đặt'!$B$21))</f>
        <v/>
      </c>
      <c r="AP29" s="24" t="str">
        <f>IF($C29="","",COUNTIF($E29:$AI29,'Cài đặt'!$B$22))</f>
        <v/>
      </c>
      <c r="AQ29" s="24" t="str">
        <f>IF($C29="","",COUNTIF($E29:$AI29,'Cài đặt'!$B$23))</f>
        <v/>
      </c>
      <c r="AR29" s="24" t="str">
        <f>IF($C29="","",COUNTIF($E29:$AI29,'Cài đặt'!$B$24))</f>
        <v/>
      </c>
      <c r="AS29" s="25" t="str">
        <f t="array" ref="AS29">IF($C29="","",SUMPRODUCT(COUNTIF($E29:$AI29,'Cài đặt'!$B$16:$B$25)*'Cài đặt'!$G$16:$G$25))</f>
        <v/>
      </c>
      <c r="AT29" s="26" t="str">
        <f>IF($C29="","",SUMPRODUCT(--($E$7:$AI$7="CN"),SUMIF('Cài đặt'!$B$16:$B$25,$E29:$AI29,'Cài đặt'!$G$16:$G$25)))</f>
        <v/>
      </c>
      <c r="AU29" s="26" t="str">
        <f>IF($C29="","",SUMPRODUCT(--($E$5:$AI$5="Lễ"),SUMIF('Cài đặt'!$B$16:$B$25,$E29:$AI29,'Cài đặt'!$G$16:$G$25)))</f>
        <v/>
      </c>
      <c r="AV29" s="27" t="str">
        <f t="array" ref="AV29">IF($C29="","",SUMPRODUCT(COUNTIF($E29:$AI29,'Cài đặt'!$B$16:$B$25)*'Cài đặt'!$H$16:$H$25)/'Cài đặt'!$D$12)</f>
        <v/>
      </c>
      <c r="AW29" s="25" t="str">
        <f>IF($C29="","",MAX(0,AS29-'Cài đặt'!$D$11*'Cài đặt'!$D$12))</f>
        <v/>
      </c>
      <c r="AX29" s="22"/>
    </row>
    <row r="30" ht="21.0" customHeight="1">
      <c r="A30" s="19">
        <v>23.0</v>
      </c>
      <c r="B30" s="20"/>
      <c r="C30" s="21"/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4" t="str">
        <f>IF($C30="","",COUNTIF($E30:$AI30,'Cài đặt'!$B$16))</f>
        <v/>
      </c>
      <c r="AK30" s="24" t="str">
        <f>IF($C30="","",COUNTIF($E30:$AI30,'Cài đặt'!$B$17))</f>
        <v/>
      </c>
      <c r="AL30" s="24" t="str">
        <f>IF($C30="","",COUNTIF($E30:$AI30,'Cài đặt'!$B$18))</f>
        <v/>
      </c>
      <c r="AM30" s="24" t="str">
        <f>IF($C30="","",COUNTIF($E30:$AI30,'Cài đặt'!$B$19))</f>
        <v/>
      </c>
      <c r="AN30" s="24" t="str">
        <f>IF($C30="","",COUNTIF($E30:$AI30,'Cài đặt'!$B$20))</f>
        <v/>
      </c>
      <c r="AO30" s="24" t="str">
        <f>IF($C30="","",COUNTIF($E30:$AI30,'Cài đặt'!$B$21))</f>
        <v/>
      </c>
      <c r="AP30" s="24" t="str">
        <f>IF($C30="","",COUNTIF($E30:$AI30,'Cài đặt'!$B$22))</f>
        <v/>
      </c>
      <c r="AQ30" s="24" t="str">
        <f>IF($C30="","",COUNTIF($E30:$AI30,'Cài đặt'!$B$23))</f>
        <v/>
      </c>
      <c r="AR30" s="24" t="str">
        <f>IF($C30="","",COUNTIF($E30:$AI30,'Cài đặt'!$B$24))</f>
        <v/>
      </c>
      <c r="AS30" s="25" t="str">
        <f t="array" ref="AS30">IF($C30="","",SUMPRODUCT(COUNTIF($E30:$AI30,'Cài đặt'!$B$16:$B$25)*'Cài đặt'!$G$16:$G$25))</f>
        <v/>
      </c>
      <c r="AT30" s="26" t="str">
        <f>IF($C30="","",SUMPRODUCT(--($E$7:$AI$7="CN"),SUMIF('Cài đặt'!$B$16:$B$25,$E30:$AI30,'Cài đặt'!$G$16:$G$25)))</f>
        <v/>
      </c>
      <c r="AU30" s="26" t="str">
        <f>IF($C30="","",SUMPRODUCT(--($E$5:$AI$5="Lễ"),SUMIF('Cài đặt'!$B$16:$B$25,$E30:$AI30,'Cài đặt'!$G$16:$G$25)))</f>
        <v/>
      </c>
      <c r="AV30" s="27" t="str">
        <f t="array" ref="AV30">IF($C30="","",SUMPRODUCT(COUNTIF($E30:$AI30,'Cài đặt'!$B$16:$B$25)*'Cài đặt'!$H$16:$H$25)/'Cài đặt'!$D$12)</f>
        <v/>
      </c>
      <c r="AW30" s="25" t="str">
        <f>IF($C30="","",MAX(0,AS30-'Cài đặt'!$D$11*'Cài đặt'!$D$12))</f>
        <v/>
      </c>
      <c r="AX30" s="22"/>
    </row>
    <row r="31" ht="21.0" customHeight="1">
      <c r="A31" s="19">
        <v>24.0</v>
      </c>
      <c r="B31" s="20"/>
      <c r="C31" s="21"/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4" t="str">
        <f>IF($C31="","",COUNTIF($E31:$AI31,'Cài đặt'!$B$16))</f>
        <v/>
      </c>
      <c r="AK31" s="24" t="str">
        <f>IF($C31="","",COUNTIF($E31:$AI31,'Cài đặt'!$B$17))</f>
        <v/>
      </c>
      <c r="AL31" s="24" t="str">
        <f>IF($C31="","",COUNTIF($E31:$AI31,'Cài đặt'!$B$18))</f>
        <v/>
      </c>
      <c r="AM31" s="24" t="str">
        <f>IF($C31="","",COUNTIF($E31:$AI31,'Cài đặt'!$B$19))</f>
        <v/>
      </c>
      <c r="AN31" s="24" t="str">
        <f>IF($C31="","",COUNTIF($E31:$AI31,'Cài đặt'!$B$20))</f>
        <v/>
      </c>
      <c r="AO31" s="24" t="str">
        <f>IF($C31="","",COUNTIF($E31:$AI31,'Cài đặt'!$B$21))</f>
        <v/>
      </c>
      <c r="AP31" s="24" t="str">
        <f>IF($C31="","",COUNTIF($E31:$AI31,'Cài đặt'!$B$22))</f>
        <v/>
      </c>
      <c r="AQ31" s="24" t="str">
        <f>IF($C31="","",COUNTIF($E31:$AI31,'Cài đặt'!$B$23))</f>
        <v/>
      </c>
      <c r="AR31" s="24" t="str">
        <f>IF($C31="","",COUNTIF($E31:$AI31,'Cài đặt'!$B$24))</f>
        <v/>
      </c>
      <c r="AS31" s="25" t="str">
        <f t="array" ref="AS31">IF($C31="","",SUMPRODUCT(COUNTIF($E31:$AI31,'Cài đặt'!$B$16:$B$25)*'Cài đặt'!$G$16:$G$25))</f>
        <v/>
      </c>
      <c r="AT31" s="26" t="str">
        <f>IF($C31="","",SUMPRODUCT(--($E$7:$AI$7="CN"),SUMIF('Cài đặt'!$B$16:$B$25,$E31:$AI31,'Cài đặt'!$G$16:$G$25)))</f>
        <v/>
      </c>
      <c r="AU31" s="26" t="str">
        <f>IF($C31="","",SUMPRODUCT(--($E$5:$AI$5="Lễ"),SUMIF('Cài đặt'!$B$16:$B$25,$E31:$AI31,'Cài đặt'!$G$16:$G$25)))</f>
        <v/>
      </c>
      <c r="AV31" s="27" t="str">
        <f t="array" ref="AV31">IF($C31="","",SUMPRODUCT(COUNTIF($E31:$AI31,'Cài đặt'!$B$16:$B$25)*'Cài đặt'!$H$16:$H$25)/'Cài đặt'!$D$12)</f>
        <v/>
      </c>
      <c r="AW31" s="25" t="str">
        <f>IF($C31="","",MAX(0,AS31-'Cài đặt'!$D$11*'Cài đặt'!$D$12))</f>
        <v/>
      </c>
      <c r="AX31" s="22"/>
    </row>
    <row r="32" ht="21.0" customHeight="1">
      <c r="A32" s="19">
        <v>25.0</v>
      </c>
      <c r="B32" s="20"/>
      <c r="C32" s="21"/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4" t="str">
        <f>IF($C32="","",COUNTIF($E32:$AI32,'Cài đặt'!$B$16))</f>
        <v/>
      </c>
      <c r="AK32" s="24" t="str">
        <f>IF($C32="","",COUNTIF($E32:$AI32,'Cài đặt'!$B$17))</f>
        <v/>
      </c>
      <c r="AL32" s="24" t="str">
        <f>IF($C32="","",COUNTIF($E32:$AI32,'Cài đặt'!$B$18))</f>
        <v/>
      </c>
      <c r="AM32" s="24" t="str">
        <f>IF($C32="","",COUNTIF($E32:$AI32,'Cài đặt'!$B$19))</f>
        <v/>
      </c>
      <c r="AN32" s="24" t="str">
        <f>IF($C32="","",COUNTIF($E32:$AI32,'Cài đặt'!$B$20))</f>
        <v/>
      </c>
      <c r="AO32" s="24" t="str">
        <f>IF($C32="","",COUNTIF($E32:$AI32,'Cài đặt'!$B$21))</f>
        <v/>
      </c>
      <c r="AP32" s="24" t="str">
        <f>IF($C32="","",COUNTIF($E32:$AI32,'Cài đặt'!$B$22))</f>
        <v/>
      </c>
      <c r="AQ32" s="24" t="str">
        <f>IF($C32="","",COUNTIF($E32:$AI32,'Cài đặt'!$B$23))</f>
        <v/>
      </c>
      <c r="AR32" s="24" t="str">
        <f>IF($C32="","",COUNTIF($E32:$AI32,'Cài đặt'!$B$24))</f>
        <v/>
      </c>
      <c r="AS32" s="25" t="str">
        <f t="array" ref="AS32">IF($C32="","",SUMPRODUCT(COUNTIF($E32:$AI32,'Cài đặt'!$B$16:$B$25)*'Cài đặt'!$G$16:$G$25))</f>
        <v/>
      </c>
      <c r="AT32" s="26" t="str">
        <f>IF($C32="","",SUMPRODUCT(--($E$7:$AI$7="CN"),SUMIF('Cài đặt'!$B$16:$B$25,$E32:$AI32,'Cài đặt'!$G$16:$G$25)))</f>
        <v/>
      </c>
      <c r="AU32" s="26" t="str">
        <f>IF($C32="","",SUMPRODUCT(--($E$5:$AI$5="Lễ"),SUMIF('Cài đặt'!$B$16:$B$25,$E32:$AI32,'Cài đặt'!$G$16:$G$25)))</f>
        <v/>
      </c>
      <c r="AV32" s="27" t="str">
        <f t="array" ref="AV32">IF($C32="","",SUMPRODUCT(COUNTIF($E32:$AI32,'Cài đặt'!$B$16:$B$25)*'Cài đặt'!$H$16:$H$25)/'Cài đặt'!$D$12)</f>
        <v/>
      </c>
      <c r="AW32" s="25" t="str">
        <f>IF($C32="","",MAX(0,AS32-'Cài đặt'!$D$11*'Cài đặt'!$D$12))</f>
        <v/>
      </c>
      <c r="AX32" s="22"/>
    </row>
    <row r="33" ht="21.0" customHeight="1">
      <c r="A33" s="19">
        <v>26.0</v>
      </c>
      <c r="B33" s="20"/>
      <c r="C33" s="21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4" t="str">
        <f>IF($C33="","",COUNTIF($E33:$AI33,'Cài đặt'!$B$16))</f>
        <v/>
      </c>
      <c r="AK33" s="24" t="str">
        <f>IF($C33="","",COUNTIF($E33:$AI33,'Cài đặt'!$B$17))</f>
        <v/>
      </c>
      <c r="AL33" s="24" t="str">
        <f>IF($C33="","",COUNTIF($E33:$AI33,'Cài đặt'!$B$18))</f>
        <v/>
      </c>
      <c r="AM33" s="24" t="str">
        <f>IF($C33="","",COUNTIF($E33:$AI33,'Cài đặt'!$B$19))</f>
        <v/>
      </c>
      <c r="AN33" s="24" t="str">
        <f>IF($C33="","",COUNTIF($E33:$AI33,'Cài đặt'!$B$20))</f>
        <v/>
      </c>
      <c r="AO33" s="24" t="str">
        <f>IF($C33="","",COUNTIF($E33:$AI33,'Cài đặt'!$B$21))</f>
        <v/>
      </c>
      <c r="AP33" s="24" t="str">
        <f>IF($C33="","",COUNTIF($E33:$AI33,'Cài đặt'!$B$22))</f>
        <v/>
      </c>
      <c r="AQ33" s="24" t="str">
        <f>IF($C33="","",COUNTIF($E33:$AI33,'Cài đặt'!$B$23))</f>
        <v/>
      </c>
      <c r="AR33" s="24" t="str">
        <f>IF($C33="","",COUNTIF($E33:$AI33,'Cài đặt'!$B$24))</f>
        <v/>
      </c>
      <c r="AS33" s="25" t="str">
        <f t="array" ref="AS33">IF($C33="","",SUMPRODUCT(COUNTIF($E33:$AI33,'Cài đặt'!$B$16:$B$25)*'Cài đặt'!$G$16:$G$25))</f>
        <v/>
      </c>
      <c r="AT33" s="26" t="str">
        <f>IF($C33="","",SUMPRODUCT(--($E$7:$AI$7="CN"),SUMIF('Cài đặt'!$B$16:$B$25,$E33:$AI33,'Cài đặt'!$G$16:$G$25)))</f>
        <v/>
      </c>
      <c r="AU33" s="26" t="str">
        <f>IF($C33="","",SUMPRODUCT(--($E$5:$AI$5="Lễ"),SUMIF('Cài đặt'!$B$16:$B$25,$E33:$AI33,'Cài đặt'!$G$16:$G$25)))</f>
        <v/>
      </c>
      <c r="AV33" s="27" t="str">
        <f t="array" ref="AV33">IF($C33="","",SUMPRODUCT(COUNTIF($E33:$AI33,'Cài đặt'!$B$16:$B$25)*'Cài đặt'!$H$16:$H$25)/'Cài đặt'!$D$12)</f>
        <v/>
      </c>
      <c r="AW33" s="25" t="str">
        <f>IF($C33="","",MAX(0,AS33-'Cài đặt'!$D$11*'Cài đặt'!$D$12))</f>
        <v/>
      </c>
      <c r="AX33" s="22"/>
    </row>
    <row r="34" ht="21.0" customHeight="1">
      <c r="A34" s="19">
        <v>27.0</v>
      </c>
      <c r="B34" s="20"/>
      <c r="C34" s="21"/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4" t="str">
        <f>IF($C34="","",COUNTIF($E34:$AI34,'Cài đặt'!$B$16))</f>
        <v/>
      </c>
      <c r="AK34" s="24" t="str">
        <f>IF($C34="","",COUNTIF($E34:$AI34,'Cài đặt'!$B$17))</f>
        <v/>
      </c>
      <c r="AL34" s="24" t="str">
        <f>IF($C34="","",COUNTIF($E34:$AI34,'Cài đặt'!$B$18))</f>
        <v/>
      </c>
      <c r="AM34" s="24" t="str">
        <f>IF($C34="","",COUNTIF($E34:$AI34,'Cài đặt'!$B$19))</f>
        <v/>
      </c>
      <c r="AN34" s="24" t="str">
        <f>IF($C34="","",COUNTIF($E34:$AI34,'Cài đặt'!$B$20))</f>
        <v/>
      </c>
      <c r="AO34" s="24" t="str">
        <f>IF($C34="","",COUNTIF($E34:$AI34,'Cài đặt'!$B$21))</f>
        <v/>
      </c>
      <c r="AP34" s="24" t="str">
        <f>IF($C34="","",COUNTIF($E34:$AI34,'Cài đặt'!$B$22))</f>
        <v/>
      </c>
      <c r="AQ34" s="24" t="str">
        <f>IF($C34="","",COUNTIF($E34:$AI34,'Cài đặt'!$B$23))</f>
        <v/>
      </c>
      <c r="AR34" s="24" t="str">
        <f>IF($C34="","",COUNTIF($E34:$AI34,'Cài đặt'!$B$24))</f>
        <v/>
      </c>
      <c r="AS34" s="25" t="str">
        <f t="array" ref="AS34">IF($C34="","",SUMPRODUCT(COUNTIF($E34:$AI34,'Cài đặt'!$B$16:$B$25)*'Cài đặt'!$G$16:$G$25))</f>
        <v/>
      </c>
      <c r="AT34" s="26" t="str">
        <f>IF($C34="","",SUMPRODUCT(--($E$7:$AI$7="CN"),SUMIF('Cài đặt'!$B$16:$B$25,$E34:$AI34,'Cài đặt'!$G$16:$G$25)))</f>
        <v/>
      </c>
      <c r="AU34" s="26" t="str">
        <f>IF($C34="","",SUMPRODUCT(--($E$5:$AI$5="Lễ"),SUMIF('Cài đặt'!$B$16:$B$25,$E34:$AI34,'Cài đặt'!$G$16:$G$25)))</f>
        <v/>
      </c>
      <c r="AV34" s="27" t="str">
        <f t="array" ref="AV34">IF($C34="","",SUMPRODUCT(COUNTIF($E34:$AI34,'Cài đặt'!$B$16:$B$25)*'Cài đặt'!$H$16:$H$25)/'Cài đặt'!$D$12)</f>
        <v/>
      </c>
      <c r="AW34" s="25" t="str">
        <f>IF($C34="","",MAX(0,AS34-'Cài đặt'!$D$11*'Cài đặt'!$D$12))</f>
        <v/>
      </c>
      <c r="AX34" s="22"/>
    </row>
    <row r="35" ht="21.0" customHeight="1">
      <c r="A35" s="19">
        <v>28.0</v>
      </c>
      <c r="B35" s="20"/>
      <c r="C35" s="21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4" t="str">
        <f>IF($C35="","",COUNTIF($E35:$AI35,'Cài đặt'!$B$16))</f>
        <v/>
      </c>
      <c r="AK35" s="24" t="str">
        <f>IF($C35="","",COUNTIF($E35:$AI35,'Cài đặt'!$B$17))</f>
        <v/>
      </c>
      <c r="AL35" s="24" t="str">
        <f>IF($C35="","",COUNTIF($E35:$AI35,'Cài đặt'!$B$18))</f>
        <v/>
      </c>
      <c r="AM35" s="24" t="str">
        <f>IF($C35="","",COUNTIF($E35:$AI35,'Cài đặt'!$B$19))</f>
        <v/>
      </c>
      <c r="AN35" s="24" t="str">
        <f>IF($C35="","",COUNTIF($E35:$AI35,'Cài đặt'!$B$20))</f>
        <v/>
      </c>
      <c r="AO35" s="24" t="str">
        <f>IF($C35="","",COUNTIF($E35:$AI35,'Cài đặt'!$B$21))</f>
        <v/>
      </c>
      <c r="AP35" s="24" t="str">
        <f>IF($C35="","",COUNTIF($E35:$AI35,'Cài đặt'!$B$22))</f>
        <v/>
      </c>
      <c r="AQ35" s="24" t="str">
        <f>IF($C35="","",COUNTIF($E35:$AI35,'Cài đặt'!$B$23))</f>
        <v/>
      </c>
      <c r="AR35" s="24" t="str">
        <f>IF($C35="","",COUNTIF($E35:$AI35,'Cài đặt'!$B$24))</f>
        <v/>
      </c>
      <c r="AS35" s="25" t="str">
        <f t="array" ref="AS35">IF($C35="","",SUMPRODUCT(COUNTIF($E35:$AI35,'Cài đặt'!$B$16:$B$25)*'Cài đặt'!$G$16:$G$25))</f>
        <v/>
      </c>
      <c r="AT35" s="26" t="str">
        <f>IF($C35="","",SUMPRODUCT(--($E$7:$AI$7="CN"),SUMIF('Cài đặt'!$B$16:$B$25,$E35:$AI35,'Cài đặt'!$G$16:$G$25)))</f>
        <v/>
      </c>
      <c r="AU35" s="26" t="str">
        <f>IF($C35="","",SUMPRODUCT(--($E$5:$AI$5="Lễ"),SUMIF('Cài đặt'!$B$16:$B$25,$E35:$AI35,'Cài đặt'!$G$16:$G$25)))</f>
        <v/>
      </c>
      <c r="AV35" s="27" t="str">
        <f t="array" ref="AV35">IF($C35="","",SUMPRODUCT(COUNTIF($E35:$AI35,'Cài đặt'!$B$16:$B$25)*'Cài đặt'!$H$16:$H$25)/'Cài đặt'!$D$12)</f>
        <v/>
      </c>
      <c r="AW35" s="25" t="str">
        <f>IF($C35="","",MAX(0,AS35-'Cài đặt'!$D$11*'Cài đặt'!$D$12))</f>
        <v/>
      </c>
      <c r="AX35" s="22"/>
    </row>
    <row r="36" ht="21.0" customHeight="1">
      <c r="A36" s="19">
        <v>29.0</v>
      </c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4" t="str">
        <f>IF($C36="","",COUNTIF($E36:$AI36,'Cài đặt'!$B$16))</f>
        <v/>
      </c>
      <c r="AK36" s="24" t="str">
        <f>IF($C36="","",COUNTIF($E36:$AI36,'Cài đặt'!$B$17))</f>
        <v/>
      </c>
      <c r="AL36" s="24" t="str">
        <f>IF($C36="","",COUNTIF($E36:$AI36,'Cài đặt'!$B$18))</f>
        <v/>
      </c>
      <c r="AM36" s="24" t="str">
        <f>IF($C36="","",COUNTIF($E36:$AI36,'Cài đặt'!$B$19))</f>
        <v/>
      </c>
      <c r="AN36" s="24" t="str">
        <f>IF($C36="","",COUNTIF($E36:$AI36,'Cài đặt'!$B$20))</f>
        <v/>
      </c>
      <c r="AO36" s="24" t="str">
        <f>IF($C36="","",COUNTIF($E36:$AI36,'Cài đặt'!$B$21))</f>
        <v/>
      </c>
      <c r="AP36" s="24" t="str">
        <f>IF($C36="","",COUNTIF($E36:$AI36,'Cài đặt'!$B$22))</f>
        <v/>
      </c>
      <c r="AQ36" s="24" t="str">
        <f>IF($C36="","",COUNTIF($E36:$AI36,'Cài đặt'!$B$23))</f>
        <v/>
      </c>
      <c r="AR36" s="24" t="str">
        <f>IF($C36="","",COUNTIF($E36:$AI36,'Cài đặt'!$B$24))</f>
        <v/>
      </c>
      <c r="AS36" s="25" t="str">
        <f t="array" ref="AS36">IF($C36="","",SUMPRODUCT(COUNTIF($E36:$AI36,'Cài đặt'!$B$16:$B$25)*'Cài đặt'!$G$16:$G$25))</f>
        <v/>
      </c>
      <c r="AT36" s="26" t="str">
        <f>IF($C36="","",SUMPRODUCT(--($E$7:$AI$7="CN"),SUMIF('Cài đặt'!$B$16:$B$25,$E36:$AI36,'Cài đặt'!$G$16:$G$25)))</f>
        <v/>
      </c>
      <c r="AU36" s="26" t="str">
        <f>IF($C36="","",SUMPRODUCT(--($E$5:$AI$5="Lễ"),SUMIF('Cài đặt'!$B$16:$B$25,$E36:$AI36,'Cài đặt'!$G$16:$G$25)))</f>
        <v/>
      </c>
      <c r="AV36" s="27" t="str">
        <f t="array" ref="AV36">IF($C36="","",SUMPRODUCT(COUNTIF($E36:$AI36,'Cài đặt'!$B$16:$B$25)*'Cài đặt'!$H$16:$H$25)/'Cài đặt'!$D$12)</f>
        <v/>
      </c>
      <c r="AW36" s="25" t="str">
        <f>IF($C36="","",MAX(0,AS36-'Cài đặt'!$D$11*'Cài đặt'!$D$12))</f>
        <v/>
      </c>
      <c r="AX36" s="22"/>
    </row>
    <row r="37" ht="21.0" customHeight="1">
      <c r="A37" s="19">
        <v>30.0</v>
      </c>
      <c r="B37" s="20"/>
      <c r="C37" s="21"/>
      <c r="D37" s="22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4" t="str">
        <f>IF($C37="","",COUNTIF($E37:$AI37,'Cài đặt'!$B$16))</f>
        <v/>
      </c>
      <c r="AK37" s="24" t="str">
        <f>IF($C37="","",COUNTIF($E37:$AI37,'Cài đặt'!$B$17))</f>
        <v/>
      </c>
      <c r="AL37" s="24" t="str">
        <f>IF($C37="","",COUNTIF($E37:$AI37,'Cài đặt'!$B$18))</f>
        <v/>
      </c>
      <c r="AM37" s="24" t="str">
        <f>IF($C37="","",COUNTIF($E37:$AI37,'Cài đặt'!$B$19))</f>
        <v/>
      </c>
      <c r="AN37" s="24" t="str">
        <f>IF($C37="","",COUNTIF($E37:$AI37,'Cài đặt'!$B$20))</f>
        <v/>
      </c>
      <c r="AO37" s="24" t="str">
        <f>IF($C37="","",COUNTIF($E37:$AI37,'Cài đặt'!$B$21))</f>
        <v/>
      </c>
      <c r="AP37" s="24" t="str">
        <f>IF($C37="","",COUNTIF($E37:$AI37,'Cài đặt'!$B$22))</f>
        <v/>
      </c>
      <c r="AQ37" s="24" t="str">
        <f>IF($C37="","",COUNTIF($E37:$AI37,'Cài đặt'!$B$23))</f>
        <v/>
      </c>
      <c r="AR37" s="24" t="str">
        <f>IF($C37="","",COUNTIF($E37:$AI37,'Cài đặt'!$B$24))</f>
        <v/>
      </c>
      <c r="AS37" s="25" t="str">
        <f t="array" ref="AS37">IF($C37="","",SUMPRODUCT(COUNTIF($E37:$AI37,'Cài đặt'!$B$16:$B$25)*'Cài đặt'!$G$16:$G$25))</f>
        <v/>
      </c>
      <c r="AT37" s="26" t="str">
        <f>IF($C37="","",SUMPRODUCT(--($E$7:$AI$7="CN"),SUMIF('Cài đặt'!$B$16:$B$25,$E37:$AI37,'Cài đặt'!$G$16:$G$25)))</f>
        <v/>
      </c>
      <c r="AU37" s="26" t="str">
        <f>IF($C37="","",SUMPRODUCT(--($E$5:$AI$5="Lễ"),SUMIF('Cài đặt'!$B$16:$B$25,$E37:$AI37,'Cài đặt'!$G$16:$G$25)))</f>
        <v/>
      </c>
      <c r="AV37" s="27" t="str">
        <f t="array" ref="AV37">IF($C37="","",SUMPRODUCT(COUNTIF($E37:$AI37,'Cài đặt'!$B$16:$B$25)*'Cài đặt'!$H$16:$H$25)/'Cài đặt'!$D$12)</f>
        <v/>
      </c>
      <c r="AW37" s="25" t="str">
        <f>IF($C37="","",MAX(0,AS37-'Cài đặt'!$D$11*'Cài đặt'!$D$12))</f>
        <v/>
      </c>
      <c r="AX37" s="22"/>
    </row>
    <row r="38" ht="21.75" customHeight="1">
      <c r="A38" s="28" t="s">
        <v>53</v>
      </c>
      <c r="B38" s="9"/>
      <c r="C38" s="9"/>
      <c r="D38" s="10"/>
      <c r="E38" s="2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0"/>
      <c r="AJ38" s="30">
        <f t="shared" ref="AJ38:AW38" si="1">SUM(AJ8:AJ37)</f>
        <v>258</v>
      </c>
      <c r="AK38" s="30">
        <f t="shared" si="1"/>
        <v>6</v>
      </c>
      <c r="AL38" s="30">
        <f t="shared" si="1"/>
        <v>0</v>
      </c>
      <c r="AM38" s="30">
        <f t="shared" si="1"/>
        <v>21</v>
      </c>
      <c r="AN38" s="30">
        <f t="shared" si="1"/>
        <v>12</v>
      </c>
      <c r="AO38" s="30">
        <f t="shared" si="1"/>
        <v>2</v>
      </c>
      <c r="AP38" s="30">
        <f t="shared" si="1"/>
        <v>0</v>
      </c>
      <c r="AQ38" s="30">
        <f t="shared" si="1"/>
        <v>1</v>
      </c>
      <c r="AR38" s="30">
        <f t="shared" si="1"/>
        <v>1</v>
      </c>
      <c r="AS38" s="31">
        <f t="shared" si="1"/>
        <v>2319</v>
      </c>
      <c r="AT38" s="31">
        <f t="shared" si="1"/>
        <v>8</v>
      </c>
      <c r="AU38" s="31">
        <f t="shared" si="1"/>
        <v>0</v>
      </c>
      <c r="AV38" s="31">
        <f t="shared" si="1"/>
        <v>291.875</v>
      </c>
      <c r="AW38" s="31">
        <f t="shared" si="1"/>
        <v>31</v>
      </c>
      <c r="AX38" s="32"/>
    </row>
    <row r="39" ht="18.0" customHeight="1">
      <c r="A39" s="33" t="s">
        <v>54</v>
      </c>
      <c r="B39" s="9"/>
      <c r="C39" s="9"/>
      <c r="D39" s="10"/>
      <c r="E39" s="34">
        <f>IF(E$6="","",SUMPRODUCT(--(SUMIF('Cài đặt'!$B$16:$B$25,E$8:E$37,'Cài đặt'!$G$16:$G$25)&gt;0)))</f>
        <v>0</v>
      </c>
      <c r="F39" s="34">
        <f>IF(F$6="","",SUMPRODUCT(--(SUMIF('Cài đặt'!$B$16:$B$25,F$8:F$37,'Cài đặt'!$G$16:$G$25)&gt;0)))</f>
        <v>12</v>
      </c>
      <c r="G39" s="34">
        <f>IF(G$6="","",SUMPRODUCT(--(SUMIF('Cài đặt'!$B$16:$B$25,G$8:G$37,'Cài đặt'!$G$16:$G$25)&gt;0)))</f>
        <v>12</v>
      </c>
      <c r="H39" s="34">
        <f>IF(H$6="","",SUMPRODUCT(--(SUMIF('Cài đặt'!$B$16:$B$25,H$8:H$37,'Cài đặt'!$G$16:$G$25)&gt;0)))</f>
        <v>12</v>
      </c>
      <c r="I39" s="34">
        <f>IF(I$6="","",SUMPRODUCT(--(SUMIF('Cài đặt'!$B$16:$B$25,I$8:I$37,'Cài đặt'!$G$16:$G$25)&gt;0)))</f>
        <v>12</v>
      </c>
      <c r="J39" s="34">
        <f>IF(J$6="","",SUMPRODUCT(--(SUMIF('Cài đặt'!$B$16:$B$25,J$8:J$37,'Cài đặt'!$G$16:$G$25)&gt;0)))</f>
        <v>12</v>
      </c>
      <c r="K39" s="34">
        <f>IF(K$6="","",SUMPRODUCT(--(SUMIF('Cài đặt'!$B$16:$B$25,K$8:K$37,'Cài đặt'!$G$16:$G$25)&gt;0)))</f>
        <v>12</v>
      </c>
      <c r="L39" s="34">
        <f>IF(L$6="","",SUMPRODUCT(--(SUMIF('Cài đặt'!$B$16:$B$25,L$8:L$37,'Cài đặt'!$G$16:$G$25)&gt;0)))</f>
        <v>1</v>
      </c>
      <c r="M39" s="34">
        <f>IF(M$6="","",SUMPRODUCT(--(SUMIF('Cài đặt'!$B$16:$B$25,M$8:M$37,'Cài đặt'!$G$16:$G$25)&gt;0)))</f>
        <v>12</v>
      </c>
      <c r="N39" s="34">
        <f>IF(N$6="","",SUMPRODUCT(--(SUMIF('Cài đặt'!$B$16:$B$25,N$8:N$37,'Cài đặt'!$G$16:$G$25)&gt;0)))</f>
        <v>11</v>
      </c>
      <c r="O39" s="34">
        <f>IF(O$6="","",SUMPRODUCT(--(SUMIF('Cài đặt'!$B$16:$B$25,O$8:O$37,'Cài đặt'!$G$16:$G$25)&gt;0)))</f>
        <v>11</v>
      </c>
      <c r="P39" s="34">
        <f>IF(P$6="","",SUMPRODUCT(--(SUMIF('Cài đặt'!$B$16:$B$25,P$8:P$37,'Cài đặt'!$G$16:$G$25)&gt;0)))</f>
        <v>12</v>
      </c>
      <c r="Q39" s="34">
        <f>IF(Q$6="","",SUMPRODUCT(--(SUMIF('Cài đặt'!$B$16:$B$25,Q$8:Q$37,'Cài đặt'!$G$16:$G$25)&gt;0)))</f>
        <v>12</v>
      </c>
      <c r="R39" s="34">
        <f>IF(R$6="","",SUMPRODUCT(--(SUMIF('Cài đặt'!$B$16:$B$25,R$8:R$37,'Cài đặt'!$G$16:$G$25)&gt;0)))</f>
        <v>0</v>
      </c>
      <c r="S39" s="34">
        <f>IF(S$6="","",SUMPRODUCT(--(SUMIF('Cài đặt'!$B$16:$B$25,S$8:S$37,'Cài đặt'!$G$16:$G$25)&gt;0)))</f>
        <v>0</v>
      </c>
      <c r="T39" s="34">
        <f>IF(T$6="","",SUMPRODUCT(--(SUMIF('Cài đặt'!$B$16:$B$25,T$8:T$37,'Cài đặt'!$G$16:$G$25)&gt;0)))</f>
        <v>12</v>
      </c>
      <c r="U39" s="34">
        <f>IF(U$6="","",SUMPRODUCT(--(SUMIF('Cài đặt'!$B$16:$B$25,U$8:U$37,'Cài đặt'!$G$16:$G$25)&gt;0)))</f>
        <v>12</v>
      </c>
      <c r="V39" s="34">
        <f>IF(V$6="","",SUMPRODUCT(--(SUMIF('Cài đặt'!$B$16:$B$25,V$8:V$37,'Cài đặt'!$G$16:$G$25)&gt;0)))</f>
        <v>11</v>
      </c>
      <c r="W39" s="34">
        <f>IF(W$6="","",SUMPRODUCT(--(SUMIF('Cài đặt'!$B$16:$B$25,W$8:W$37,'Cài đặt'!$G$16:$G$25)&gt;0)))</f>
        <v>12</v>
      </c>
      <c r="X39" s="34">
        <f>IF(X$6="","",SUMPRODUCT(--(SUMIF('Cài đặt'!$B$16:$B$25,X$8:X$37,'Cài đặt'!$G$16:$G$25)&gt;0)))</f>
        <v>12</v>
      </c>
      <c r="Y39" s="34">
        <f>IF(Y$6="","",SUMPRODUCT(--(SUMIF('Cài đặt'!$B$16:$B$25,Y$8:Y$37,'Cài đặt'!$G$16:$G$25)&gt;0)))</f>
        <v>12</v>
      </c>
      <c r="Z39" s="34">
        <f>IF(Z$6="","",SUMPRODUCT(--(SUMIF('Cài đặt'!$B$16:$B$25,Z$8:Z$37,'Cài đặt'!$G$16:$G$25)&gt;0)))</f>
        <v>0</v>
      </c>
      <c r="AA39" s="34">
        <f>IF(AA$6="","",SUMPRODUCT(--(SUMIF('Cài đặt'!$B$16:$B$25,AA$8:AA$37,'Cài đặt'!$G$16:$G$25)&gt;0)))</f>
        <v>12</v>
      </c>
      <c r="AB39" s="34">
        <f>IF(AB$6="","",SUMPRODUCT(--(SUMIF('Cài đặt'!$B$16:$B$25,AB$8:AB$37,'Cài đặt'!$G$16:$G$25)&gt;0)))</f>
        <v>12</v>
      </c>
      <c r="AC39" s="34">
        <f>IF(AC$6="","",SUMPRODUCT(--(SUMIF('Cài đặt'!$B$16:$B$25,AC$8:AC$37,'Cài đặt'!$G$16:$G$25)&gt;0)))</f>
        <v>11</v>
      </c>
      <c r="AD39" s="34">
        <f>IF(AD$6="","",SUMPRODUCT(--(SUMIF('Cài đặt'!$B$16:$B$25,AD$8:AD$37,'Cài đặt'!$G$16:$G$25)&gt;0)))</f>
        <v>12</v>
      </c>
      <c r="AE39" s="34">
        <f>IF(AE$6="","",SUMPRODUCT(--(SUMIF('Cài đặt'!$B$16:$B$25,AE$8:AE$37,'Cài đặt'!$G$16:$G$25)&gt;0)))</f>
        <v>12</v>
      </c>
      <c r="AF39" s="34">
        <f>IF(AF$6="","",SUMPRODUCT(--(SUMIF('Cài đặt'!$B$16:$B$25,AF$8:AF$37,'Cài đặt'!$G$16:$G$25)&gt;0)))</f>
        <v>12</v>
      </c>
      <c r="AG39" s="34">
        <f>IF(AG$6="","",SUMPRODUCT(--(SUMIF('Cài đặt'!$B$16:$B$25,AG$8:AG$37,'Cài đặt'!$G$16:$G$25)&gt;0)))</f>
        <v>0</v>
      </c>
      <c r="AH39" s="34">
        <f>IF(AH$6="","",SUMPRODUCT(--(SUMIF('Cài đặt'!$B$16:$B$25,AH$8:AH$37,'Cài đặt'!$G$16:$G$25)&gt;0)))</f>
        <v>12</v>
      </c>
      <c r="AI39" s="34" t="str">
        <f>IF(AI$6="","",SUMPRODUCT(--(SUMIF('Cài đặt'!$B$16:$B$25,AI$8:AI$37,'Cài đặt'!$G$16:$G$25)&gt;0)))</f>
        <v/>
      </c>
    </row>
    <row r="40" ht="18.0" customHeight="1">
      <c r="A40" s="33" t="s">
        <v>55</v>
      </c>
      <c r="B40" s="9"/>
      <c r="C40" s="9"/>
      <c r="D40" s="10"/>
      <c r="E40" s="35">
        <f>IF(E$6="","",SUMPRODUCT(SUMIF('Cài đặt'!$B$16:$B$25,E$8:E$37,'Cài đặt'!$H$16:$H$25))/'Cài đặt'!$D$12)</f>
        <v>0</v>
      </c>
      <c r="F40" s="35">
        <f>IF(F$6="","",SUMPRODUCT(SUMIF('Cài đặt'!$B$16:$B$25,F$8:F$37,'Cài đặt'!$H$16:$H$25))/'Cài đặt'!$D$12)</f>
        <v>12</v>
      </c>
      <c r="G40" s="35">
        <f>IF(G$6="","",SUMPRODUCT(SUMIF('Cài đặt'!$B$16:$B$25,G$8:G$37,'Cài đặt'!$H$16:$H$25))/'Cài đặt'!$D$12)</f>
        <v>12</v>
      </c>
      <c r="H40" s="35">
        <f>IF(H$6="","",SUMPRODUCT(SUMIF('Cài đặt'!$B$16:$B$25,H$8:H$37,'Cài đặt'!$H$16:$H$25))/'Cài đặt'!$D$12)</f>
        <v>13.125</v>
      </c>
      <c r="I40" s="35">
        <f>IF(I$6="","",SUMPRODUCT(SUMIF('Cài đặt'!$B$16:$B$25,I$8:I$37,'Cài đặt'!$H$16:$H$25))/'Cài đặt'!$D$12)</f>
        <v>12.375</v>
      </c>
      <c r="J40" s="35">
        <f>IF(J$6="","",SUMPRODUCT(SUMIF('Cài đặt'!$B$16:$B$25,J$8:J$37,'Cài đặt'!$H$16:$H$25))/'Cài đặt'!$D$12)</f>
        <v>12</v>
      </c>
      <c r="K40" s="35">
        <f>IF(K$6="","",SUMPRODUCT(SUMIF('Cài đặt'!$B$16:$B$25,K$8:K$37,'Cài đặt'!$H$16:$H$25))/'Cài đặt'!$D$12)</f>
        <v>11</v>
      </c>
      <c r="L40" s="35">
        <f>IF(L$6="","",SUMPRODUCT(SUMIF('Cài đặt'!$B$16:$B$25,L$8:L$37,'Cài đặt'!$H$16:$H$25))/'Cài đặt'!$D$12)</f>
        <v>1</v>
      </c>
      <c r="M40" s="35">
        <f>IF(M$6="","",SUMPRODUCT(SUMIF('Cài đặt'!$B$16:$B$25,M$8:M$37,'Cài đặt'!$H$16:$H$25))/'Cài đặt'!$D$12)</f>
        <v>12</v>
      </c>
      <c r="N40" s="35">
        <f>IF(N$6="","",SUMPRODUCT(SUMIF('Cài đặt'!$B$16:$B$25,N$8:N$37,'Cài đặt'!$H$16:$H$25))/'Cài đặt'!$D$12)</f>
        <v>12</v>
      </c>
      <c r="O40" s="35">
        <f>IF(O$6="","",SUMPRODUCT(SUMIF('Cài đặt'!$B$16:$B$25,O$8:O$37,'Cài đặt'!$H$16:$H$25))/'Cài đặt'!$D$12)</f>
        <v>12</v>
      </c>
      <c r="P40" s="35">
        <f>IF(P$6="","",SUMPRODUCT(SUMIF('Cài đặt'!$B$16:$B$25,P$8:P$37,'Cài đặt'!$H$16:$H$25))/'Cài đặt'!$D$12)</f>
        <v>13.125</v>
      </c>
      <c r="Q40" s="35">
        <f>IF(Q$6="","",SUMPRODUCT(SUMIF('Cài đặt'!$B$16:$B$25,Q$8:Q$37,'Cài đặt'!$H$16:$H$25))/'Cài đặt'!$D$12)</f>
        <v>12</v>
      </c>
      <c r="R40" s="35">
        <f>IF(R$6="","",SUMPRODUCT(SUMIF('Cài đặt'!$B$16:$B$25,R$8:R$37,'Cài đặt'!$H$16:$H$25))/'Cài đặt'!$D$12)</f>
        <v>0</v>
      </c>
      <c r="S40" s="35">
        <f>IF(S$6="","",SUMPRODUCT(SUMIF('Cài đặt'!$B$16:$B$25,S$8:S$37,'Cài đặt'!$H$16:$H$25))/'Cài đặt'!$D$12)</f>
        <v>0</v>
      </c>
      <c r="T40" s="35">
        <f>IF(T$6="","",SUMPRODUCT(SUMIF('Cài đặt'!$B$16:$B$25,T$8:T$37,'Cài đặt'!$H$16:$H$25))/'Cài đặt'!$D$12)</f>
        <v>13.125</v>
      </c>
      <c r="U40" s="35">
        <f>IF(U$6="","",SUMPRODUCT(SUMIF('Cài đặt'!$B$16:$B$25,U$8:U$37,'Cài đặt'!$H$16:$H$25))/'Cài đặt'!$D$12)</f>
        <v>12</v>
      </c>
      <c r="V40" s="35">
        <f>IF(V$6="","",SUMPRODUCT(SUMIF('Cài đặt'!$B$16:$B$25,V$8:V$37,'Cài đặt'!$H$16:$H$25))/'Cài đặt'!$D$12)</f>
        <v>11</v>
      </c>
      <c r="W40" s="35">
        <f>IF(W$6="","",SUMPRODUCT(SUMIF('Cài đặt'!$B$16:$B$25,W$8:W$37,'Cài đặt'!$H$16:$H$25))/'Cài đặt'!$D$12)</f>
        <v>12.375</v>
      </c>
      <c r="X40" s="35">
        <f>IF(X$6="","",SUMPRODUCT(SUMIF('Cài đặt'!$B$16:$B$25,X$8:X$37,'Cài đặt'!$H$16:$H$25))/'Cài đặt'!$D$12)</f>
        <v>13.125</v>
      </c>
      <c r="Y40" s="35">
        <f>IF(Y$6="","",SUMPRODUCT(SUMIF('Cài đặt'!$B$16:$B$25,Y$8:Y$37,'Cài đặt'!$H$16:$H$25))/'Cài đặt'!$D$12)</f>
        <v>11</v>
      </c>
      <c r="Z40" s="35">
        <f>IF(Z$6="","",SUMPRODUCT(SUMIF('Cài đặt'!$B$16:$B$25,Z$8:Z$37,'Cài đặt'!$H$16:$H$25))/'Cài đặt'!$D$12)</f>
        <v>0</v>
      </c>
      <c r="AA40" s="35">
        <f>IF(AA$6="","",SUMPRODUCT(SUMIF('Cài đặt'!$B$16:$B$25,AA$8:AA$37,'Cài đặt'!$H$16:$H$25))/'Cài đặt'!$D$12)</f>
        <v>12</v>
      </c>
      <c r="AB40" s="35">
        <f>IF(AB$6="","",SUMPRODUCT(SUMIF('Cài đặt'!$B$16:$B$25,AB$8:AB$37,'Cài đặt'!$H$16:$H$25))/'Cài đặt'!$D$12)</f>
        <v>13.125</v>
      </c>
      <c r="AC40" s="35">
        <f>IF(AC$6="","",SUMPRODUCT(SUMIF('Cài đặt'!$B$16:$B$25,AC$8:AC$37,'Cài đặt'!$H$16:$H$25))/'Cài đặt'!$D$12)</f>
        <v>11</v>
      </c>
      <c r="AD40" s="35">
        <f>IF(AD$6="","",SUMPRODUCT(SUMIF('Cài đặt'!$B$16:$B$25,AD$8:AD$37,'Cài đặt'!$H$16:$H$25))/'Cài đặt'!$D$12)</f>
        <v>12.375</v>
      </c>
      <c r="AE40" s="35">
        <f>IF(AE$6="","",SUMPRODUCT(SUMIF('Cài đặt'!$B$16:$B$25,AE$8:AE$37,'Cài đặt'!$H$16:$H$25))/'Cài đặt'!$D$12)</f>
        <v>12</v>
      </c>
      <c r="AF40" s="35">
        <f>IF(AF$6="","",SUMPRODUCT(SUMIF('Cài đặt'!$B$16:$B$25,AF$8:AF$37,'Cài đặt'!$H$16:$H$25))/'Cài đặt'!$D$12)</f>
        <v>12.125</v>
      </c>
      <c r="AG40" s="35">
        <f>IF(AG$6="","",SUMPRODUCT(SUMIF('Cài đặt'!$B$16:$B$25,AG$8:AG$37,'Cài đặt'!$H$16:$H$25))/'Cài đặt'!$D$12)</f>
        <v>0</v>
      </c>
      <c r="AH40" s="35">
        <f>IF(AH$6="","",SUMPRODUCT(SUMIF('Cài đặt'!$B$16:$B$25,AH$8:AH$37,'Cài đặt'!$H$16:$H$25))/'Cài đặt'!$D$12)</f>
        <v>12</v>
      </c>
      <c r="AI40" s="35" t="str">
        <f>IF(AI$6="","",SUMPRODUCT(SUMIF('Cài đặt'!$B$16:$B$25,AI$8:AI$37,'Cài đặt'!$H$16:$H$25))/'Cài đặt'!$D$12)</f>
        <v/>
      </c>
    </row>
    <row r="41" ht="18.0" customHeight="1">
      <c r="A41" s="36" t="str">
        <f>"     • "&amp;'Cài đặt'!C16</f>
        <v>     • Cả ngày</v>
      </c>
      <c r="B41" s="9"/>
      <c r="C41" s="9"/>
      <c r="D41" s="10"/>
      <c r="E41" s="37">
        <f>IF(E$6="","",COUNTIF(E$8:E$37,'Cài đặt'!$B$16))</f>
        <v>0</v>
      </c>
      <c r="F41" s="37">
        <f>IF(F$6="","",COUNTIF(F$8:F$37,'Cài đặt'!$B$16))</f>
        <v>12</v>
      </c>
      <c r="G41" s="37">
        <f>IF(G$6="","",COUNTIF(G$8:G$37,'Cài đặt'!$B$16))</f>
        <v>12</v>
      </c>
      <c r="H41" s="37">
        <f>IF(H$6="","",COUNTIF(H$8:H$37,'Cài đặt'!$B$16))</f>
        <v>9</v>
      </c>
      <c r="I41" s="37">
        <f>IF(I$6="","",COUNTIF(I$8:I$37,'Cài đặt'!$B$16))</f>
        <v>11</v>
      </c>
      <c r="J41" s="37">
        <f>IF(J$6="","",COUNTIF(J$8:J$37,'Cài đặt'!$B$16))</f>
        <v>12</v>
      </c>
      <c r="K41" s="37">
        <f>IF(K$6="","",COUNTIF(K$8:K$37,'Cài đặt'!$B$16))</f>
        <v>10</v>
      </c>
      <c r="L41" s="37">
        <f>IF(L$6="","",COUNTIF(L$8:L$37,'Cài đặt'!$B$16))</f>
        <v>1</v>
      </c>
      <c r="M41" s="37">
        <f>IF(M$6="","",COUNTIF(M$8:M$37,'Cài đặt'!$B$16))</f>
        <v>12</v>
      </c>
      <c r="N41" s="37">
        <f>IF(N$6="","",COUNTIF(N$8:N$37,'Cài đặt'!$B$16))</f>
        <v>11</v>
      </c>
      <c r="O41" s="37">
        <f>IF(O$6="","",COUNTIF(O$8:O$37,'Cài đặt'!$B$16))</f>
        <v>11</v>
      </c>
      <c r="P41" s="37">
        <f>IF(P$6="","",COUNTIF(P$8:P$37,'Cài đặt'!$B$16))</f>
        <v>9</v>
      </c>
      <c r="Q41" s="37">
        <f>IF(Q$6="","",COUNTIF(Q$8:Q$37,'Cài đặt'!$B$16))</f>
        <v>12</v>
      </c>
      <c r="R41" s="37">
        <f>IF(R$6="","",COUNTIF(R$8:R$37,'Cài đặt'!$B$16))</f>
        <v>0</v>
      </c>
      <c r="S41" s="37">
        <f>IF(S$6="","",COUNTIF(S$8:S$37,'Cài đặt'!$B$16))</f>
        <v>0</v>
      </c>
      <c r="T41" s="37">
        <f>IF(T$6="","",COUNTIF(T$8:T$37,'Cài đặt'!$B$16))</f>
        <v>9</v>
      </c>
      <c r="U41" s="37">
        <f>IF(U$6="","",COUNTIF(U$8:U$37,'Cài đặt'!$B$16))</f>
        <v>12</v>
      </c>
      <c r="V41" s="37">
        <f>IF(V$6="","",COUNTIF(V$8:V$37,'Cài đặt'!$B$16))</f>
        <v>11</v>
      </c>
      <c r="W41" s="37">
        <f>IF(W$6="","",COUNTIF(W$8:W$37,'Cài đặt'!$B$16))</f>
        <v>11</v>
      </c>
      <c r="X41" s="37">
        <f>IF(X$6="","",COUNTIF(X$8:X$37,'Cài đặt'!$B$16))</f>
        <v>9</v>
      </c>
      <c r="Y41" s="37">
        <f>IF(Y$6="","",COUNTIF(Y$8:Y$37,'Cài đặt'!$B$16))</f>
        <v>10</v>
      </c>
      <c r="Z41" s="37">
        <f>IF(Z$6="","",COUNTIF(Z$8:Z$37,'Cài đặt'!$B$16))</f>
        <v>0</v>
      </c>
      <c r="AA41" s="37">
        <f>IF(AA$6="","",COUNTIF(AA$8:AA$37,'Cài đặt'!$B$16))</f>
        <v>12</v>
      </c>
      <c r="AB41" s="37">
        <f>IF(AB$6="","",COUNTIF(AB$8:AB$37,'Cài đặt'!$B$16))</f>
        <v>9</v>
      </c>
      <c r="AC41" s="37">
        <f>IF(AC$6="","",COUNTIF(AC$8:AC$37,'Cài đặt'!$B$16))</f>
        <v>11</v>
      </c>
      <c r="AD41" s="37">
        <f>IF(AD$6="","",COUNTIF(AD$8:AD$37,'Cài đặt'!$B$16))</f>
        <v>11</v>
      </c>
      <c r="AE41" s="37">
        <f>IF(AE$6="","",COUNTIF(AE$8:AE$37,'Cài đặt'!$B$16))</f>
        <v>12</v>
      </c>
      <c r="AF41" s="37">
        <f>IF(AF$6="","",COUNTIF(AF$8:AF$37,'Cài đặt'!$B$16))</f>
        <v>7</v>
      </c>
      <c r="AG41" s="37">
        <f>IF(AG$6="","",COUNTIF(AG$8:AG$37,'Cài đặt'!$B$16))</f>
        <v>0</v>
      </c>
      <c r="AH41" s="37">
        <f>IF(AH$6="","",COUNTIF(AH$8:AH$37,'Cài đặt'!$B$16))</f>
        <v>12</v>
      </c>
      <c r="AI41" s="37" t="str">
        <f>IF(AI$6="","",COUNTIF(AI$8:AI$37,'Cài đặt'!$B$16))</f>
        <v/>
      </c>
    </row>
    <row r="42" ht="18.0" customHeight="1">
      <c r="A42" s="36" t="str">
        <f>"     • "&amp;'Cài đặt'!C17</f>
        <v>     • Nửa ngày sáng</v>
      </c>
      <c r="B42" s="9"/>
      <c r="C42" s="9"/>
      <c r="D42" s="10"/>
      <c r="E42" s="37">
        <f>IF(E$6="","",COUNTIF(E$8:E$37,'Cài đặt'!$B$17))</f>
        <v>0</v>
      </c>
      <c r="F42" s="37">
        <f>IF(F$6="","",COUNTIF(F$8:F$37,'Cài đặt'!$B$17))</f>
        <v>0</v>
      </c>
      <c r="G42" s="37">
        <f>IF(G$6="","",COUNTIF(G$8:G$37,'Cài đặt'!$B$17))</f>
        <v>0</v>
      </c>
      <c r="H42" s="37">
        <f>IF(H$6="","",COUNTIF(H$8:H$37,'Cài đặt'!$B$17))</f>
        <v>0</v>
      </c>
      <c r="I42" s="37">
        <f>IF(I$6="","",COUNTIF(I$8:I$37,'Cài đặt'!$B$17))</f>
        <v>0</v>
      </c>
      <c r="J42" s="37">
        <f>IF(J$6="","",COUNTIF(J$8:J$37,'Cài đặt'!$B$17))</f>
        <v>0</v>
      </c>
      <c r="K42" s="37">
        <f>IF(K$6="","",COUNTIF(K$8:K$37,'Cài đặt'!$B$17))</f>
        <v>2</v>
      </c>
      <c r="L42" s="37">
        <f>IF(L$6="","",COUNTIF(L$8:L$37,'Cài đặt'!$B$17))</f>
        <v>0</v>
      </c>
      <c r="M42" s="37">
        <f>IF(M$6="","",COUNTIF(M$8:M$37,'Cài đặt'!$B$17))</f>
        <v>0</v>
      </c>
      <c r="N42" s="37">
        <f>IF(N$6="","",COUNTIF(N$8:N$37,'Cài đặt'!$B$17))</f>
        <v>0</v>
      </c>
      <c r="O42" s="37">
        <f>IF(O$6="","",COUNTIF(O$8:O$37,'Cài đặt'!$B$17))</f>
        <v>0</v>
      </c>
      <c r="P42" s="37">
        <f>IF(P$6="","",COUNTIF(P$8:P$37,'Cài đặt'!$B$17))</f>
        <v>0</v>
      </c>
      <c r="Q42" s="37">
        <f>IF(Q$6="","",COUNTIF(Q$8:Q$37,'Cài đặt'!$B$17))</f>
        <v>0</v>
      </c>
      <c r="R42" s="37">
        <f>IF(R$6="","",COUNTIF(R$8:R$37,'Cài đặt'!$B$17))</f>
        <v>0</v>
      </c>
      <c r="S42" s="37">
        <f>IF(S$6="","",COUNTIF(S$8:S$37,'Cài đặt'!$B$17))</f>
        <v>0</v>
      </c>
      <c r="T42" s="37">
        <f>IF(T$6="","",COUNTIF(T$8:T$37,'Cài đặt'!$B$17))</f>
        <v>0</v>
      </c>
      <c r="U42" s="37">
        <f>IF(U$6="","",COUNTIF(U$8:U$37,'Cài đặt'!$B$17))</f>
        <v>0</v>
      </c>
      <c r="V42" s="37">
        <f>IF(V$6="","",COUNTIF(V$8:V$37,'Cài đặt'!$B$17))</f>
        <v>0</v>
      </c>
      <c r="W42" s="37">
        <f>IF(W$6="","",COUNTIF(W$8:W$37,'Cài đặt'!$B$17))</f>
        <v>0</v>
      </c>
      <c r="X42" s="37">
        <f>IF(X$6="","",COUNTIF(X$8:X$37,'Cài đặt'!$B$17))</f>
        <v>0</v>
      </c>
      <c r="Y42" s="37">
        <f>IF(Y$6="","",COUNTIF(Y$8:Y$37,'Cài đặt'!$B$17))</f>
        <v>2</v>
      </c>
      <c r="Z42" s="37">
        <f>IF(Z$6="","",COUNTIF(Z$8:Z$37,'Cài đặt'!$B$17))</f>
        <v>0</v>
      </c>
      <c r="AA42" s="37">
        <f>IF(AA$6="","",COUNTIF(AA$8:AA$37,'Cài đặt'!$B$17))</f>
        <v>0</v>
      </c>
      <c r="AB42" s="37">
        <f>IF(AB$6="","",COUNTIF(AB$8:AB$37,'Cài đặt'!$B$17))</f>
        <v>0</v>
      </c>
      <c r="AC42" s="37">
        <f>IF(AC$6="","",COUNTIF(AC$8:AC$37,'Cài đặt'!$B$17))</f>
        <v>0</v>
      </c>
      <c r="AD42" s="37">
        <f>IF(AD$6="","",COUNTIF(AD$8:AD$37,'Cài đặt'!$B$17))</f>
        <v>0</v>
      </c>
      <c r="AE42" s="37">
        <f>IF(AE$6="","",COUNTIF(AE$8:AE$37,'Cài đặt'!$B$17))</f>
        <v>0</v>
      </c>
      <c r="AF42" s="37">
        <f>IF(AF$6="","",COUNTIF(AF$8:AF$37,'Cài đặt'!$B$17))</f>
        <v>2</v>
      </c>
      <c r="AG42" s="37">
        <f>IF(AG$6="","",COUNTIF(AG$8:AG$37,'Cài đặt'!$B$17))</f>
        <v>0</v>
      </c>
      <c r="AH42" s="37">
        <f>IF(AH$6="","",COUNTIF(AH$8:AH$37,'Cài đặt'!$B$17))</f>
        <v>0</v>
      </c>
      <c r="AI42" s="37" t="str">
        <f>IF(AI$6="","",COUNTIF(AI$8:AI$37,'Cài đặt'!$B$17))</f>
        <v/>
      </c>
    </row>
    <row r="43" ht="18.0" customHeight="1">
      <c r="A43" s="36" t="str">
        <f>"     • "&amp;'Cài đặt'!C18</f>
        <v>     • Nửa ngày chiều</v>
      </c>
      <c r="B43" s="9"/>
      <c r="C43" s="9"/>
      <c r="D43" s="10"/>
      <c r="E43" s="37">
        <f>IF(E$6="","",COUNTIF(E$8:E$37,'Cài đặt'!$B$18))</f>
        <v>0</v>
      </c>
      <c r="F43" s="37">
        <f>IF(F$6="","",COUNTIF(F$8:F$37,'Cài đặt'!$B$18))</f>
        <v>0</v>
      </c>
      <c r="G43" s="37">
        <f>IF(G$6="","",COUNTIF(G$8:G$37,'Cài đặt'!$B$18))</f>
        <v>0</v>
      </c>
      <c r="H43" s="37">
        <f>IF(H$6="","",COUNTIF(H$8:H$37,'Cài đặt'!$B$18))</f>
        <v>0</v>
      </c>
      <c r="I43" s="37">
        <f>IF(I$6="","",COUNTIF(I$8:I$37,'Cài đặt'!$B$18))</f>
        <v>0</v>
      </c>
      <c r="J43" s="37">
        <f>IF(J$6="","",COUNTIF(J$8:J$37,'Cài đặt'!$B$18))</f>
        <v>0</v>
      </c>
      <c r="K43" s="37">
        <f>IF(K$6="","",COUNTIF(K$8:K$37,'Cài đặt'!$B$18))</f>
        <v>0</v>
      </c>
      <c r="L43" s="37">
        <f>IF(L$6="","",COUNTIF(L$8:L$37,'Cài đặt'!$B$18))</f>
        <v>0</v>
      </c>
      <c r="M43" s="37">
        <f>IF(M$6="","",COUNTIF(M$8:M$37,'Cài đặt'!$B$18))</f>
        <v>0</v>
      </c>
      <c r="N43" s="37">
        <f>IF(N$6="","",COUNTIF(N$8:N$37,'Cài đặt'!$B$18))</f>
        <v>0</v>
      </c>
      <c r="O43" s="37">
        <f>IF(O$6="","",COUNTIF(O$8:O$37,'Cài đặt'!$B$18))</f>
        <v>0</v>
      </c>
      <c r="P43" s="37">
        <f>IF(P$6="","",COUNTIF(P$8:P$37,'Cài đặt'!$B$18))</f>
        <v>0</v>
      </c>
      <c r="Q43" s="37">
        <f>IF(Q$6="","",COUNTIF(Q$8:Q$37,'Cài đặt'!$B$18))</f>
        <v>0</v>
      </c>
      <c r="R43" s="37">
        <f>IF(R$6="","",COUNTIF(R$8:R$37,'Cài đặt'!$B$18))</f>
        <v>0</v>
      </c>
      <c r="S43" s="37">
        <f>IF(S$6="","",COUNTIF(S$8:S$37,'Cài đặt'!$B$18))</f>
        <v>0</v>
      </c>
      <c r="T43" s="37">
        <f>IF(T$6="","",COUNTIF(T$8:T$37,'Cài đặt'!$B$18))</f>
        <v>0</v>
      </c>
      <c r="U43" s="37">
        <f>IF(U$6="","",COUNTIF(U$8:U$37,'Cài đặt'!$B$18))</f>
        <v>0</v>
      </c>
      <c r="V43" s="37">
        <f>IF(V$6="","",COUNTIF(V$8:V$37,'Cài đặt'!$B$18))</f>
        <v>0</v>
      </c>
      <c r="W43" s="37">
        <f>IF(W$6="","",COUNTIF(W$8:W$37,'Cài đặt'!$B$18))</f>
        <v>0</v>
      </c>
      <c r="X43" s="37">
        <f>IF(X$6="","",COUNTIF(X$8:X$37,'Cài đặt'!$B$18))</f>
        <v>0</v>
      </c>
      <c r="Y43" s="37">
        <f>IF(Y$6="","",COUNTIF(Y$8:Y$37,'Cài đặt'!$B$18))</f>
        <v>0</v>
      </c>
      <c r="Z43" s="37">
        <f>IF(Z$6="","",COUNTIF(Z$8:Z$37,'Cài đặt'!$B$18))</f>
        <v>0</v>
      </c>
      <c r="AA43" s="37">
        <f>IF(AA$6="","",COUNTIF(AA$8:AA$37,'Cài đặt'!$B$18))</f>
        <v>0</v>
      </c>
      <c r="AB43" s="37">
        <f>IF(AB$6="","",COUNTIF(AB$8:AB$37,'Cài đặt'!$B$18))</f>
        <v>0</v>
      </c>
      <c r="AC43" s="37">
        <f>IF(AC$6="","",COUNTIF(AC$8:AC$37,'Cài đặt'!$B$18))</f>
        <v>0</v>
      </c>
      <c r="AD43" s="37">
        <f>IF(AD$6="","",COUNTIF(AD$8:AD$37,'Cài đặt'!$B$18))</f>
        <v>0</v>
      </c>
      <c r="AE43" s="37">
        <f>IF(AE$6="","",COUNTIF(AE$8:AE$37,'Cài đặt'!$B$18))</f>
        <v>0</v>
      </c>
      <c r="AF43" s="37">
        <f>IF(AF$6="","",COUNTIF(AF$8:AF$37,'Cài đặt'!$B$18))</f>
        <v>0</v>
      </c>
      <c r="AG43" s="37">
        <f>IF(AG$6="","",COUNTIF(AG$8:AG$37,'Cài đặt'!$B$18))</f>
        <v>0</v>
      </c>
      <c r="AH43" s="37">
        <f>IF(AH$6="","",COUNTIF(AH$8:AH$37,'Cài đặt'!$B$18))</f>
        <v>0</v>
      </c>
      <c r="AI43" s="37" t="str">
        <f>IF(AI$6="","",COUNTIF(AI$8:AI$37,'Cài đặt'!$B$18))</f>
        <v/>
      </c>
    </row>
    <row r="44" ht="18.0" customHeight="1">
      <c r="A44" s="36" t="str">
        <f>"     • "&amp;'Cài đặt'!C19</f>
        <v>     • Cả ngày + tăng ca</v>
      </c>
      <c r="B44" s="9"/>
      <c r="C44" s="9"/>
      <c r="D44" s="10"/>
      <c r="E44" s="37">
        <f>IF(E$6="","",COUNTIF(E$8:E$37,'Cài đặt'!$B$19))</f>
        <v>0</v>
      </c>
      <c r="F44" s="37">
        <f>IF(F$6="","",COUNTIF(F$8:F$37,'Cài đặt'!$B$19))</f>
        <v>0</v>
      </c>
      <c r="G44" s="37">
        <f>IF(G$6="","",COUNTIF(G$8:G$37,'Cài đặt'!$B$19))</f>
        <v>0</v>
      </c>
      <c r="H44" s="37">
        <f>IF(H$6="","",COUNTIF(H$8:H$37,'Cài đặt'!$B$19))</f>
        <v>3</v>
      </c>
      <c r="I44" s="37">
        <f>IF(I$6="","",COUNTIF(I$8:I$37,'Cài đặt'!$B$19))</f>
        <v>1</v>
      </c>
      <c r="J44" s="37">
        <f>IF(J$6="","",COUNTIF(J$8:J$37,'Cài đặt'!$B$19))</f>
        <v>0</v>
      </c>
      <c r="K44" s="37">
        <f>IF(K$6="","",COUNTIF(K$8:K$37,'Cài đặt'!$B$19))</f>
        <v>0</v>
      </c>
      <c r="L44" s="37">
        <f>IF(L$6="","",COUNTIF(L$8:L$37,'Cài đặt'!$B$19))</f>
        <v>0</v>
      </c>
      <c r="M44" s="37">
        <f>IF(M$6="","",COUNTIF(M$8:M$37,'Cài đặt'!$B$19))</f>
        <v>0</v>
      </c>
      <c r="N44" s="37">
        <f>IF(N$6="","",COUNTIF(N$8:N$37,'Cài đặt'!$B$19))</f>
        <v>0</v>
      </c>
      <c r="O44" s="37">
        <f>IF(O$6="","",COUNTIF(O$8:O$37,'Cài đặt'!$B$19))</f>
        <v>0</v>
      </c>
      <c r="P44" s="37">
        <f>IF(P$6="","",COUNTIF(P$8:P$37,'Cài đặt'!$B$19))</f>
        <v>3</v>
      </c>
      <c r="Q44" s="37">
        <f>IF(Q$6="","",COUNTIF(Q$8:Q$37,'Cài đặt'!$B$19))</f>
        <v>0</v>
      </c>
      <c r="R44" s="37">
        <f>IF(R$6="","",COUNTIF(R$8:R$37,'Cài đặt'!$B$19))</f>
        <v>0</v>
      </c>
      <c r="S44" s="37">
        <f>IF(S$6="","",COUNTIF(S$8:S$37,'Cài đặt'!$B$19))</f>
        <v>0</v>
      </c>
      <c r="T44" s="37">
        <f>IF(T$6="","",COUNTIF(T$8:T$37,'Cài đặt'!$B$19))</f>
        <v>3</v>
      </c>
      <c r="U44" s="37">
        <f>IF(U$6="","",COUNTIF(U$8:U$37,'Cài đặt'!$B$19))</f>
        <v>0</v>
      </c>
      <c r="V44" s="37">
        <f>IF(V$6="","",COUNTIF(V$8:V$37,'Cài đặt'!$B$19))</f>
        <v>0</v>
      </c>
      <c r="W44" s="37">
        <f>IF(W$6="","",COUNTIF(W$8:W$37,'Cài đặt'!$B$19))</f>
        <v>1</v>
      </c>
      <c r="X44" s="37">
        <f>IF(X$6="","",COUNTIF(X$8:X$37,'Cài đặt'!$B$19))</f>
        <v>3</v>
      </c>
      <c r="Y44" s="37">
        <f>IF(Y$6="","",COUNTIF(Y$8:Y$37,'Cài đặt'!$B$19))</f>
        <v>0</v>
      </c>
      <c r="Z44" s="37">
        <f>IF(Z$6="","",COUNTIF(Z$8:Z$37,'Cài đặt'!$B$19))</f>
        <v>0</v>
      </c>
      <c r="AA44" s="37">
        <f>IF(AA$6="","",COUNTIF(AA$8:AA$37,'Cài đặt'!$B$19))</f>
        <v>0</v>
      </c>
      <c r="AB44" s="37">
        <f>IF(AB$6="","",COUNTIF(AB$8:AB$37,'Cài đặt'!$B$19))</f>
        <v>3</v>
      </c>
      <c r="AC44" s="37">
        <f>IF(AC$6="","",COUNTIF(AC$8:AC$37,'Cài đặt'!$B$19))</f>
        <v>0</v>
      </c>
      <c r="AD44" s="37">
        <f>IF(AD$6="","",COUNTIF(AD$8:AD$37,'Cài đặt'!$B$19))</f>
        <v>1</v>
      </c>
      <c r="AE44" s="37">
        <f>IF(AE$6="","",COUNTIF(AE$8:AE$37,'Cài đặt'!$B$19))</f>
        <v>0</v>
      </c>
      <c r="AF44" s="37">
        <f>IF(AF$6="","",COUNTIF(AF$8:AF$37,'Cài đặt'!$B$19))</f>
        <v>3</v>
      </c>
      <c r="AG44" s="37">
        <f>IF(AG$6="","",COUNTIF(AG$8:AG$37,'Cài đặt'!$B$19))</f>
        <v>0</v>
      </c>
      <c r="AH44" s="37">
        <f>IF(AH$6="","",COUNTIF(AH$8:AH$37,'Cài đặt'!$B$19))</f>
        <v>0</v>
      </c>
      <c r="AI44" s="37" t="str">
        <f>IF(AI$6="","",COUNTIF(AI$8:AI$37,'Cài đặt'!$B$19))</f>
        <v/>
      </c>
    </row>
    <row r="45" ht="15.75" customHeight="1">
      <c r="A45" s="38" t="s">
        <v>56</v>
      </c>
    </row>
    <row r="46" ht="15.75" customHeight="1"/>
    <row r="47" ht="15.75" customHeight="1">
      <c r="B47" s="39" t="s">
        <v>57</v>
      </c>
      <c r="C47" s="9"/>
      <c r="D47" s="10"/>
      <c r="E47" s="40" t="s">
        <v>58</v>
      </c>
      <c r="P47" s="40" t="s">
        <v>59</v>
      </c>
      <c r="AA47" s="40" t="s">
        <v>60</v>
      </c>
    </row>
    <row r="48" ht="18.0" customHeight="1">
      <c r="B48" s="41" t="str">
        <f>'Cài đặt'!B16</f>
        <v>X</v>
      </c>
      <c r="C48" s="42" t="str">
        <f>'Cài đặt'!C16&amp;IF('Cài đặt'!G16&gt;0," – "&amp;TEXT('Cài đặt'!G16,"0.0")&amp;" giờ","")</f>
        <v>Cả ngày – 8,0 giờ</v>
      </c>
      <c r="D48" s="10"/>
      <c r="E48" s="43" t="s">
        <v>61</v>
      </c>
      <c r="P48" s="43" t="s">
        <v>61</v>
      </c>
      <c r="AA48" s="43" t="s">
        <v>61</v>
      </c>
    </row>
    <row r="49" ht="18.0" customHeight="1">
      <c r="B49" s="44" t="str">
        <f>'Cài đặt'!B17</f>
        <v>NS</v>
      </c>
      <c r="C49" s="42" t="str">
        <f>'Cài đặt'!C17&amp;IF('Cài đặt'!G17&gt;0," – "&amp;TEXT('Cài đặt'!G17,"0.0")&amp;" giờ","")</f>
        <v>Nửa ngày sáng – 4,0 giờ</v>
      </c>
      <c r="D49" s="10"/>
    </row>
    <row r="50" ht="18.0" customHeight="1">
      <c r="B50" s="45" t="str">
        <f>'Cài đặt'!B18</f>
        <v>NC</v>
      </c>
      <c r="C50" s="42" t="str">
        <f>'Cài đặt'!C18&amp;IF('Cài đặt'!G18&gt;0," – "&amp;TEXT('Cài đặt'!G18,"0.0")&amp;" giờ","")</f>
        <v>Nửa ngày chiều – 4,0 giờ</v>
      </c>
      <c r="D50" s="10"/>
    </row>
    <row r="51" ht="18.0" customHeight="1">
      <c r="B51" s="46" t="str">
        <f>'Cài đặt'!B19</f>
        <v>TC</v>
      </c>
      <c r="C51" s="42" t="str">
        <f>'Cài đặt'!C19&amp;IF('Cài đặt'!G19&gt;0," – "&amp;TEXT('Cài đặt'!G19,"0.0")&amp;" giờ","")</f>
        <v>Cả ngày + tăng ca – 11,0 giờ</v>
      </c>
      <c r="D51" s="10"/>
    </row>
    <row r="52" ht="18.0" customHeight="1">
      <c r="B52" s="47" t="str">
        <f>'Cài đặt'!B20</f>
        <v>M</v>
      </c>
      <c r="C52" s="42" t="str">
        <f>'Cài đặt'!C20&amp;IF('Cài đặt'!G20&gt;0," – "&amp;TEXT('Cài đặt'!G20,"0.0")&amp;" giờ","")</f>
        <v>Nghỉ mưa / bão</v>
      </c>
      <c r="D52" s="10"/>
    </row>
    <row r="53" ht="18.0" customHeight="1">
      <c r="B53" s="18" t="str">
        <f>'Cài đặt'!B21</f>
        <v>P</v>
      </c>
      <c r="C53" s="42" t="str">
        <f>'Cài đặt'!C21&amp;IF('Cài đặt'!G21&gt;0," – "&amp;TEXT('Cài đặt'!G21,"0.0")&amp;" giờ","")</f>
        <v>Nghỉ phép năm</v>
      </c>
      <c r="D53" s="10"/>
    </row>
    <row r="54" ht="18.0" customHeight="1">
      <c r="B54" s="48" t="str">
        <f>'Cài đặt'!B22</f>
        <v>L</v>
      </c>
      <c r="C54" s="42" t="str">
        <f>'Cài đặt'!C22&amp;IF('Cài đặt'!G22&gt;0," – "&amp;TEXT('Cài đặt'!G22,"0.0")&amp;" giờ","")</f>
        <v>Nghỉ lễ</v>
      </c>
      <c r="D54" s="10"/>
    </row>
    <row r="55" ht="18.0" customHeight="1">
      <c r="B55" s="49" t="str">
        <f>'Cài đặt'!B23</f>
        <v>Ô</v>
      </c>
      <c r="C55" s="42" t="str">
        <f>'Cài đặt'!C23&amp;IF('Cài đặt'!G23&gt;0," – "&amp;TEXT('Cài đặt'!G23,"0.0")&amp;" giờ","")</f>
        <v>Nghỉ ốm</v>
      </c>
      <c r="D55" s="10"/>
    </row>
    <row r="56" ht="18.0" customHeight="1">
      <c r="B56" s="50" t="str">
        <f>'Cài đặt'!B24</f>
        <v>K</v>
      </c>
      <c r="C56" s="42" t="str">
        <f>'Cài đặt'!C24&amp;IF('Cài đặt'!G24&gt;0," – "&amp;TEXT('Cài đặt'!G24,"0.0")&amp;" giờ","")</f>
        <v>Nghỉ không lương</v>
      </c>
      <c r="D56" s="10"/>
    </row>
    <row r="57" ht="18.0" customHeight="1">
      <c r="B57" s="51" t="str">
        <f>'Cài đặt'!B25</f>
        <v>OFF</v>
      </c>
      <c r="C57" s="42" t="str">
        <f>'Cài đặt'!C25&amp;IF('Cài đặt'!G25&gt;0," – "&amp;TEXT('Cài đặt'!G25,"0.0")&amp;" giờ","")</f>
        <v>Nghỉ tuần</v>
      </c>
      <c r="D57" s="10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J5:AJ7"/>
    <mergeCell ref="AK5:AK7"/>
    <mergeCell ref="A38:D38"/>
    <mergeCell ref="E38:AI38"/>
    <mergeCell ref="A39:D39"/>
    <mergeCell ref="A40:D40"/>
    <mergeCell ref="A41:D41"/>
    <mergeCell ref="A42:D42"/>
    <mergeCell ref="A43:D43"/>
    <mergeCell ref="A44:D44"/>
    <mergeCell ref="A45:AI45"/>
    <mergeCell ref="E47:N47"/>
    <mergeCell ref="P47:Y47"/>
    <mergeCell ref="AA47:AI47"/>
    <mergeCell ref="E4:AI4"/>
    <mergeCell ref="AJ4:AR4"/>
    <mergeCell ref="AS4:AW4"/>
    <mergeCell ref="AX4:AX7"/>
    <mergeCell ref="AS5:AS7"/>
    <mergeCell ref="AT5:AT7"/>
    <mergeCell ref="AU5:AU7"/>
    <mergeCell ref="AV5:AV7"/>
    <mergeCell ref="AW5:AW7"/>
    <mergeCell ref="AL5:AL7"/>
    <mergeCell ref="AM5:AM7"/>
    <mergeCell ref="AN5:AN7"/>
    <mergeCell ref="AO5:AO7"/>
    <mergeCell ref="AP5:AP7"/>
    <mergeCell ref="AQ5:AQ7"/>
    <mergeCell ref="A1:AX1"/>
    <mergeCell ref="A3:AI3"/>
    <mergeCell ref="A4:A7"/>
    <mergeCell ref="B4:B7"/>
    <mergeCell ref="C4:C7"/>
    <mergeCell ref="D4:D7"/>
    <mergeCell ref="AR5:AR7"/>
    <mergeCell ref="E2:AD2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E48:N48"/>
    <mergeCell ref="P48:Y48"/>
    <mergeCell ref="AA48:AI48"/>
    <mergeCell ref="C49:D49"/>
    <mergeCell ref="C50:D50"/>
  </mergeCells>
  <conditionalFormatting sqref="E8:AI37">
    <cfRule type="expression" dxfId="0" priority="1">
      <formula>E$6=""</formula>
    </cfRule>
  </conditionalFormatting>
  <conditionalFormatting sqref="E8:AI37">
    <cfRule type="expression" dxfId="1" priority="2">
      <formula>E$5="Lễ"</formula>
    </cfRule>
  </conditionalFormatting>
  <conditionalFormatting sqref="E8:AI37">
    <cfRule type="expression" dxfId="2" priority="3">
      <formula>E$7="CN"</formula>
    </cfRule>
  </conditionalFormatting>
  <conditionalFormatting sqref="E5:AI7">
    <cfRule type="expression" dxfId="3" priority="4">
      <formula>E$5="Lễ"</formula>
    </cfRule>
  </conditionalFormatting>
  <conditionalFormatting sqref="E5:AI7">
    <cfRule type="expression" dxfId="4" priority="5">
      <formula>E$7="CN"</formula>
    </cfRule>
  </conditionalFormatting>
  <conditionalFormatting sqref="E6:AI7">
    <cfRule type="expression" dxfId="0" priority="6">
      <formula>E$6=""</formula>
    </cfRule>
  </conditionalFormatting>
  <dataValidations>
    <dataValidation type="list" allowBlank="1" showInputMessage="1" showErrorMessage="1" prompt="Nghề không hợp lệ - Chọn nghề có trong bảng ở mục 5 sheet 'Cài đặt'." sqref="D8:D37">
      <formula1>'Cài đặt'!$B$43:$B$52</formula1>
    </dataValidation>
    <dataValidation type="list" allowBlank="1" showInputMessage="1" showErrorMessage="1" prompt="Chấm công - Chọn ký hiệu ca / loại nghỉ" sqref="E8:AI37">
      <formula1>'Cài đặt'!$B$16:$B$25</formula1>
    </dataValidation>
  </dataValidations>
  <printOptions/>
  <pageMargins bottom="1.0" footer="0.0" header="0.0" left="0.3" right="0.3" top="1.0"/>
  <pageSetup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DBA74"/>
    <pageSetUpPr fitToPage="1"/>
  </sheetPr>
  <sheetViews>
    <sheetView showGridLines="0" workbookViewId="0">
      <pane xSplit="5.0" ySplit="6.0" topLeftCell="F7" activePane="bottomRight" state="frozen"/>
      <selection activeCell="F1" sqref="F1" pane="topRight"/>
      <selection activeCell="A7" sqref="A7" pane="bottomLeft"/>
      <selection activeCell="F7" sqref="F7" pane="bottomRight"/>
    </sheetView>
  </sheetViews>
  <sheetFormatPr customHeight="1" defaultColWidth="14.43" defaultRowHeight="15.0"/>
  <cols>
    <col customWidth="1" min="1" max="1" width="5.0"/>
    <col customWidth="1" min="2" max="2" width="9.0"/>
    <col customWidth="1" min="3" max="3" width="22.0"/>
    <col customWidth="1" min="4" max="4" width="21.0"/>
    <col customWidth="1" min="5" max="5" width="11.0"/>
    <col customWidth="1" min="6" max="8" width="9.0"/>
    <col customWidth="1" min="9" max="9" width="10.0"/>
    <col customWidth="1" min="10" max="12" width="9.0"/>
    <col customWidth="1" min="13" max="13" width="13.0"/>
    <col customWidth="1" min="14" max="16" width="12.0"/>
    <col customWidth="1" min="17" max="17" width="13.0"/>
    <col customWidth="1" min="18" max="19" width="12.0"/>
    <col customWidth="1" min="20" max="20" width="14.0"/>
    <col customWidth="1" min="21" max="23" width="12.0"/>
    <col customWidth="1" min="24" max="25" width="14.0"/>
    <col customWidth="1" min="26" max="26" width="8.71"/>
  </cols>
  <sheetData>
    <row r="1" ht="24.0" customHeight="1">
      <c r="A1" s="1" t="str">
        <f>'Cài đặt'!D5</f>
        <v>CÔNG TY TNHH XÂY DỰNG &amp; THƯƠNG MẠI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ht="39.75" customHeight="1">
      <c r="A2" s="4" t="s">
        <v>62</v>
      </c>
    </row>
    <row r="3" ht="21.75" customHeight="1">
      <c r="A3" s="6" t="str">
        <f>"Tháng "&amp;'Cài đặt'!D7&amp;" năm "&amp;'Cài đặt'!D8&amp;"   |   Công trình: "&amp;'Cài đặt'!D6&amp;"   |   Công chuẩn: "&amp;'Cài đặt'!D11&amp;" ngày   |   Đơn vị: VNĐ"</f>
        <v>Tháng 11 năm 2026   |   Công trình: Nhà phố 4 tầng – 45 Lê Văn Lương, Hà Nội   |   Công chuẩn: 25 ngày   |   Đơn vị: VNĐ</v>
      </c>
    </row>
    <row r="4" ht="7.5" customHeight="1"/>
    <row r="5" ht="19.5" customHeight="1">
      <c r="A5" s="7" t="s">
        <v>1</v>
      </c>
      <c r="B5" s="7" t="s">
        <v>2</v>
      </c>
      <c r="C5" s="7" t="s">
        <v>3</v>
      </c>
      <c r="D5" s="7" t="s">
        <v>4</v>
      </c>
      <c r="E5" s="7" t="s">
        <v>63</v>
      </c>
      <c r="F5" s="11" t="s">
        <v>64</v>
      </c>
      <c r="G5" s="9"/>
      <c r="H5" s="10"/>
      <c r="I5" s="8" t="s">
        <v>65</v>
      </c>
      <c r="J5" s="9"/>
      <c r="K5" s="9"/>
      <c r="L5" s="10"/>
      <c r="M5" s="11" t="s">
        <v>66</v>
      </c>
      <c r="N5" s="9"/>
      <c r="O5" s="9"/>
      <c r="P5" s="9"/>
      <c r="Q5" s="9"/>
      <c r="R5" s="9"/>
      <c r="S5" s="9"/>
      <c r="T5" s="10"/>
      <c r="U5" s="8" t="s">
        <v>67</v>
      </c>
      <c r="V5" s="9"/>
      <c r="W5" s="9"/>
      <c r="X5" s="10"/>
      <c r="Y5" s="12" t="s">
        <v>68</v>
      </c>
    </row>
    <row r="6" ht="48.0" customHeight="1">
      <c r="A6" s="17"/>
      <c r="B6" s="17"/>
      <c r="C6" s="17"/>
      <c r="D6" s="17"/>
      <c r="E6" s="17"/>
      <c r="F6" s="52" t="s">
        <v>69</v>
      </c>
      <c r="G6" s="52" t="s">
        <v>70</v>
      </c>
      <c r="H6" s="52" t="s">
        <v>71</v>
      </c>
      <c r="I6" s="52" t="s">
        <v>72</v>
      </c>
      <c r="J6" s="52" t="s">
        <v>13</v>
      </c>
      <c r="K6" s="52" t="s">
        <v>10</v>
      </c>
      <c r="L6" s="52" t="s">
        <v>11</v>
      </c>
      <c r="M6" s="52" t="s">
        <v>73</v>
      </c>
      <c r="N6" s="52" t="s">
        <v>74</v>
      </c>
      <c r="O6" s="52" t="s">
        <v>75</v>
      </c>
      <c r="P6" s="52" t="s">
        <v>76</v>
      </c>
      <c r="Q6" s="52" t="s">
        <v>77</v>
      </c>
      <c r="R6" s="52" t="s">
        <v>78</v>
      </c>
      <c r="S6" s="52" t="s">
        <v>79</v>
      </c>
      <c r="T6" s="52" t="s">
        <v>80</v>
      </c>
      <c r="U6" s="52" t="s">
        <v>81</v>
      </c>
      <c r="V6" s="52" t="s">
        <v>82</v>
      </c>
      <c r="W6" s="52" t="s">
        <v>83</v>
      </c>
      <c r="X6" s="52" t="s">
        <v>84</v>
      </c>
      <c r="Y6" s="17"/>
    </row>
    <row r="7" ht="21.0" customHeight="1">
      <c r="A7" s="53">
        <v>1.0</v>
      </c>
      <c r="B7" s="32" t="str">
        <f>IF('Chấm công'!$C8="","",'Chấm công'!$B8&amp;"")</f>
        <v>TX001</v>
      </c>
      <c r="C7" s="54" t="str">
        <f>IF('Chấm công'!$C8="","",'Chấm công'!$C8)</f>
        <v>Nguyễn Văn Bình</v>
      </c>
      <c r="D7" s="55" t="str">
        <f>IF('Chấm công'!$C8="","",'Chấm công'!$D8&amp;"")</f>
        <v>Tổ trưởng / đội trưởng</v>
      </c>
      <c r="E7" s="56">
        <f t="array" ref="E7">IF($C7="","",IFERROR(INDEX('Cài đặt'!$D$43:$D$52,MATCH($D7,'Cài đặt'!$B$43:$B$52,0)),0))</f>
        <v>550000</v>
      </c>
      <c r="F7" s="26">
        <f>IF($C7="","",SUM('Chấm công'!AJ8:AM8))</f>
        <v>25</v>
      </c>
      <c r="G7" s="26">
        <f>IF($C7="","",'Chấm công'!AO8+'Chấm công'!AP8)</f>
        <v>0</v>
      </c>
      <c r="H7" s="26">
        <f>IF($C7="","",'Chấm công'!AN8+'Chấm công'!AQ8+'Chấm công'!AR8)</f>
        <v>1</v>
      </c>
      <c r="I7" s="27">
        <f>IF($C7="","",'Chấm công'!AV8)</f>
        <v>25</v>
      </c>
      <c r="J7" s="26">
        <f>IF($C7="","",'Chấm công'!AW8)</f>
        <v>0</v>
      </c>
      <c r="K7" s="26">
        <f>IF($C7="","",'Chấm công'!AT8)</f>
        <v>8</v>
      </c>
      <c r="L7" s="26">
        <f>IF($C7="","",'Chấm công'!AU8)</f>
        <v>0</v>
      </c>
      <c r="M7" s="56">
        <f t="shared" ref="M7:M36" si="1">IF($C7="","",ROUND(I7*E7,0))</f>
        <v>13750000</v>
      </c>
      <c r="N7" s="56">
        <f>IF($C7="","",ROUND(J7*($E7/'Cài đặt'!$D$12)*('Cài đặt'!$D$32-1),0))</f>
        <v>0</v>
      </c>
      <c r="O7" s="56">
        <f>IF($C7="","",ROUND(K7*($E7/'Cài đặt'!$D$12)*('Cài đặt'!$D$33-1),0))</f>
        <v>550000</v>
      </c>
      <c r="P7" s="56">
        <f>IF($C7="","",ROUND(L7*($E7/'Cài đặt'!$D$12)*('Cài đặt'!$D$34-1),0))</f>
        <v>0</v>
      </c>
      <c r="Q7" s="57">
        <f>IF($C7="","",SUMIFS('Khối lượng khoán'!$I$8:$I$107,'Khối lượng khoán'!$D$8:$D$107,$C7,'Khối lượng khoán'!$K$8:$K$107,"Đạt",'Khối lượng khoán'!$B$8:$B$107,"&gt;="&amp;DATE('Cài đặt'!$D$8,'Cài đặt'!$D$7,1),'Khối lượng khoán'!$B$8:$B$107,"&lt;"&amp;DATE('Cài đặt'!$D$8,'Cài đặt'!$D$7+1,1)))</f>
        <v>0</v>
      </c>
      <c r="R7" s="56">
        <f>IF($C7="","",F7*'Cài đặt'!$D$35)</f>
        <v>750000</v>
      </c>
      <c r="S7" s="56">
        <f>IF($C7="","",IF('Chấm công'!AR8=0,'Cài đặt'!$D$36,0))</f>
        <v>300000</v>
      </c>
      <c r="T7" s="58">
        <f t="shared" ref="T7:T36" si="2">IF($C7="","",SUM(M7:S7))</f>
        <v>15350000</v>
      </c>
      <c r="U7" s="56">
        <f>IF($C7="","",ROUND(M7*'Cài đặt'!$D$37,0))</f>
        <v>0</v>
      </c>
      <c r="V7" s="59"/>
      <c r="W7" s="59"/>
      <c r="X7" s="60">
        <f t="shared" ref="X7:X36" si="3">IF($C7="","",T7-U7-N(V7)-N(W7))</f>
        <v>15350000</v>
      </c>
      <c r="Y7" s="20"/>
    </row>
    <row r="8" ht="21.0" customHeight="1">
      <c r="A8" s="53">
        <v>2.0</v>
      </c>
      <c r="B8" s="32" t="str">
        <f>IF('Chấm công'!$C9="","",'Chấm công'!$B9&amp;"")</f>
        <v>TX002</v>
      </c>
      <c r="C8" s="54" t="str">
        <f>IF('Chấm công'!$C9="","",'Chấm công'!$C9)</f>
        <v>Trần Văn Đức</v>
      </c>
      <c r="D8" s="55" t="str">
        <f>IF('Chấm công'!$C9="","",'Chấm công'!$D9&amp;"")</f>
        <v>Thợ xây</v>
      </c>
      <c r="E8" s="56">
        <f t="array" ref="E8">IF($C8="","",IFERROR(INDEX('Cài đặt'!$D$43:$D$52,MATCH($D8,'Cài đặt'!$B$43:$B$52,0)),0))</f>
        <v>450000</v>
      </c>
      <c r="F8" s="26">
        <f>IF($C8="","",SUM('Chấm công'!AJ9:AM9))</f>
        <v>24</v>
      </c>
      <c r="G8" s="26">
        <f>IF($C8="","",'Chấm công'!AO9+'Chấm công'!AP9)</f>
        <v>0</v>
      </c>
      <c r="H8" s="26">
        <f>IF($C8="","",'Chấm công'!AN9+'Chấm công'!AQ9+'Chấm công'!AR9)</f>
        <v>1</v>
      </c>
      <c r="I8" s="27">
        <f>IF($C8="","",'Chấm công'!AV9)</f>
        <v>26.25</v>
      </c>
      <c r="J8" s="26">
        <f>IF($C8="","",'Chấm công'!AW9)</f>
        <v>10</v>
      </c>
      <c r="K8" s="26">
        <f>IF($C8="","",'Chấm công'!AT9)</f>
        <v>0</v>
      </c>
      <c r="L8" s="26">
        <f>IF($C8="","",'Chấm công'!AU9)</f>
        <v>0</v>
      </c>
      <c r="M8" s="56">
        <f t="shared" si="1"/>
        <v>11812500</v>
      </c>
      <c r="N8" s="56">
        <f>IF($C8="","",ROUND(J8*($E8/'Cài đặt'!$D$12)*('Cài đặt'!$D$32-1),0))</f>
        <v>281250</v>
      </c>
      <c r="O8" s="56">
        <f>IF($C8="","",ROUND(K8*($E8/'Cài đặt'!$D$12)*('Cài đặt'!$D$33-1),0))</f>
        <v>0</v>
      </c>
      <c r="P8" s="56">
        <f>IF($C8="","",ROUND(L8*($E8/'Cài đặt'!$D$12)*('Cài đặt'!$D$34-1),0))</f>
        <v>0</v>
      </c>
      <c r="Q8" s="57">
        <f>IF($C8="","",SUMIFS('Khối lượng khoán'!$I$8:$I$107,'Khối lượng khoán'!$D$8:$D$107,$C8,'Khối lượng khoán'!$K$8:$K$107,"Đạt",'Khối lượng khoán'!$B$8:$B$107,"&gt;="&amp;DATE('Cài đặt'!$D$8,'Cài đặt'!$D$7,1),'Khối lượng khoán'!$B$8:$B$107,"&lt;"&amp;DATE('Cài đặt'!$D$8,'Cài đặt'!$D$7+1,1)))</f>
        <v>2600000</v>
      </c>
      <c r="R8" s="56">
        <f>IF($C8="","",F8*'Cài đặt'!$D$35)</f>
        <v>720000</v>
      </c>
      <c r="S8" s="56">
        <f>IF($C8="","",IF('Chấm công'!AR9=0,'Cài đặt'!$D$36,0))</f>
        <v>300000</v>
      </c>
      <c r="T8" s="58">
        <f t="shared" si="2"/>
        <v>15713750</v>
      </c>
      <c r="U8" s="56">
        <f>IF($C8="","",ROUND(M8*'Cài đặt'!$D$37,0))</f>
        <v>0</v>
      </c>
      <c r="V8" s="59"/>
      <c r="W8" s="59"/>
      <c r="X8" s="60">
        <f t="shared" si="3"/>
        <v>15713750</v>
      </c>
      <c r="Y8" s="20"/>
    </row>
    <row r="9" ht="21.0" customHeight="1">
      <c r="A9" s="53">
        <v>3.0</v>
      </c>
      <c r="B9" s="32" t="str">
        <f>IF('Chấm công'!$C10="","",'Chấm công'!$B10&amp;"")</f>
        <v>TX003</v>
      </c>
      <c r="C9" s="54" t="str">
        <f>IF('Chấm công'!$C10="","",'Chấm công'!$C10)</f>
        <v>Lê Văn Hải</v>
      </c>
      <c r="D9" s="55" t="str">
        <f>IF('Chấm công'!$C10="","",'Chấm công'!$D10&amp;"")</f>
        <v>Thợ xây</v>
      </c>
      <c r="E9" s="56">
        <f t="array" ref="E9">IF($C9="","",IFERROR(INDEX('Cài đặt'!$D$43:$D$52,MATCH($D9,'Cài đặt'!$B$43:$B$52,0)),0))</f>
        <v>450000</v>
      </c>
      <c r="F9" s="26">
        <f>IF($C9="","",SUM('Chấm công'!AJ10:AM10))</f>
        <v>24</v>
      </c>
      <c r="G9" s="26">
        <f>IF($C9="","",'Chấm công'!AO10+'Chấm công'!AP10)</f>
        <v>0</v>
      </c>
      <c r="H9" s="26">
        <f>IF($C9="","",'Chấm công'!AN10+'Chấm công'!AQ10+'Chấm công'!AR10)</f>
        <v>1</v>
      </c>
      <c r="I9" s="27">
        <f>IF($C9="","",'Chấm công'!AV10)</f>
        <v>26.25</v>
      </c>
      <c r="J9" s="26">
        <f>IF($C9="","",'Chấm công'!AW10)</f>
        <v>10</v>
      </c>
      <c r="K9" s="26">
        <f>IF($C9="","",'Chấm công'!AT10)</f>
        <v>0</v>
      </c>
      <c r="L9" s="26">
        <f>IF($C9="","",'Chấm công'!AU10)</f>
        <v>0</v>
      </c>
      <c r="M9" s="56">
        <f t="shared" si="1"/>
        <v>11812500</v>
      </c>
      <c r="N9" s="56">
        <f>IF($C9="","",ROUND(J9*($E9/'Cài đặt'!$D$12)*('Cài đặt'!$D$32-1),0))</f>
        <v>281250</v>
      </c>
      <c r="O9" s="56">
        <f>IF($C9="","",ROUND(K9*($E9/'Cài đặt'!$D$12)*('Cài đặt'!$D$33-1),0))</f>
        <v>0</v>
      </c>
      <c r="P9" s="56">
        <f>IF($C9="","",ROUND(L9*($E9/'Cài đặt'!$D$12)*('Cài đặt'!$D$34-1),0))</f>
        <v>0</v>
      </c>
      <c r="Q9" s="57">
        <f>IF($C9="","",SUMIFS('Khối lượng khoán'!$I$8:$I$107,'Khối lượng khoán'!$D$8:$D$107,$C9,'Khối lượng khoán'!$K$8:$K$107,"Đạt",'Khối lượng khoán'!$B$8:$B$107,"&gt;="&amp;DATE('Cài đặt'!$D$8,'Cài đặt'!$D$7,1),'Khối lượng khoán'!$B$8:$B$107,"&lt;"&amp;DATE('Cài đặt'!$D$8,'Cài đặt'!$D$7+1,1)))</f>
        <v>2000000</v>
      </c>
      <c r="R9" s="56">
        <f>IF($C9="","",F9*'Cài đặt'!$D$35)</f>
        <v>720000</v>
      </c>
      <c r="S9" s="56">
        <f>IF($C9="","",IF('Chấm công'!AR10=0,'Cài đặt'!$D$36,0))</f>
        <v>300000</v>
      </c>
      <c r="T9" s="58">
        <f t="shared" si="2"/>
        <v>15113750</v>
      </c>
      <c r="U9" s="56">
        <f>IF($C9="","",ROUND(M9*'Cài đặt'!$D$37,0))</f>
        <v>0</v>
      </c>
      <c r="V9" s="59"/>
      <c r="W9" s="59"/>
      <c r="X9" s="60">
        <f t="shared" si="3"/>
        <v>15113750</v>
      </c>
      <c r="Y9" s="20"/>
    </row>
    <row r="10" ht="21.0" customHeight="1">
      <c r="A10" s="53">
        <v>4.0</v>
      </c>
      <c r="B10" s="32" t="str">
        <f>IF('Chấm công'!$C11="","",'Chấm công'!$B11&amp;"")</f>
        <v>TX004</v>
      </c>
      <c r="C10" s="54" t="str">
        <f>IF('Chấm công'!$C11="","",'Chấm công'!$C11)</f>
        <v>Phạm Văn Lộc</v>
      </c>
      <c r="D10" s="55" t="str">
        <f>IF('Chấm công'!$C11="","",'Chấm công'!$D11&amp;"")</f>
        <v>Thợ xây</v>
      </c>
      <c r="E10" s="56">
        <f t="array" ref="E10">IF($C10="","",IFERROR(INDEX('Cài đặt'!$D$43:$D$52,MATCH($D10,'Cài đặt'!$B$43:$B$52,0)),0))</f>
        <v>450000</v>
      </c>
      <c r="F10" s="26">
        <f>IF($C10="","",SUM('Chấm công'!AJ11:AM11))</f>
        <v>24</v>
      </c>
      <c r="G10" s="26">
        <f>IF($C10="","",'Chấm công'!AO11+'Chấm công'!AP11)</f>
        <v>0</v>
      </c>
      <c r="H10" s="26">
        <f>IF($C10="","",'Chấm công'!AN11+'Chấm công'!AQ11+'Chấm công'!AR11)</f>
        <v>1</v>
      </c>
      <c r="I10" s="27">
        <f>IF($C10="","",'Chấm công'!AV11)</f>
        <v>26.25</v>
      </c>
      <c r="J10" s="26">
        <f>IF($C10="","",'Chấm công'!AW11)</f>
        <v>10</v>
      </c>
      <c r="K10" s="26">
        <f>IF($C10="","",'Chấm công'!AT11)</f>
        <v>0</v>
      </c>
      <c r="L10" s="26">
        <f>IF($C10="","",'Chấm công'!AU11)</f>
        <v>0</v>
      </c>
      <c r="M10" s="56">
        <f t="shared" si="1"/>
        <v>11812500</v>
      </c>
      <c r="N10" s="56">
        <f>IF($C10="","",ROUND(J10*($E10/'Cài đặt'!$D$12)*('Cài đặt'!$D$32-1),0))</f>
        <v>281250</v>
      </c>
      <c r="O10" s="56">
        <f>IF($C10="","",ROUND(K10*($E10/'Cài đặt'!$D$12)*('Cài đặt'!$D$33-1),0))</f>
        <v>0</v>
      </c>
      <c r="P10" s="56">
        <f>IF($C10="","",ROUND(L10*($E10/'Cài đặt'!$D$12)*('Cài đặt'!$D$34-1),0))</f>
        <v>0</v>
      </c>
      <c r="Q10" s="57">
        <f>IF($C10="","",SUMIFS('Khối lượng khoán'!$I$8:$I$107,'Khối lượng khoán'!$D$8:$D$107,$C10,'Khối lượng khoán'!$K$8:$K$107,"Đạt",'Khối lượng khoán'!$B$8:$B$107,"&gt;="&amp;DATE('Cài đặt'!$D$8,'Cài đặt'!$D$7,1),'Khối lượng khoán'!$B$8:$B$107,"&lt;"&amp;DATE('Cài đặt'!$D$8,'Cài đặt'!$D$7+1,1)))</f>
        <v>0</v>
      </c>
      <c r="R10" s="56">
        <f>IF($C10="","",F10*'Cài đặt'!$D$35)</f>
        <v>720000</v>
      </c>
      <c r="S10" s="56">
        <f>IF($C10="","",IF('Chấm công'!AR11=0,'Cài đặt'!$D$36,0))</f>
        <v>300000</v>
      </c>
      <c r="T10" s="58">
        <f t="shared" si="2"/>
        <v>13113750</v>
      </c>
      <c r="U10" s="56">
        <f>IF($C10="","",ROUND(M10*'Cài đặt'!$D$37,0))</f>
        <v>0</v>
      </c>
      <c r="V10" s="59"/>
      <c r="W10" s="59"/>
      <c r="X10" s="60">
        <f t="shared" si="3"/>
        <v>13113750</v>
      </c>
      <c r="Y10" s="20"/>
    </row>
    <row r="11" ht="21.0" customHeight="1">
      <c r="A11" s="53">
        <v>5.0</v>
      </c>
      <c r="B11" s="32" t="str">
        <f>IF('Chấm công'!$C12="","",'Chấm công'!$B12&amp;"")</f>
        <v>TX005</v>
      </c>
      <c r="C11" s="54" t="str">
        <f>IF('Chấm công'!$C12="","",'Chấm công'!$C12)</f>
        <v>Hoàng Văn Nghĩa</v>
      </c>
      <c r="D11" s="55" t="str">
        <f>IF('Chấm công'!$C12="","",'Chấm công'!$D12&amp;"")</f>
        <v>Thợ tô – trát</v>
      </c>
      <c r="E11" s="56">
        <f t="array" ref="E11">IF($C11="","",IFERROR(INDEX('Cài đặt'!$D$43:$D$52,MATCH($D11,'Cài đặt'!$B$43:$B$52,0)),0))</f>
        <v>450000</v>
      </c>
      <c r="F11" s="26">
        <f>IF($C11="","",SUM('Chấm công'!AJ12:AM12))</f>
        <v>22</v>
      </c>
      <c r="G11" s="26">
        <f>IF($C11="","",'Chấm công'!AO12+'Chấm công'!AP12)</f>
        <v>2</v>
      </c>
      <c r="H11" s="26">
        <f>IF($C11="","",'Chấm công'!AN12+'Chấm công'!AQ12+'Chấm công'!AR12)</f>
        <v>1</v>
      </c>
      <c r="I11" s="27">
        <f>IF($C11="","",'Chấm công'!AV12)</f>
        <v>24</v>
      </c>
      <c r="J11" s="26">
        <f>IF($C11="","",'Chấm công'!AW12)</f>
        <v>0</v>
      </c>
      <c r="K11" s="26">
        <f>IF($C11="","",'Chấm công'!AT12)</f>
        <v>0</v>
      </c>
      <c r="L11" s="26">
        <f>IF($C11="","",'Chấm công'!AU12)</f>
        <v>0</v>
      </c>
      <c r="M11" s="56">
        <f t="shared" si="1"/>
        <v>10800000</v>
      </c>
      <c r="N11" s="56">
        <f>IF($C11="","",ROUND(J11*($E11/'Cài đặt'!$D$12)*('Cài đặt'!$D$32-1),0))</f>
        <v>0</v>
      </c>
      <c r="O11" s="56">
        <f>IF($C11="","",ROUND(K11*($E11/'Cài đặt'!$D$12)*('Cài đặt'!$D$33-1),0))</f>
        <v>0</v>
      </c>
      <c r="P11" s="56">
        <f>IF($C11="","",ROUND(L11*($E11/'Cài đặt'!$D$12)*('Cài đặt'!$D$34-1),0))</f>
        <v>0</v>
      </c>
      <c r="Q11" s="57">
        <f>IF($C11="","",SUMIFS('Khối lượng khoán'!$I$8:$I$107,'Khối lượng khoán'!$D$8:$D$107,$C11,'Khối lượng khoán'!$K$8:$K$107,"Đạt",'Khối lượng khoán'!$B$8:$B$107,"&gt;="&amp;DATE('Cài đặt'!$D$8,'Cài đặt'!$D$7,1),'Khối lượng khoán'!$B$8:$B$107,"&lt;"&amp;DATE('Cài đặt'!$D$8,'Cài đặt'!$D$7+1,1)))</f>
        <v>3825000</v>
      </c>
      <c r="R11" s="56">
        <f>IF($C11="","",F11*'Cài đặt'!$D$35)</f>
        <v>660000</v>
      </c>
      <c r="S11" s="56">
        <f>IF($C11="","",IF('Chấm công'!AR12=0,'Cài đặt'!$D$36,0))</f>
        <v>300000</v>
      </c>
      <c r="T11" s="58">
        <f t="shared" si="2"/>
        <v>15585000</v>
      </c>
      <c r="U11" s="56">
        <f>IF($C11="","",ROUND(M11*'Cài đặt'!$D$37,0))</f>
        <v>0</v>
      </c>
      <c r="V11" s="59"/>
      <c r="W11" s="59"/>
      <c r="X11" s="60">
        <f t="shared" si="3"/>
        <v>15585000</v>
      </c>
      <c r="Y11" s="20"/>
    </row>
    <row r="12" ht="21.0" customHeight="1">
      <c r="A12" s="53">
        <v>6.0</v>
      </c>
      <c r="B12" s="32" t="str">
        <f>IF('Chấm công'!$C13="","",'Chấm công'!$B13&amp;"")</f>
        <v>TX006</v>
      </c>
      <c r="C12" s="54" t="str">
        <f>IF('Chấm công'!$C13="","",'Chấm công'!$C13)</f>
        <v>Vũ Đình Phong</v>
      </c>
      <c r="D12" s="55" t="str">
        <f>IF('Chấm công'!$C13="","",'Chấm công'!$D13&amp;"")</f>
        <v>Thợ tô – trát</v>
      </c>
      <c r="E12" s="56">
        <f t="array" ref="E12">IF($C12="","",IFERROR(INDEX('Cài đặt'!$D$43:$D$52,MATCH($D12,'Cài đặt'!$B$43:$B$52,0)),0))</f>
        <v>450000</v>
      </c>
      <c r="F12" s="26">
        <f>IF($C12="","",SUM('Chấm công'!AJ13:AM13))</f>
        <v>23</v>
      </c>
      <c r="G12" s="26">
        <f>IF($C12="","",'Chấm công'!AO13+'Chấm công'!AP13)</f>
        <v>0</v>
      </c>
      <c r="H12" s="26">
        <f>IF($C12="","",'Chấm công'!AN13+'Chấm công'!AQ13+'Chấm công'!AR13)</f>
        <v>2</v>
      </c>
      <c r="I12" s="27">
        <f>IF($C12="","",'Chấm công'!AV13)</f>
        <v>23</v>
      </c>
      <c r="J12" s="26">
        <f>IF($C12="","",'Chấm công'!AW13)</f>
        <v>0</v>
      </c>
      <c r="K12" s="26">
        <f>IF($C12="","",'Chấm công'!AT13)</f>
        <v>0</v>
      </c>
      <c r="L12" s="26">
        <f>IF($C12="","",'Chấm công'!AU13)</f>
        <v>0</v>
      </c>
      <c r="M12" s="56">
        <f t="shared" si="1"/>
        <v>10350000</v>
      </c>
      <c r="N12" s="56">
        <f>IF($C12="","",ROUND(J12*($E12/'Cài đặt'!$D$12)*('Cài đặt'!$D$32-1),0))</f>
        <v>0</v>
      </c>
      <c r="O12" s="56">
        <f>IF($C12="","",ROUND(K12*($E12/'Cài đặt'!$D$12)*('Cài đặt'!$D$33-1),0))</f>
        <v>0</v>
      </c>
      <c r="P12" s="56">
        <f>IF($C12="","",ROUND(L12*($E12/'Cài đặt'!$D$12)*('Cài đặt'!$D$34-1),0))</f>
        <v>0</v>
      </c>
      <c r="Q12" s="57">
        <f>IF($C12="","",SUMIFS('Khối lượng khoán'!$I$8:$I$107,'Khối lượng khoán'!$D$8:$D$107,$C12,'Khối lượng khoán'!$K$8:$K$107,"Đạt",'Khối lượng khoán'!$B$8:$B$107,"&gt;="&amp;DATE('Cài đặt'!$D$8,'Cài đặt'!$D$7,1),'Khối lượng khoán'!$B$8:$B$107,"&lt;"&amp;DATE('Cài đặt'!$D$8,'Cài đặt'!$D$7+1,1)))</f>
        <v>3240000</v>
      </c>
      <c r="R12" s="56">
        <f>IF($C12="","",F12*'Cài đặt'!$D$35)</f>
        <v>690000</v>
      </c>
      <c r="S12" s="56">
        <f>IF($C12="","",IF('Chấm công'!AR13=0,'Cài đặt'!$D$36,0))</f>
        <v>0</v>
      </c>
      <c r="T12" s="58">
        <f t="shared" si="2"/>
        <v>14280000</v>
      </c>
      <c r="U12" s="56">
        <f>IF($C12="","",ROUND(M12*'Cài đặt'!$D$37,0))</f>
        <v>0</v>
      </c>
      <c r="V12" s="59"/>
      <c r="W12" s="59"/>
      <c r="X12" s="60">
        <f t="shared" si="3"/>
        <v>14280000</v>
      </c>
      <c r="Y12" s="20"/>
    </row>
    <row r="13" ht="21.0" customHeight="1">
      <c r="A13" s="53">
        <v>7.0</v>
      </c>
      <c r="B13" s="32" t="str">
        <f>IF('Chấm công'!$C14="","",'Chấm công'!$B14&amp;"")</f>
        <v>TX007</v>
      </c>
      <c r="C13" s="54" t="str">
        <f>IF('Chấm công'!$C14="","",'Chấm công'!$C14)</f>
        <v>Đỗ Văn Quý</v>
      </c>
      <c r="D13" s="55" t="str">
        <f>IF('Chấm công'!$C14="","",'Chấm công'!$D14&amp;"")</f>
        <v>Thợ sắt – cốp pha</v>
      </c>
      <c r="E13" s="56">
        <f t="array" ref="E13">IF($C13="","",IFERROR(INDEX('Cài đặt'!$D$43:$D$52,MATCH($D13,'Cài đặt'!$B$43:$B$52,0)),0))</f>
        <v>480000</v>
      </c>
      <c r="F13" s="26">
        <f>IF($C13="","",SUM('Chấm công'!AJ14:AM14))</f>
        <v>24</v>
      </c>
      <c r="G13" s="26">
        <f>IF($C13="","",'Chấm công'!AO14+'Chấm công'!AP14)</f>
        <v>0</v>
      </c>
      <c r="H13" s="26">
        <f>IF($C13="","",'Chấm công'!AN14+'Chấm công'!AQ14+'Chấm công'!AR14)</f>
        <v>1</v>
      </c>
      <c r="I13" s="27">
        <f>IF($C13="","",'Chấm công'!AV14)</f>
        <v>24</v>
      </c>
      <c r="J13" s="26">
        <f>IF($C13="","",'Chấm công'!AW14)</f>
        <v>0</v>
      </c>
      <c r="K13" s="26">
        <f>IF($C13="","",'Chấm công'!AT14)</f>
        <v>0</v>
      </c>
      <c r="L13" s="26">
        <f>IF($C13="","",'Chấm công'!AU14)</f>
        <v>0</v>
      </c>
      <c r="M13" s="56">
        <f t="shared" si="1"/>
        <v>11520000</v>
      </c>
      <c r="N13" s="56">
        <f>IF($C13="","",ROUND(J13*($E13/'Cài đặt'!$D$12)*('Cài đặt'!$D$32-1),0))</f>
        <v>0</v>
      </c>
      <c r="O13" s="56">
        <f>IF($C13="","",ROUND(K13*($E13/'Cài đặt'!$D$12)*('Cài đặt'!$D$33-1),0))</f>
        <v>0</v>
      </c>
      <c r="P13" s="56">
        <f>IF($C13="","",ROUND(L13*($E13/'Cài đặt'!$D$12)*('Cài đặt'!$D$34-1),0))</f>
        <v>0</v>
      </c>
      <c r="Q13" s="57">
        <f>IF($C13="","",SUMIFS('Khối lượng khoán'!$I$8:$I$107,'Khối lượng khoán'!$D$8:$D$107,$C13,'Khối lượng khoán'!$K$8:$K$107,"Đạt",'Khối lượng khoán'!$B$8:$B$107,"&gt;="&amp;DATE('Cài đặt'!$D$8,'Cài đặt'!$D$7,1),'Khối lượng khoán'!$B$8:$B$107,"&lt;"&amp;DATE('Cài đặt'!$D$8,'Cài đặt'!$D$7+1,1)))</f>
        <v>1470000</v>
      </c>
      <c r="R13" s="56">
        <f>IF($C13="","",F13*'Cài đặt'!$D$35)</f>
        <v>720000</v>
      </c>
      <c r="S13" s="56">
        <f>IF($C13="","",IF('Chấm công'!AR14=0,'Cài đặt'!$D$36,0))</f>
        <v>300000</v>
      </c>
      <c r="T13" s="58">
        <f t="shared" si="2"/>
        <v>14010000</v>
      </c>
      <c r="U13" s="56">
        <f>IF($C13="","",ROUND(M13*'Cài đặt'!$D$37,0))</f>
        <v>0</v>
      </c>
      <c r="V13" s="59"/>
      <c r="W13" s="59"/>
      <c r="X13" s="60">
        <f t="shared" si="3"/>
        <v>14010000</v>
      </c>
      <c r="Y13" s="20"/>
    </row>
    <row r="14" ht="21.0" customHeight="1">
      <c r="A14" s="53">
        <v>8.0</v>
      </c>
      <c r="B14" s="32" t="str">
        <f>IF('Chấm công'!$C15="","",'Chấm công'!$B15&amp;"")</f>
        <v>TX008</v>
      </c>
      <c r="C14" s="54" t="str">
        <f>IF('Chấm công'!$C15="","",'Chấm công'!$C15)</f>
        <v>Bùi Văn Sơn</v>
      </c>
      <c r="D14" s="55" t="str">
        <f>IF('Chấm công'!$C15="","",'Chấm công'!$D15&amp;"")</f>
        <v>Thợ sắt – cốp pha</v>
      </c>
      <c r="E14" s="56">
        <f t="array" ref="E14">IF($C14="","",IFERROR(INDEX('Cài đặt'!$D$43:$D$52,MATCH($D14,'Cài đặt'!$B$43:$B$52,0)),0))</f>
        <v>480000</v>
      </c>
      <c r="F14" s="26">
        <f>IF($C14="","",SUM('Chấm công'!AJ15:AM15))</f>
        <v>23</v>
      </c>
      <c r="G14" s="26">
        <f>IF($C14="","",'Chấm công'!AO15+'Chấm công'!AP15)</f>
        <v>0</v>
      </c>
      <c r="H14" s="26">
        <f>IF($C14="","",'Chấm công'!AN15+'Chấm công'!AQ15+'Chấm công'!AR15)</f>
        <v>2</v>
      </c>
      <c r="I14" s="27">
        <f>IF($C14="","",'Chấm công'!AV15)</f>
        <v>23</v>
      </c>
      <c r="J14" s="26">
        <f>IF($C14="","",'Chấm công'!AW15)</f>
        <v>0</v>
      </c>
      <c r="K14" s="26">
        <f>IF($C14="","",'Chấm công'!AT15)</f>
        <v>0</v>
      </c>
      <c r="L14" s="26">
        <f>IF($C14="","",'Chấm công'!AU15)</f>
        <v>0</v>
      </c>
      <c r="M14" s="56">
        <f t="shared" si="1"/>
        <v>11040000</v>
      </c>
      <c r="N14" s="56">
        <f>IF($C14="","",ROUND(J14*($E14/'Cài đặt'!$D$12)*('Cài đặt'!$D$32-1),0))</f>
        <v>0</v>
      </c>
      <c r="O14" s="56">
        <f>IF($C14="","",ROUND(K14*($E14/'Cài đặt'!$D$12)*('Cài đặt'!$D$33-1),0))</f>
        <v>0</v>
      </c>
      <c r="P14" s="56">
        <f>IF($C14="","",ROUND(L14*($E14/'Cài đặt'!$D$12)*('Cài đặt'!$D$34-1),0))</f>
        <v>0</v>
      </c>
      <c r="Q14" s="57">
        <f>IF($C14="","",SUMIFS('Khối lượng khoán'!$I$8:$I$107,'Khối lượng khoán'!$D$8:$D$107,$C14,'Khối lượng khoán'!$K$8:$K$107,"Đạt",'Khối lượng khoán'!$B$8:$B$107,"&gt;="&amp;DATE('Cài đặt'!$D$8,'Cài đặt'!$D$7,1),'Khối lượng khoán'!$B$8:$B$107,"&lt;"&amp;DATE('Cài đặt'!$D$8,'Cài đặt'!$D$7+1,1)))</f>
        <v>0</v>
      </c>
      <c r="R14" s="56">
        <f>IF($C14="","",F14*'Cài đặt'!$D$35)</f>
        <v>690000</v>
      </c>
      <c r="S14" s="56">
        <f>IF($C14="","",IF('Chấm công'!AR15=0,'Cài đặt'!$D$36,0))</f>
        <v>300000</v>
      </c>
      <c r="T14" s="58">
        <f t="shared" si="2"/>
        <v>12030000</v>
      </c>
      <c r="U14" s="56">
        <f>IF($C14="","",ROUND(M14*'Cài đặt'!$D$37,0))</f>
        <v>0</v>
      </c>
      <c r="V14" s="59"/>
      <c r="W14" s="59"/>
      <c r="X14" s="60">
        <f t="shared" si="3"/>
        <v>12030000</v>
      </c>
      <c r="Y14" s="20"/>
    </row>
    <row r="15" ht="21.0" customHeight="1">
      <c r="A15" s="53">
        <v>9.0</v>
      </c>
      <c r="B15" s="32" t="str">
        <f>IF('Chấm công'!$C16="","",'Chấm công'!$B16&amp;"")</f>
        <v>TX009</v>
      </c>
      <c r="C15" s="54" t="str">
        <f>IF('Chấm công'!$C16="","",'Chấm công'!$C16)</f>
        <v>Ngô Văn Tài</v>
      </c>
      <c r="D15" s="55" t="str">
        <f>IF('Chấm công'!$C16="","",'Chấm công'!$D16&amp;"")</f>
        <v>Thợ điện nước</v>
      </c>
      <c r="E15" s="56">
        <f t="array" ref="E15">IF($C15="","",IFERROR(INDEX('Cài đặt'!$D$43:$D$52,MATCH($D15,'Cài đặt'!$B$43:$B$52,0)),0))</f>
        <v>500000</v>
      </c>
      <c r="F15" s="26">
        <f>IF($C15="","",SUM('Chấm công'!AJ16:AM16))</f>
        <v>24</v>
      </c>
      <c r="G15" s="26">
        <f>IF($C15="","",'Chấm công'!AO16+'Chấm công'!AP16)</f>
        <v>0</v>
      </c>
      <c r="H15" s="26">
        <f>IF($C15="","",'Chấm công'!AN16+'Chấm công'!AQ16+'Chấm công'!AR16)</f>
        <v>1</v>
      </c>
      <c r="I15" s="27">
        <f>IF($C15="","",'Chấm công'!AV16)</f>
        <v>24</v>
      </c>
      <c r="J15" s="26">
        <f>IF($C15="","",'Chấm công'!AW16)</f>
        <v>0</v>
      </c>
      <c r="K15" s="26">
        <f>IF($C15="","",'Chấm công'!AT16)</f>
        <v>0</v>
      </c>
      <c r="L15" s="26">
        <f>IF($C15="","",'Chấm công'!AU16)</f>
        <v>0</v>
      </c>
      <c r="M15" s="56">
        <f t="shared" si="1"/>
        <v>12000000</v>
      </c>
      <c r="N15" s="56">
        <f>IF($C15="","",ROUND(J15*($E15/'Cài đặt'!$D$12)*('Cài đặt'!$D$32-1),0))</f>
        <v>0</v>
      </c>
      <c r="O15" s="56">
        <f>IF($C15="","",ROUND(K15*($E15/'Cài đặt'!$D$12)*('Cài đặt'!$D$33-1),0))</f>
        <v>0</v>
      </c>
      <c r="P15" s="56">
        <f>IF($C15="","",ROUND(L15*($E15/'Cài đặt'!$D$12)*('Cài đặt'!$D$34-1),0))</f>
        <v>0</v>
      </c>
      <c r="Q15" s="57">
        <f>IF($C15="","",SUMIFS('Khối lượng khoán'!$I$8:$I$107,'Khối lượng khoán'!$D$8:$D$107,$C15,'Khối lượng khoán'!$K$8:$K$107,"Đạt",'Khối lượng khoán'!$B$8:$B$107,"&gt;="&amp;DATE('Cài đặt'!$D$8,'Cài đặt'!$D$7,1),'Khối lượng khoán'!$B$8:$B$107,"&lt;"&amp;DATE('Cài đặt'!$D$8,'Cài đặt'!$D$7+1,1)))</f>
        <v>720000</v>
      </c>
      <c r="R15" s="56">
        <f>IF($C15="","",F15*'Cài đặt'!$D$35)</f>
        <v>720000</v>
      </c>
      <c r="S15" s="56">
        <f>IF($C15="","",IF('Chấm công'!AR16=0,'Cài đặt'!$D$36,0))</f>
        <v>300000</v>
      </c>
      <c r="T15" s="58">
        <f t="shared" si="2"/>
        <v>13740000</v>
      </c>
      <c r="U15" s="56">
        <f>IF($C15="","",ROUND(M15*'Cài đặt'!$D$37,0))</f>
        <v>0</v>
      </c>
      <c r="V15" s="59"/>
      <c r="W15" s="59"/>
      <c r="X15" s="60">
        <f t="shared" si="3"/>
        <v>13740000</v>
      </c>
      <c r="Y15" s="20"/>
    </row>
    <row r="16" ht="21.0" customHeight="1">
      <c r="A16" s="53">
        <v>10.0</v>
      </c>
      <c r="B16" s="32" t="str">
        <f>IF('Chấm công'!$C17="","",'Chấm công'!$B17&amp;"")</f>
        <v>TX010</v>
      </c>
      <c r="C16" s="54" t="str">
        <f>IF('Chấm công'!$C17="","",'Chấm công'!$C17)</f>
        <v>Đặng Văn Thịnh</v>
      </c>
      <c r="D16" s="55" t="str">
        <f>IF('Chấm công'!$C17="","",'Chấm công'!$D17&amp;"")</f>
        <v>Thợ sơn – bả</v>
      </c>
      <c r="E16" s="56">
        <f t="array" ref="E16">IF($C16="","",IFERROR(INDEX('Cài đặt'!$D$43:$D$52,MATCH($D16,'Cài đặt'!$B$43:$B$52,0)),0))</f>
        <v>420000</v>
      </c>
      <c r="F16" s="26">
        <f>IF($C16="","",SUM('Chấm công'!AJ17:AM17))</f>
        <v>24</v>
      </c>
      <c r="G16" s="26">
        <f>IF($C16="","",'Chấm công'!AO17+'Chấm công'!AP17)</f>
        <v>0</v>
      </c>
      <c r="H16" s="26">
        <f>IF($C16="","",'Chấm công'!AN17+'Chấm công'!AQ17+'Chấm công'!AR17)</f>
        <v>1</v>
      </c>
      <c r="I16" s="27">
        <f>IF($C16="","",'Chấm công'!AV17)</f>
        <v>25.125</v>
      </c>
      <c r="J16" s="26">
        <f>IF($C16="","",'Chấm công'!AW17)</f>
        <v>1</v>
      </c>
      <c r="K16" s="26">
        <f>IF($C16="","",'Chấm công'!AT17)</f>
        <v>0</v>
      </c>
      <c r="L16" s="26">
        <f>IF($C16="","",'Chấm công'!AU17)</f>
        <v>0</v>
      </c>
      <c r="M16" s="56">
        <f t="shared" si="1"/>
        <v>10552500</v>
      </c>
      <c r="N16" s="56">
        <f>IF($C16="","",ROUND(J16*($E16/'Cài đặt'!$D$12)*('Cài đặt'!$D$32-1),0))</f>
        <v>26250</v>
      </c>
      <c r="O16" s="56">
        <f>IF($C16="","",ROUND(K16*($E16/'Cài đặt'!$D$12)*('Cài đặt'!$D$33-1),0))</f>
        <v>0</v>
      </c>
      <c r="P16" s="56">
        <f>IF($C16="","",ROUND(L16*($E16/'Cài đặt'!$D$12)*('Cài đặt'!$D$34-1),0))</f>
        <v>0</v>
      </c>
      <c r="Q16" s="57">
        <f>IF($C16="","",SUMIFS('Khối lượng khoán'!$I$8:$I$107,'Khối lượng khoán'!$D$8:$D$107,$C16,'Khối lượng khoán'!$K$8:$K$107,"Đạt",'Khối lượng khoán'!$B$8:$B$107,"&gt;="&amp;DATE('Cài đặt'!$D$8,'Cài đặt'!$D$7,1),'Khối lượng khoán'!$B$8:$B$107,"&lt;"&amp;DATE('Cài đặt'!$D$8,'Cài đặt'!$D$7+1,1)))</f>
        <v>0</v>
      </c>
      <c r="R16" s="56">
        <f>IF($C16="","",F16*'Cài đặt'!$D$35)</f>
        <v>720000</v>
      </c>
      <c r="S16" s="56">
        <f>IF($C16="","",IF('Chấm công'!AR17=0,'Cài đặt'!$D$36,0))</f>
        <v>300000</v>
      </c>
      <c r="T16" s="58">
        <f t="shared" si="2"/>
        <v>11598750</v>
      </c>
      <c r="U16" s="56">
        <f>IF($C16="","",ROUND(M16*'Cài đặt'!$D$37,0))</f>
        <v>0</v>
      </c>
      <c r="V16" s="59"/>
      <c r="W16" s="59"/>
      <c r="X16" s="60">
        <f t="shared" si="3"/>
        <v>11598750</v>
      </c>
      <c r="Y16" s="20"/>
    </row>
    <row r="17" ht="21.0" customHeight="1">
      <c r="A17" s="53">
        <v>11.0</v>
      </c>
      <c r="B17" s="32" t="str">
        <f>IF('Chấm công'!$C18="","",'Chấm công'!$B18&amp;"")</f>
        <v>TX011</v>
      </c>
      <c r="C17" s="54" t="str">
        <f>IF('Chấm công'!$C18="","",'Chấm công'!$C18)</f>
        <v>Phan Văn Ước</v>
      </c>
      <c r="D17" s="55" t="str">
        <f>IF('Chấm công'!$C18="","",'Chấm công'!$D18&amp;"")</f>
        <v>Phụ hồ</v>
      </c>
      <c r="E17" s="56">
        <f t="array" ref="E17">IF($C17="","",IFERROR(INDEX('Cài đặt'!$D$43:$D$52,MATCH($D17,'Cài đặt'!$B$43:$B$52,0)),0))</f>
        <v>330000</v>
      </c>
      <c r="F17" s="26">
        <f>IF($C17="","",SUM('Chấm công'!AJ18:AM18))</f>
        <v>24</v>
      </c>
      <c r="G17" s="26">
        <f>IF($C17="","",'Chấm công'!AO18+'Chấm công'!AP18)</f>
        <v>0</v>
      </c>
      <c r="H17" s="26">
        <f>IF($C17="","",'Chấm công'!AN18+'Chấm công'!AQ18+'Chấm công'!AR18)</f>
        <v>1</v>
      </c>
      <c r="I17" s="27">
        <f>IF($C17="","",'Chấm công'!AV18)</f>
        <v>22.5</v>
      </c>
      <c r="J17" s="26">
        <f>IF($C17="","",'Chấm công'!AW18)</f>
        <v>0</v>
      </c>
      <c r="K17" s="26">
        <f>IF($C17="","",'Chấm công'!AT18)</f>
        <v>0</v>
      </c>
      <c r="L17" s="26">
        <f>IF($C17="","",'Chấm công'!AU18)</f>
        <v>0</v>
      </c>
      <c r="M17" s="56">
        <f t="shared" si="1"/>
        <v>7425000</v>
      </c>
      <c r="N17" s="56">
        <f>IF($C17="","",ROUND(J17*($E17/'Cài đặt'!$D$12)*('Cài đặt'!$D$32-1),0))</f>
        <v>0</v>
      </c>
      <c r="O17" s="56">
        <f>IF($C17="","",ROUND(K17*($E17/'Cài đặt'!$D$12)*('Cài đặt'!$D$33-1),0))</f>
        <v>0</v>
      </c>
      <c r="P17" s="56">
        <f>IF($C17="","",ROUND(L17*($E17/'Cài đặt'!$D$12)*('Cài đặt'!$D$34-1),0))</f>
        <v>0</v>
      </c>
      <c r="Q17" s="57">
        <f>IF($C17="","",SUMIFS('Khối lượng khoán'!$I$8:$I$107,'Khối lượng khoán'!$D$8:$D$107,$C17,'Khối lượng khoán'!$K$8:$K$107,"Đạt",'Khối lượng khoán'!$B$8:$B$107,"&gt;="&amp;DATE('Cài đặt'!$D$8,'Cài đặt'!$D$7,1),'Khối lượng khoán'!$B$8:$B$107,"&lt;"&amp;DATE('Cài đặt'!$D$8,'Cài đặt'!$D$7+1,1)))</f>
        <v>0</v>
      </c>
      <c r="R17" s="56">
        <f>IF($C17="","",F17*'Cài đặt'!$D$35)</f>
        <v>720000</v>
      </c>
      <c r="S17" s="56">
        <f>IF($C17="","",IF('Chấm công'!AR18=0,'Cài đặt'!$D$36,0))</f>
        <v>300000</v>
      </c>
      <c r="T17" s="58">
        <f t="shared" si="2"/>
        <v>8445000</v>
      </c>
      <c r="U17" s="56">
        <f>IF($C17="","",ROUND(M17*'Cài đặt'!$D$37,0))</f>
        <v>0</v>
      </c>
      <c r="V17" s="59"/>
      <c r="W17" s="59"/>
      <c r="X17" s="60">
        <f t="shared" si="3"/>
        <v>8445000</v>
      </c>
      <c r="Y17" s="20"/>
    </row>
    <row r="18" ht="21.0" customHeight="1">
      <c r="A18" s="53">
        <v>12.0</v>
      </c>
      <c r="B18" s="32" t="str">
        <f>IF('Chấm công'!$C19="","",'Chấm công'!$B19&amp;"")</f>
        <v>TX012</v>
      </c>
      <c r="C18" s="54" t="str">
        <f>IF('Chấm công'!$C19="","",'Chấm công'!$C19)</f>
        <v>Lý Văn Vinh</v>
      </c>
      <c r="D18" s="55" t="str">
        <f>IF('Chấm công'!$C19="","",'Chấm công'!$D19&amp;"")</f>
        <v>Phụ hồ</v>
      </c>
      <c r="E18" s="56">
        <f t="array" ref="E18">IF($C18="","",IFERROR(INDEX('Cài đặt'!$D$43:$D$52,MATCH($D18,'Cài đặt'!$B$43:$B$52,0)),0))</f>
        <v>330000</v>
      </c>
      <c r="F18" s="26">
        <f>IF($C18="","",SUM('Chấm công'!AJ19:AM19))</f>
        <v>24</v>
      </c>
      <c r="G18" s="26">
        <f>IF($C18="","",'Chấm công'!AO19+'Chấm công'!AP19)</f>
        <v>0</v>
      </c>
      <c r="H18" s="26">
        <f>IF($C18="","",'Chấm công'!AN19+'Chấm công'!AQ19+'Chấm công'!AR19)</f>
        <v>1</v>
      </c>
      <c r="I18" s="27">
        <f>IF($C18="","",'Chấm công'!AV19)</f>
        <v>22.5</v>
      </c>
      <c r="J18" s="26">
        <f>IF($C18="","",'Chấm công'!AW19)</f>
        <v>0</v>
      </c>
      <c r="K18" s="26">
        <f>IF($C18="","",'Chấm công'!AT19)</f>
        <v>0</v>
      </c>
      <c r="L18" s="26">
        <f>IF($C18="","",'Chấm công'!AU19)</f>
        <v>0</v>
      </c>
      <c r="M18" s="56">
        <f t="shared" si="1"/>
        <v>7425000</v>
      </c>
      <c r="N18" s="56">
        <f>IF($C18="","",ROUND(J18*($E18/'Cài đặt'!$D$12)*('Cài đặt'!$D$32-1),0))</f>
        <v>0</v>
      </c>
      <c r="O18" s="56">
        <f>IF($C18="","",ROUND(K18*($E18/'Cài đặt'!$D$12)*('Cài đặt'!$D$33-1),0))</f>
        <v>0</v>
      </c>
      <c r="P18" s="56">
        <f>IF($C18="","",ROUND(L18*($E18/'Cài đặt'!$D$12)*('Cài đặt'!$D$34-1),0))</f>
        <v>0</v>
      </c>
      <c r="Q18" s="57">
        <f>IF($C18="","",SUMIFS('Khối lượng khoán'!$I$8:$I$107,'Khối lượng khoán'!$D$8:$D$107,$C18,'Khối lượng khoán'!$K$8:$K$107,"Đạt",'Khối lượng khoán'!$B$8:$B$107,"&gt;="&amp;DATE('Cài đặt'!$D$8,'Cài đặt'!$D$7,1),'Khối lượng khoán'!$B$8:$B$107,"&lt;"&amp;DATE('Cài đặt'!$D$8,'Cài đặt'!$D$7+1,1)))</f>
        <v>0</v>
      </c>
      <c r="R18" s="56">
        <f>IF($C18="","",F18*'Cài đặt'!$D$35)</f>
        <v>720000</v>
      </c>
      <c r="S18" s="56">
        <f>IF($C18="","",IF('Chấm công'!AR19=0,'Cài đặt'!$D$36,0))</f>
        <v>300000</v>
      </c>
      <c r="T18" s="58">
        <f t="shared" si="2"/>
        <v>8445000</v>
      </c>
      <c r="U18" s="56">
        <f>IF($C18="","",ROUND(M18*'Cài đặt'!$D$37,0))</f>
        <v>0</v>
      </c>
      <c r="V18" s="59"/>
      <c r="W18" s="59"/>
      <c r="X18" s="60">
        <f t="shared" si="3"/>
        <v>8445000</v>
      </c>
      <c r="Y18" s="20"/>
    </row>
    <row r="19" ht="21.0" customHeight="1">
      <c r="A19" s="53">
        <v>13.0</v>
      </c>
      <c r="B19" s="32" t="str">
        <f>IF('Chấm công'!$C20="","",'Chấm công'!$B20&amp;"")</f>
        <v/>
      </c>
      <c r="C19" s="54" t="str">
        <f>IF('Chấm công'!$C20="","",'Chấm công'!$C20)</f>
        <v/>
      </c>
      <c r="D19" s="55" t="str">
        <f>IF('Chấm công'!$C20="","",'Chấm công'!$D20&amp;"")</f>
        <v/>
      </c>
      <c r="E19" s="56" t="str">
        <f t="array" ref="E19">IF($C19="","",IFERROR(INDEX('Cài đặt'!$D$43:$D$52,MATCH($D19,'Cài đặt'!$B$43:$B$52,0)),0))</f>
        <v/>
      </c>
      <c r="F19" s="26" t="str">
        <f>IF($C19="","",SUM('Chấm công'!AJ20:AM20))</f>
        <v/>
      </c>
      <c r="G19" s="26" t="str">
        <f>IF($C19="","",'Chấm công'!AO20+'Chấm công'!AP20)</f>
        <v/>
      </c>
      <c r="H19" s="26" t="str">
        <f>IF($C19="","",'Chấm công'!AN20+'Chấm công'!AQ20+'Chấm công'!AR20)</f>
        <v/>
      </c>
      <c r="I19" s="27" t="str">
        <f>IF($C19="","",'Chấm công'!AV20)</f>
        <v/>
      </c>
      <c r="J19" s="26" t="str">
        <f>IF($C19="","",'Chấm công'!AW20)</f>
        <v/>
      </c>
      <c r="K19" s="26" t="str">
        <f>IF($C19="","",'Chấm công'!AT20)</f>
        <v/>
      </c>
      <c r="L19" s="26" t="str">
        <f>IF($C19="","",'Chấm công'!AU20)</f>
        <v/>
      </c>
      <c r="M19" s="56" t="str">
        <f t="shared" si="1"/>
        <v/>
      </c>
      <c r="N19" s="56" t="str">
        <f>IF($C19="","",ROUND(J19*($E19/'Cài đặt'!$D$12)*('Cài đặt'!$D$32-1),0))</f>
        <v/>
      </c>
      <c r="O19" s="56" t="str">
        <f>IF($C19="","",ROUND(K19*($E19/'Cài đặt'!$D$12)*('Cài đặt'!$D$33-1),0))</f>
        <v/>
      </c>
      <c r="P19" s="56" t="str">
        <f>IF($C19="","",ROUND(L19*($E19/'Cài đặt'!$D$12)*('Cài đặt'!$D$34-1),0))</f>
        <v/>
      </c>
      <c r="Q19" s="57" t="str">
        <f>IF($C19="","",SUMIFS('Khối lượng khoán'!$I$8:$I$107,'Khối lượng khoán'!$D$8:$D$107,$C19,'Khối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19" s="56" t="str">
        <f>IF($C19="","",F19*'Cài đặt'!$D$35)</f>
        <v/>
      </c>
      <c r="S19" s="56" t="str">
        <f>IF($C19="","",IF('Chấm công'!AR20=0,'Cài đặt'!$D$36,0))</f>
        <v/>
      </c>
      <c r="T19" s="58" t="str">
        <f t="shared" si="2"/>
        <v/>
      </c>
      <c r="U19" s="56" t="str">
        <f>IF($C19="","",ROUND(M19*'Cài đặt'!$D$37,0))</f>
        <v/>
      </c>
      <c r="V19" s="59"/>
      <c r="W19" s="59"/>
      <c r="X19" s="60" t="str">
        <f t="shared" si="3"/>
        <v/>
      </c>
      <c r="Y19" s="20"/>
    </row>
    <row r="20" ht="21.0" customHeight="1">
      <c r="A20" s="53">
        <v>14.0</v>
      </c>
      <c r="B20" s="32" t="str">
        <f>IF('Chấm công'!$C21="","",'Chấm công'!$B21&amp;"")</f>
        <v/>
      </c>
      <c r="C20" s="54" t="str">
        <f>IF('Chấm công'!$C21="","",'Chấm công'!$C21)</f>
        <v/>
      </c>
      <c r="D20" s="55" t="str">
        <f>IF('Chấm công'!$C21="","",'Chấm công'!$D21&amp;"")</f>
        <v/>
      </c>
      <c r="E20" s="56" t="str">
        <f t="array" ref="E20">IF($C20="","",IFERROR(INDEX('Cài đặt'!$D$43:$D$52,MATCH($D20,'Cài đặt'!$B$43:$B$52,0)),0))</f>
        <v/>
      </c>
      <c r="F20" s="26" t="str">
        <f>IF($C20="","",SUM('Chấm công'!AJ21:AM21))</f>
        <v/>
      </c>
      <c r="G20" s="26" t="str">
        <f>IF($C20="","",'Chấm công'!AO21+'Chấm công'!AP21)</f>
        <v/>
      </c>
      <c r="H20" s="26" t="str">
        <f>IF($C20="","",'Chấm công'!AN21+'Chấm công'!AQ21+'Chấm công'!AR21)</f>
        <v/>
      </c>
      <c r="I20" s="27" t="str">
        <f>IF($C20="","",'Chấm công'!AV21)</f>
        <v/>
      </c>
      <c r="J20" s="26" t="str">
        <f>IF($C20="","",'Chấm công'!AW21)</f>
        <v/>
      </c>
      <c r="K20" s="26" t="str">
        <f>IF($C20="","",'Chấm công'!AT21)</f>
        <v/>
      </c>
      <c r="L20" s="26" t="str">
        <f>IF($C20="","",'Chấm công'!AU21)</f>
        <v/>
      </c>
      <c r="M20" s="56" t="str">
        <f t="shared" si="1"/>
        <v/>
      </c>
      <c r="N20" s="56" t="str">
        <f>IF($C20="","",ROUND(J20*($E20/'Cài đặt'!$D$12)*('Cài đặt'!$D$32-1),0))</f>
        <v/>
      </c>
      <c r="O20" s="56" t="str">
        <f>IF($C20="","",ROUND(K20*($E20/'Cài đặt'!$D$12)*('Cài đặt'!$D$33-1),0))</f>
        <v/>
      </c>
      <c r="P20" s="56" t="str">
        <f>IF($C20="","",ROUND(L20*($E20/'Cài đặt'!$D$12)*('Cài đặt'!$D$34-1),0))</f>
        <v/>
      </c>
      <c r="Q20" s="57" t="str">
        <f>IF($C20="","",SUMIFS('Khối lượng khoán'!$I$8:$I$107,'Khối lượng khoán'!$D$8:$D$107,$C20,'Khối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0" s="56" t="str">
        <f>IF($C20="","",F20*'Cài đặt'!$D$35)</f>
        <v/>
      </c>
      <c r="S20" s="56" t="str">
        <f>IF($C20="","",IF('Chấm công'!AR21=0,'Cài đặt'!$D$36,0))</f>
        <v/>
      </c>
      <c r="T20" s="58" t="str">
        <f t="shared" si="2"/>
        <v/>
      </c>
      <c r="U20" s="56" t="str">
        <f>IF($C20="","",ROUND(M20*'Cài đặt'!$D$37,0))</f>
        <v/>
      </c>
      <c r="V20" s="59"/>
      <c r="W20" s="59"/>
      <c r="X20" s="60" t="str">
        <f t="shared" si="3"/>
        <v/>
      </c>
      <c r="Y20" s="20"/>
    </row>
    <row r="21" ht="21.0" customHeight="1">
      <c r="A21" s="53">
        <v>15.0</v>
      </c>
      <c r="B21" s="32" t="str">
        <f>IF('Chấm công'!$C22="","",'Chấm công'!$B22&amp;"")</f>
        <v/>
      </c>
      <c r="C21" s="54" t="str">
        <f>IF('Chấm công'!$C22="","",'Chấm công'!$C22)</f>
        <v/>
      </c>
      <c r="D21" s="55" t="str">
        <f>IF('Chấm công'!$C22="","",'Chấm công'!$D22&amp;"")</f>
        <v/>
      </c>
      <c r="E21" s="56" t="str">
        <f t="array" ref="E21">IF($C21="","",IFERROR(INDEX('Cài đặt'!$D$43:$D$52,MATCH($D21,'Cài đặt'!$B$43:$B$52,0)),0))</f>
        <v/>
      </c>
      <c r="F21" s="26" t="str">
        <f>IF($C21="","",SUM('Chấm công'!AJ22:AM22))</f>
        <v/>
      </c>
      <c r="G21" s="26" t="str">
        <f>IF($C21="","",'Chấm công'!AO22+'Chấm công'!AP22)</f>
        <v/>
      </c>
      <c r="H21" s="26" t="str">
        <f>IF($C21="","",'Chấm công'!AN22+'Chấm công'!AQ22+'Chấm công'!AR22)</f>
        <v/>
      </c>
      <c r="I21" s="27" t="str">
        <f>IF($C21="","",'Chấm công'!AV22)</f>
        <v/>
      </c>
      <c r="J21" s="26" t="str">
        <f>IF($C21="","",'Chấm công'!AW22)</f>
        <v/>
      </c>
      <c r="K21" s="26" t="str">
        <f>IF($C21="","",'Chấm công'!AT22)</f>
        <v/>
      </c>
      <c r="L21" s="26" t="str">
        <f>IF($C21="","",'Chấm công'!AU22)</f>
        <v/>
      </c>
      <c r="M21" s="56" t="str">
        <f t="shared" si="1"/>
        <v/>
      </c>
      <c r="N21" s="56" t="str">
        <f>IF($C21="","",ROUND(J21*($E21/'Cài đặt'!$D$12)*('Cài đặt'!$D$32-1),0))</f>
        <v/>
      </c>
      <c r="O21" s="56" t="str">
        <f>IF($C21="","",ROUND(K21*($E21/'Cài đặt'!$D$12)*('Cài đặt'!$D$33-1),0))</f>
        <v/>
      </c>
      <c r="P21" s="56" t="str">
        <f>IF($C21="","",ROUND(L21*($E21/'Cài đặt'!$D$12)*('Cài đặt'!$D$34-1),0))</f>
        <v/>
      </c>
      <c r="Q21" s="57" t="str">
        <f>IF($C21="","",SUMIFS('Khối lượng khoán'!$I$8:$I$107,'Khối lượng khoán'!$D$8:$D$107,$C21,'Khối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1" s="56" t="str">
        <f>IF($C21="","",F21*'Cài đặt'!$D$35)</f>
        <v/>
      </c>
      <c r="S21" s="56" t="str">
        <f>IF($C21="","",IF('Chấm công'!AR22=0,'Cài đặt'!$D$36,0))</f>
        <v/>
      </c>
      <c r="T21" s="58" t="str">
        <f t="shared" si="2"/>
        <v/>
      </c>
      <c r="U21" s="56" t="str">
        <f>IF($C21="","",ROUND(M21*'Cài đặt'!$D$37,0))</f>
        <v/>
      </c>
      <c r="V21" s="59"/>
      <c r="W21" s="59"/>
      <c r="X21" s="60" t="str">
        <f t="shared" si="3"/>
        <v/>
      </c>
      <c r="Y21" s="20"/>
    </row>
    <row r="22" ht="21.0" customHeight="1">
      <c r="A22" s="53">
        <v>16.0</v>
      </c>
      <c r="B22" s="32" t="str">
        <f>IF('Chấm công'!$C23="","",'Chấm công'!$B23&amp;"")</f>
        <v/>
      </c>
      <c r="C22" s="54" t="str">
        <f>IF('Chấm công'!$C23="","",'Chấm công'!$C23)</f>
        <v/>
      </c>
      <c r="D22" s="55" t="str">
        <f>IF('Chấm công'!$C23="","",'Chấm công'!$D23&amp;"")</f>
        <v/>
      </c>
      <c r="E22" s="56" t="str">
        <f t="array" ref="E22">IF($C22="","",IFERROR(INDEX('Cài đặt'!$D$43:$D$52,MATCH($D22,'Cài đặt'!$B$43:$B$52,0)),0))</f>
        <v/>
      </c>
      <c r="F22" s="26" t="str">
        <f>IF($C22="","",SUM('Chấm công'!AJ23:AM23))</f>
        <v/>
      </c>
      <c r="G22" s="26" t="str">
        <f>IF($C22="","",'Chấm công'!AO23+'Chấm công'!AP23)</f>
        <v/>
      </c>
      <c r="H22" s="26" t="str">
        <f>IF($C22="","",'Chấm công'!AN23+'Chấm công'!AQ23+'Chấm công'!AR23)</f>
        <v/>
      </c>
      <c r="I22" s="27" t="str">
        <f>IF($C22="","",'Chấm công'!AV23)</f>
        <v/>
      </c>
      <c r="J22" s="26" t="str">
        <f>IF($C22="","",'Chấm công'!AW23)</f>
        <v/>
      </c>
      <c r="K22" s="26" t="str">
        <f>IF($C22="","",'Chấm công'!AT23)</f>
        <v/>
      </c>
      <c r="L22" s="26" t="str">
        <f>IF($C22="","",'Chấm công'!AU23)</f>
        <v/>
      </c>
      <c r="M22" s="56" t="str">
        <f t="shared" si="1"/>
        <v/>
      </c>
      <c r="N22" s="56" t="str">
        <f>IF($C22="","",ROUND(J22*($E22/'Cài đặt'!$D$12)*('Cài đặt'!$D$32-1),0))</f>
        <v/>
      </c>
      <c r="O22" s="56" t="str">
        <f>IF($C22="","",ROUND(K22*($E22/'Cài đặt'!$D$12)*('Cài đặt'!$D$33-1),0))</f>
        <v/>
      </c>
      <c r="P22" s="56" t="str">
        <f>IF($C22="","",ROUND(L22*($E22/'Cài đặt'!$D$12)*('Cài đặt'!$D$34-1),0))</f>
        <v/>
      </c>
      <c r="Q22" s="57" t="str">
        <f>IF($C22="","",SUMIFS('Khối lượng khoán'!$I$8:$I$107,'Khối lượng khoán'!$D$8:$D$107,$C22,'Khối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2" s="56" t="str">
        <f>IF($C22="","",F22*'Cài đặt'!$D$35)</f>
        <v/>
      </c>
      <c r="S22" s="56" t="str">
        <f>IF($C22="","",IF('Chấm công'!AR23=0,'Cài đặt'!$D$36,0))</f>
        <v/>
      </c>
      <c r="T22" s="58" t="str">
        <f t="shared" si="2"/>
        <v/>
      </c>
      <c r="U22" s="56" t="str">
        <f>IF($C22="","",ROUND(M22*'Cài đặt'!$D$37,0))</f>
        <v/>
      </c>
      <c r="V22" s="59"/>
      <c r="W22" s="59"/>
      <c r="X22" s="60" t="str">
        <f t="shared" si="3"/>
        <v/>
      </c>
      <c r="Y22" s="20"/>
    </row>
    <row r="23" ht="21.0" customHeight="1">
      <c r="A23" s="53">
        <v>17.0</v>
      </c>
      <c r="B23" s="32" t="str">
        <f>IF('Chấm công'!$C24="","",'Chấm công'!$B24&amp;"")</f>
        <v/>
      </c>
      <c r="C23" s="54" t="str">
        <f>IF('Chấm công'!$C24="","",'Chấm công'!$C24)</f>
        <v/>
      </c>
      <c r="D23" s="55" t="str">
        <f>IF('Chấm công'!$C24="","",'Chấm công'!$D24&amp;"")</f>
        <v/>
      </c>
      <c r="E23" s="56" t="str">
        <f t="array" ref="E23">IF($C23="","",IFERROR(INDEX('Cài đặt'!$D$43:$D$52,MATCH($D23,'Cài đặt'!$B$43:$B$52,0)),0))</f>
        <v/>
      </c>
      <c r="F23" s="26" t="str">
        <f>IF($C23="","",SUM('Chấm công'!AJ24:AM24))</f>
        <v/>
      </c>
      <c r="G23" s="26" t="str">
        <f>IF($C23="","",'Chấm công'!AO24+'Chấm công'!AP24)</f>
        <v/>
      </c>
      <c r="H23" s="26" t="str">
        <f>IF($C23="","",'Chấm công'!AN24+'Chấm công'!AQ24+'Chấm công'!AR24)</f>
        <v/>
      </c>
      <c r="I23" s="27" t="str">
        <f>IF($C23="","",'Chấm công'!AV24)</f>
        <v/>
      </c>
      <c r="J23" s="26" t="str">
        <f>IF($C23="","",'Chấm công'!AW24)</f>
        <v/>
      </c>
      <c r="K23" s="26" t="str">
        <f>IF($C23="","",'Chấm công'!AT24)</f>
        <v/>
      </c>
      <c r="L23" s="26" t="str">
        <f>IF($C23="","",'Chấm công'!AU24)</f>
        <v/>
      </c>
      <c r="M23" s="56" t="str">
        <f t="shared" si="1"/>
        <v/>
      </c>
      <c r="N23" s="56" t="str">
        <f>IF($C23="","",ROUND(J23*($E23/'Cài đặt'!$D$12)*('Cài đặt'!$D$32-1),0))</f>
        <v/>
      </c>
      <c r="O23" s="56" t="str">
        <f>IF($C23="","",ROUND(K23*($E23/'Cài đặt'!$D$12)*('Cài đặt'!$D$33-1),0))</f>
        <v/>
      </c>
      <c r="P23" s="56" t="str">
        <f>IF($C23="","",ROUND(L23*($E23/'Cài đặt'!$D$12)*('Cài đặt'!$D$34-1),0))</f>
        <v/>
      </c>
      <c r="Q23" s="57" t="str">
        <f>IF($C23="","",SUMIFS('Khối lượng khoán'!$I$8:$I$107,'Khối lượng khoán'!$D$8:$D$107,$C23,'Khối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3" s="56" t="str">
        <f>IF($C23="","",F23*'Cài đặt'!$D$35)</f>
        <v/>
      </c>
      <c r="S23" s="56" t="str">
        <f>IF($C23="","",IF('Chấm công'!AR24=0,'Cài đặt'!$D$36,0))</f>
        <v/>
      </c>
      <c r="T23" s="58" t="str">
        <f t="shared" si="2"/>
        <v/>
      </c>
      <c r="U23" s="56" t="str">
        <f>IF($C23="","",ROUND(M23*'Cài đặt'!$D$37,0))</f>
        <v/>
      </c>
      <c r="V23" s="59"/>
      <c r="W23" s="59"/>
      <c r="X23" s="60" t="str">
        <f t="shared" si="3"/>
        <v/>
      </c>
      <c r="Y23" s="20"/>
    </row>
    <row r="24" ht="21.0" customHeight="1">
      <c r="A24" s="53">
        <v>18.0</v>
      </c>
      <c r="B24" s="32" t="str">
        <f>IF('Chấm công'!$C25="","",'Chấm công'!$B25&amp;"")</f>
        <v/>
      </c>
      <c r="C24" s="54" t="str">
        <f>IF('Chấm công'!$C25="","",'Chấm công'!$C25)</f>
        <v/>
      </c>
      <c r="D24" s="55" t="str">
        <f>IF('Chấm công'!$C25="","",'Chấm công'!$D25&amp;"")</f>
        <v/>
      </c>
      <c r="E24" s="56" t="str">
        <f t="array" ref="E24">IF($C24="","",IFERROR(INDEX('Cài đặt'!$D$43:$D$52,MATCH($D24,'Cài đặt'!$B$43:$B$52,0)),0))</f>
        <v/>
      </c>
      <c r="F24" s="26" t="str">
        <f>IF($C24="","",SUM('Chấm công'!AJ25:AM25))</f>
        <v/>
      </c>
      <c r="G24" s="26" t="str">
        <f>IF($C24="","",'Chấm công'!AO25+'Chấm công'!AP25)</f>
        <v/>
      </c>
      <c r="H24" s="26" t="str">
        <f>IF($C24="","",'Chấm công'!AN25+'Chấm công'!AQ25+'Chấm công'!AR25)</f>
        <v/>
      </c>
      <c r="I24" s="27" t="str">
        <f>IF($C24="","",'Chấm công'!AV25)</f>
        <v/>
      </c>
      <c r="J24" s="26" t="str">
        <f>IF($C24="","",'Chấm công'!AW25)</f>
        <v/>
      </c>
      <c r="K24" s="26" t="str">
        <f>IF($C24="","",'Chấm công'!AT25)</f>
        <v/>
      </c>
      <c r="L24" s="26" t="str">
        <f>IF($C24="","",'Chấm công'!AU25)</f>
        <v/>
      </c>
      <c r="M24" s="56" t="str">
        <f t="shared" si="1"/>
        <v/>
      </c>
      <c r="N24" s="56" t="str">
        <f>IF($C24="","",ROUND(J24*($E24/'Cài đặt'!$D$12)*('Cài đặt'!$D$32-1),0))</f>
        <v/>
      </c>
      <c r="O24" s="56" t="str">
        <f>IF($C24="","",ROUND(K24*($E24/'Cài đặt'!$D$12)*('Cài đặt'!$D$33-1),0))</f>
        <v/>
      </c>
      <c r="P24" s="56" t="str">
        <f>IF($C24="","",ROUND(L24*($E24/'Cài đặt'!$D$12)*('Cài đặt'!$D$34-1),0))</f>
        <v/>
      </c>
      <c r="Q24" s="57" t="str">
        <f>IF($C24="","",SUMIFS('Khối lượng khoán'!$I$8:$I$107,'Khối lượng khoán'!$D$8:$D$107,$C24,'Khối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4" s="56" t="str">
        <f>IF($C24="","",F24*'Cài đặt'!$D$35)</f>
        <v/>
      </c>
      <c r="S24" s="56" t="str">
        <f>IF($C24="","",IF('Chấm công'!AR25=0,'Cài đặt'!$D$36,0))</f>
        <v/>
      </c>
      <c r="T24" s="58" t="str">
        <f t="shared" si="2"/>
        <v/>
      </c>
      <c r="U24" s="56" t="str">
        <f>IF($C24="","",ROUND(M24*'Cài đặt'!$D$37,0))</f>
        <v/>
      </c>
      <c r="V24" s="59"/>
      <c r="W24" s="59"/>
      <c r="X24" s="60" t="str">
        <f t="shared" si="3"/>
        <v/>
      </c>
      <c r="Y24" s="20"/>
    </row>
    <row r="25" ht="21.0" customHeight="1">
      <c r="A25" s="53">
        <v>19.0</v>
      </c>
      <c r="B25" s="32" t="str">
        <f>IF('Chấm công'!$C26="","",'Chấm công'!$B26&amp;"")</f>
        <v/>
      </c>
      <c r="C25" s="54" t="str">
        <f>IF('Chấm công'!$C26="","",'Chấm công'!$C26)</f>
        <v/>
      </c>
      <c r="D25" s="55" t="str">
        <f>IF('Chấm công'!$C26="","",'Chấm công'!$D26&amp;"")</f>
        <v/>
      </c>
      <c r="E25" s="56" t="str">
        <f t="array" ref="E25">IF($C25="","",IFERROR(INDEX('Cài đặt'!$D$43:$D$52,MATCH($D25,'Cài đặt'!$B$43:$B$52,0)),0))</f>
        <v/>
      </c>
      <c r="F25" s="26" t="str">
        <f>IF($C25="","",SUM('Chấm công'!AJ26:AM26))</f>
        <v/>
      </c>
      <c r="G25" s="26" t="str">
        <f>IF($C25="","",'Chấm công'!AO26+'Chấm công'!AP26)</f>
        <v/>
      </c>
      <c r="H25" s="26" t="str">
        <f>IF($C25="","",'Chấm công'!AN26+'Chấm công'!AQ26+'Chấm công'!AR26)</f>
        <v/>
      </c>
      <c r="I25" s="27" t="str">
        <f>IF($C25="","",'Chấm công'!AV26)</f>
        <v/>
      </c>
      <c r="J25" s="26" t="str">
        <f>IF($C25="","",'Chấm công'!AW26)</f>
        <v/>
      </c>
      <c r="K25" s="26" t="str">
        <f>IF($C25="","",'Chấm công'!AT26)</f>
        <v/>
      </c>
      <c r="L25" s="26" t="str">
        <f>IF($C25="","",'Chấm công'!AU26)</f>
        <v/>
      </c>
      <c r="M25" s="56" t="str">
        <f t="shared" si="1"/>
        <v/>
      </c>
      <c r="N25" s="56" t="str">
        <f>IF($C25="","",ROUND(J25*($E25/'Cài đặt'!$D$12)*('Cài đặt'!$D$32-1),0))</f>
        <v/>
      </c>
      <c r="O25" s="56" t="str">
        <f>IF($C25="","",ROUND(K25*($E25/'Cài đặt'!$D$12)*('Cài đặt'!$D$33-1),0))</f>
        <v/>
      </c>
      <c r="P25" s="56" t="str">
        <f>IF($C25="","",ROUND(L25*($E25/'Cài đặt'!$D$12)*('Cài đặt'!$D$34-1),0))</f>
        <v/>
      </c>
      <c r="Q25" s="57" t="str">
        <f>IF($C25="","",SUMIFS('Khối lượng khoán'!$I$8:$I$107,'Khối lượng khoán'!$D$8:$D$107,$C25,'Khối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5" s="56" t="str">
        <f>IF($C25="","",F25*'Cài đặt'!$D$35)</f>
        <v/>
      </c>
      <c r="S25" s="56" t="str">
        <f>IF($C25="","",IF('Chấm công'!AR26=0,'Cài đặt'!$D$36,0))</f>
        <v/>
      </c>
      <c r="T25" s="58" t="str">
        <f t="shared" si="2"/>
        <v/>
      </c>
      <c r="U25" s="56" t="str">
        <f>IF($C25="","",ROUND(M25*'Cài đặt'!$D$37,0))</f>
        <v/>
      </c>
      <c r="V25" s="59"/>
      <c r="W25" s="59"/>
      <c r="X25" s="60" t="str">
        <f t="shared" si="3"/>
        <v/>
      </c>
      <c r="Y25" s="20"/>
    </row>
    <row r="26" ht="21.0" customHeight="1">
      <c r="A26" s="53">
        <v>20.0</v>
      </c>
      <c r="B26" s="32" t="str">
        <f>IF('Chấm công'!$C27="","",'Chấm công'!$B27&amp;"")</f>
        <v/>
      </c>
      <c r="C26" s="54" t="str">
        <f>IF('Chấm công'!$C27="","",'Chấm công'!$C27)</f>
        <v/>
      </c>
      <c r="D26" s="55" t="str">
        <f>IF('Chấm công'!$C27="","",'Chấm công'!$D27&amp;"")</f>
        <v/>
      </c>
      <c r="E26" s="56" t="str">
        <f t="array" ref="E26">IF($C26="","",IFERROR(INDEX('Cài đặt'!$D$43:$D$52,MATCH($D26,'Cài đặt'!$B$43:$B$52,0)),0))</f>
        <v/>
      </c>
      <c r="F26" s="26" t="str">
        <f>IF($C26="","",SUM('Chấm công'!AJ27:AM27))</f>
        <v/>
      </c>
      <c r="G26" s="26" t="str">
        <f>IF($C26="","",'Chấm công'!AO27+'Chấm công'!AP27)</f>
        <v/>
      </c>
      <c r="H26" s="26" t="str">
        <f>IF($C26="","",'Chấm công'!AN27+'Chấm công'!AQ27+'Chấm công'!AR27)</f>
        <v/>
      </c>
      <c r="I26" s="27" t="str">
        <f>IF($C26="","",'Chấm công'!AV27)</f>
        <v/>
      </c>
      <c r="J26" s="26" t="str">
        <f>IF($C26="","",'Chấm công'!AW27)</f>
        <v/>
      </c>
      <c r="K26" s="26" t="str">
        <f>IF($C26="","",'Chấm công'!AT27)</f>
        <v/>
      </c>
      <c r="L26" s="26" t="str">
        <f>IF($C26="","",'Chấm công'!AU27)</f>
        <v/>
      </c>
      <c r="M26" s="56" t="str">
        <f t="shared" si="1"/>
        <v/>
      </c>
      <c r="N26" s="56" t="str">
        <f>IF($C26="","",ROUND(J26*($E26/'Cài đặt'!$D$12)*('Cài đặt'!$D$32-1),0))</f>
        <v/>
      </c>
      <c r="O26" s="56" t="str">
        <f>IF($C26="","",ROUND(K26*($E26/'Cài đặt'!$D$12)*('Cài đặt'!$D$33-1),0))</f>
        <v/>
      </c>
      <c r="P26" s="56" t="str">
        <f>IF($C26="","",ROUND(L26*($E26/'Cài đặt'!$D$12)*('Cài đặt'!$D$34-1),0))</f>
        <v/>
      </c>
      <c r="Q26" s="57" t="str">
        <f>IF($C26="","",SUMIFS('Khối lượng khoán'!$I$8:$I$107,'Khối lượng khoán'!$D$8:$D$107,$C26,'Khối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6" s="56" t="str">
        <f>IF($C26="","",F26*'Cài đặt'!$D$35)</f>
        <v/>
      </c>
      <c r="S26" s="56" t="str">
        <f>IF($C26="","",IF('Chấm công'!AR27=0,'Cài đặt'!$D$36,0))</f>
        <v/>
      </c>
      <c r="T26" s="58" t="str">
        <f t="shared" si="2"/>
        <v/>
      </c>
      <c r="U26" s="56" t="str">
        <f>IF($C26="","",ROUND(M26*'Cài đặt'!$D$37,0))</f>
        <v/>
      </c>
      <c r="V26" s="59"/>
      <c r="W26" s="59"/>
      <c r="X26" s="60" t="str">
        <f t="shared" si="3"/>
        <v/>
      </c>
      <c r="Y26" s="20"/>
    </row>
    <row r="27" ht="21.0" customHeight="1">
      <c r="A27" s="53">
        <v>21.0</v>
      </c>
      <c r="B27" s="32" t="str">
        <f>IF('Chấm công'!$C28="","",'Chấm công'!$B28&amp;"")</f>
        <v/>
      </c>
      <c r="C27" s="54" t="str">
        <f>IF('Chấm công'!$C28="","",'Chấm công'!$C28)</f>
        <v/>
      </c>
      <c r="D27" s="55" t="str">
        <f>IF('Chấm công'!$C28="","",'Chấm công'!$D28&amp;"")</f>
        <v/>
      </c>
      <c r="E27" s="56" t="str">
        <f t="array" ref="E27">IF($C27="","",IFERROR(INDEX('Cài đặt'!$D$43:$D$52,MATCH($D27,'Cài đặt'!$B$43:$B$52,0)),0))</f>
        <v/>
      </c>
      <c r="F27" s="26" t="str">
        <f>IF($C27="","",SUM('Chấm công'!AJ28:AM28))</f>
        <v/>
      </c>
      <c r="G27" s="26" t="str">
        <f>IF($C27="","",'Chấm công'!AO28+'Chấm công'!AP28)</f>
        <v/>
      </c>
      <c r="H27" s="26" t="str">
        <f>IF($C27="","",'Chấm công'!AN28+'Chấm công'!AQ28+'Chấm công'!AR28)</f>
        <v/>
      </c>
      <c r="I27" s="27" t="str">
        <f>IF($C27="","",'Chấm công'!AV28)</f>
        <v/>
      </c>
      <c r="J27" s="26" t="str">
        <f>IF($C27="","",'Chấm công'!AW28)</f>
        <v/>
      </c>
      <c r="K27" s="26" t="str">
        <f>IF($C27="","",'Chấm công'!AT28)</f>
        <v/>
      </c>
      <c r="L27" s="26" t="str">
        <f>IF($C27="","",'Chấm công'!AU28)</f>
        <v/>
      </c>
      <c r="M27" s="56" t="str">
        <f t="shared" si="1"/>
        <v/>
      </c>
      <c r="N27" s="56" t="str">
        <f>IF($C27="","",ROUND(J27*($E27/'Cài đặt'!$D$12)*('Cài đặt'!$D$32-1),0))</f>
        <v/>
      </c>
      <c r="O27" s="56" t="str">
        <f>IF($C27="","",ROUND(K27*($E27/'Cài đặt'!$D$12)*('Cài đặt'!$D$33-1),0))</f>
        <v/>
      </c>
      <c r="P27" s="56" t="str">
        <f>IF($C27="","",ROUND(L27*($E27/'Cài đặt'!$D$12)*('Cài đặt'!$D$34-1),0))</f>
        <v/>
      </c>
      <c r="Q27" s="57" t="str">
        <f>IF($C27="","",SUMIFS('Khối lượng khoán'!$I$8:$I$107,'Khối lượng khoán'!$D$8:$D$107,$C27,'Khối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7" s="56" t="str">
        <f>IF($C27="","",F27*'Cài đặt'!$D$35)</f>
        <v/>
      </c>
      <c r="S27" s="56" t="str">
        <f>IF($C27="","",IF('Chấm công'!AR28=0,'Cài đặt'!$D$36,0))</f>
        <v/>
      </c>
      <c r="T27" s="58" t="str">
        <f t="shared" si="2"/>
        <v/>
      </c>
      <c r="U27" s="56" t="str">
        <f>IF($C27="","",ROUND(M27*'Cài đặt'!$D$37,0))</f>
        <v/>
      </c>
      <c r="V27" s="59"/>
      <c r="W27" s="59"/>
      <c r="X27" s="60" t="str">
        <f t="shared" si="3"/>
        <v/>
      </c>
      <c r="Y27" s="20"/>
    </row>
    <row r="28" ht="21.0" customHeight="1">
      <c r="A28" s="53">
        <v>22.0</v>
      </c>
      <c r="B28" s="32" t="str">
        <f>IF('Chấm công'!$C29="","",'Chấm công'!$B29&amp;"")</f>
        <v/>
      </c>
      <c r="C28" s="54" t="str">
        <f>IF('Chấm công'!$C29="","",'Chấm công'!$C29)</f>
        <v/>
      </c>
      <c r="D28" s="55" t="str">
        <f>IF('Chấm công'!$C29="","",'Chấm công'!$D29&amp;"")</f>
        <v/>
      </c>
      <c r="E28" s="56" t="str">
        <f t="array" ref="E28">IF($C28="","",IFERROR(INDEX('Cài đặt'!$D$43:$D$52,MATCH($D28,'Cài đặt'!$B$43:$B$52,0)),0))</f>
        <v/>
      </c>
      <c r="F28" s="26" t="str">
        <f>IF($C28="","",SUM('Chấm công'!AJ29:AM29))</f>
        <v/>
      </c>
      <c r="G28" s="26" t="str">
        <f>IF($C28="","",'Chấm công'!AO29+'Chấm công'!AP29)</f>
        <v/>
      </c>
      <c r="H28" s="26" t="str">
        <f>IF($C28="","",'Chấm công'!AN29+'Chấm công'!AQ29+'Chấm công'!AR29)</f>
        <v/>
      </c>
      <c r="I28" s="27" t="str">
        <f>IF($C28="","",'Chấm công'!AV29)</f>
        <v/>
      </c>
      <c r="J28" s="26" t="str">
        <f>IF($C28="","",'Chấm công'!AW29)</f>
        <v/>
      </c>
      <c r="K28" s="26" t="str">
        <f>IF($C28="","",'Chấm công'!AT29)</f>
        <v/>
      </c>
      <c r="L28" s="26" t="str">
        <f>IF($C28="","",'Chấm công'!AU29)</f>
        <v/>
      </c>
      <c r="M28" s="56" t="str">
        <f t="shared" si="1"/>
        <v/>
      </c>
      <c r="N28" s="56" t="str">
        <f>IF($C28="","",ROUND(J28*($E28/'Cài đặt'!$D$12)*('Cài đặt'!$D$32-1),0))</f>
        <v/>
      </c>
      <c r="O28" s="56" t="str">
        <f>IF($C28="","",ROUND(K28*($E28/'Cài đặt'!$D$12)*('Cài đặt'!$D$33-1),0))</f>
        <v/>
      </c>
      <c r="P28" s="56" t="str">
        <f>IF($C28="","",ROUND(L28*($E28/'Cài đặt'!$D$12)*('Cài đặt'!$D$34-1),0))</f>
        <v/>
      </c>
      <c r="Q28" s="57" t="str">
        <f>IF($C28="","",SUMIFS('Khối lượng khoán'!$I$8:$I$107,'Khối lượng khoán'!$D$8:$D$107,$C28,'Khối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8" s="56" t="str">
        <f>IF($C28="","",F28*'Cài đặt'!$D$35)</f>
        <v/>
      </c>
      <c r="S28" s="56" t="str">
        <f>IF($C28="","",IF('Chấm công'!AR29=0,'Cài đặt'!$D$36,0))</f>
        <v/>
      </c>
      <c r="T28" s="58" t="str">
        <f t="shared" si="2"/>
        <v/>
      </c>
      <c r="U28" s="56" t="str">
        <f>IF($C28="","",ROUND(M28*'Cài đặt'!$D$37,0))</f>
        <v/>
      </c>
      <c r="V28" s="59"/>
      <c r="W28" s="59"/>
      <c r="X28" s="60" t="str">
        <f t="shared" si="3"/>
        <v/>
      </c>
      <c r="Y28" s="20"/>
    </row>
    <row r="29" ht="21.0" customHeight="1">
      <c r="A29" s="53">
        <v>23.0</v>
      </c>
      <c r="B29" s="32" t="str">
        <f>IF('Chấm công'!$C30="","",'Chấm công'!$B30&amp;"")</f>
        <v/>
      </c>
      <c r="C29" s="54" t="str">
        <f>IF('Chấm công'!$C30="","",'Chấm công'!$C30)</f>
        <v/>
      </c>
      <c r="D29" s="55" t="str">
        <f>IF('Chấm công'!$C30="","",'Chấm công'!$D30&amp;"")</f>
        <v/>
      </c>
      <c r="E29" s="56" t="str">
        <f t="array" ref="E29">IF($C29="","",IFERROR(INDEX('Cài đặt'!$D$43:$D$52,MATCH($D29,'Cài đặt'!$B$43:$B$52,0)),0))</f>
        <v/>
      </c>
      <c r="F29" s="26" t="str">
        <f>IF($C29="","",SUM('Chấm công'!AJ30:AM30))</f>
        <v/>
      </c>
      <c r="G29" s="26" t="str">
        <f>IF($C29="","",'Chấm công'!AO30+'Chấm công'!AP30)</f>
        <v/>
      </c>
      <c r="H29" s="26" t="str">
        <f>IF($C29="","",'Chấm công'!AN30+'Chấm công'!AQ30+'Chấm công'!AR30)</f>
        <v/>
      </c>
      <c r="I29" s="27" t="str">
        <f>IF($C29="","",'Chấm công'!AV30)</f>
        <v/>
      </c>
      <c r="J29" s="26" t="str">
        <f>IF($C29="","",'Chấm công'!AW30)</f>
        <v/>
      </c>
      <c r="K29" s="26" t="str">
        <f>IF($C29="","",'Chấm công'!AT30)</f>
        <v/>
      </c>
      <c r="L29" s="26" t="str">
        <f>IF($C29="","",'Chấm công'!AU30)</f>
        <v/>
      </c>
      <c r="M29" s="56" t="str">
        <f t="shared" si="1"/>
        <v/>
      </c>
      <c r="N29" s="56" t="str">
        <f>IF($C29="","",ROUND(J29*($E29/'Cài đặt'!$D$12)*('Cài đặt'!$D$32-1),0))</f>
        <v/>
      </c>
      <c r="O29" s="56" t="str">
        <f>IF($C29="","",ROUND(K29*($E29/'Cài đặt'!$D$12)*('Cài đặt'!$D$33-1),0))</f>
        <v/>
      </c>
      <c r="P29" s="56" t="str">
        <f>IF($C29="","",ROUND(L29*($E29/'Cài đặt'!$D$12)*('Cài đặt'!$D$34-1),0))</f>
        <v/>
      </c>
      <c r="Q29" s="57" t="str">
        <f>IF($C29="","",SUMIFS('Khối lượng khoán'!$I$8:$I$107,'Khối lượng khoán'!$D$8:$D$107,$C29,'Khối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29" s="56" t="str">
        <f>IF($C29="","",F29*'Cài đặt'!$D$35)</f>
        <v/>
      </c>
      <c r="S29" s="56" t="str">
        <f>IF($C29="","",IF('Chấm công'!AR30=0,'Cài đặt'!$D$36,0))</f>
        <v/>
      </c>
      <c r="T29" s="58" t="str">
        <f t="shared" si="2"/>
        <v/>
      </c>
      <c r="U29" s="56" t="str">
        <f>IF($C29="","",ROUND(M29*'Cài đặt'!$D$37,0))</f>
        <v/>
      </c>
      <c r="V29" s="59"/>
      <c r="W29" s="59"/>
      <c r="X29" s="60" t="str">
        <f t="shared" si="3"/>
        <v/>
      </c>
      <c r="Y29" s="20"/>
    </row>
    <row r="30" ht="21.0" customHeight="1">
      <c r="A30" s="53">
        <v>24.0</v>
      </c>
      <c r="B30" s="32" t="str">
        <f>IF('Chấm công'!$C31="","",'Chấm công'!$B31&amp;"")</f>
        <v/>
      </c>
      <c r="C30" s="54" t="str">
        <f>IF('Chấm công'!$C31="","",'Chấm công'!$C31)</f>
        <v/>
      </c>
      <c r="D30" s="55" t="str">
        <f>IF('Chấm công'!$C31="","",'Chấm công'!$D31&amp;"")</f>
        <v/>
      </c>
      <c r="E30" s="56" t="str">
        <f t="array" ref="E30">IF($C30="","",IFERROR(INDEX('Cài đặt'!$D$43:$D$52,MATCH($D30,'Cài đặt'!$B$43:$B$52,0)),0))</f>
        <v/>
      </c>
      <c r="F30" s="26" t="str">
        <f>IF($C30="","",SUM('Chấm công'!AJ31:AM31))</f>
        <v/>
      </c>
      <c r="G30" s="26" t="str">
        <f>IF($C30="","",'Chấm công'!AO31+'Chấm công'!AP31)</f>
        <v/>
      </c>
      <c r="H30" s="26" t="str">
        <f>IF($C30="","",'Chấm công'!AN31+'Chấm công'!AQ31+'Chấm công'!AR31)</f>
        <v/>
      </c>
      <c r="I30" s="27" t="str">
        <f>IF($C30="","",'Chấm công'!AV31)</f>
        <v/>
      </c>
      <c r="J30" s="26" t="str">
        <f>IF($C30="","",'Chấm công'!AW31)</f>
        <v/>
      </c>
      <c r="K30" s="26" t="str">
        <f>IF($C30="","",'Chấm công'!AT31)</f>
        <v/>
      </c>
      <c r="L30" s="26" t="str">
        <f>IF($C30="","",'Chấm công'!AU31)</f>
        <v/>
      </c>
      <c r="M30" s="56" t="str">
        <f t="shared" si="1"/>
        <v/>
      </c>
      <c r="N30" s="56" t="str">
        <f>IF($C30="","",ROUND(J30*($E30/'Cài đặt'!$D$12)*('Cài đặt'!$D$32-1),0))</f>
        <v/>
      </c>
      <c r="O30" s="56" t="str">
        <f>IF($C30="","",ROUND(K30*($E30/'Cài đặt'!$D$12)*('Cài đặt'!$D$33-1),0))</f>
        <v/>
      </c>
      <c r="P30" s="56" t="str">
        <f>IF($C30="","",ROUND(L30*($E30/'Cài đặt'!$D$12)*('Cài đặt'!$D$34-1),0))</f>
        <v/>
      </c>
      <c r="Q30" s="57" t="str">
        <f>IF($C30="","",SUMIFS('Khối lượng khoán'!$I$8:$I$107,'Khối lượng khoán'!$D$8:$D$107,$C30,'Khối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30" s="56" t="str">
        <f>IF($C30="","",F30*'Cài đặt'!$D$35)</f>
        <v/>
      </c>
      <c r="S30" s="56" t="str">
        <f>IF($C30="","",IF('Chấm công'!AR31=0,'Cài đặt'!$D$36,0))</f>
        <v/>
      </c>
      <c r="T30" s="58" t="str">
        <f t="shared" si="2"/>
        <v/>
      </c>
      <c r="U30" s="56" t="str">
        <f>IF($C30="","",ROUND(M30*'Cài đặt'!$D$37,0))</f>
        <v/>
      </c>
      <c r="V30" s="59"/>
      <c r="W30" s="59"/>
      <c r="X30" s="60" t="str">
        <f t="shared" si="3"/>
        <v/>
      </c>
      <c r="Y30" s="20"/>
    </row>
    <row r="31" ht="21.0" customHeight="1">
      <c r="A31" s="53">
        <v>25.0</v>
      </c>
      <c r="B31" s="32" t="str">
        <f>IF('Chấm công'!$C32="","",'Chấm công'!$B32&amp;"")</f>
        <v/>
      </c>
      <c r="C31" s="54" t="str">
        <f>IF('Chấm công'!$C32="","",'Chấm công'!$C32)</f>
        <v/>
      </c>
      <c r="D31" s="55" t="str">
        <f>IF('Chấm công'!$C32="","",'Chấm công'!$D32&amp;"")</f>
        <v/>
      </c>
      <c r="E31" s="56" t="str">
        <f t="array" ref="E31">IF($C31="","",IFERROR(INDEX('Cài đặt'!$D$43:$D$52,MATCH($D31,'Cài đặt'!$B$43:$B$52,0)),0))</f>
        <v/>
      </c>
      <c r="F31" s="26" t="str">
        <f>IF($C31="","",SUM('Chấm công'!AJ32:AM32))</f>
        <v/>
      </c>
      <c r="G31" s="26" t="str">
        <f>IF($C31="","",'Chấm công'!AO32+'Chấm công'!AP32)</f>
        <v/>
      </c>
      <c r="H31" s="26" t="str">
        <f>IF($C31="","",'Chấm công'!AN32+'Chấm công'!AQ32+'Chấm công'!AR32)</f>
        <v/>
      </c>
      <c r="I31" s="27" t="str">
        <f>IF($C31="","",'Chấm công'!AV32)</f>
        <v/>
      </c>
      <c r="J31" s="26" t="str">
        <f>IF($C31="","",'Chấm công'!AW32)</f>
        <v/>
      </c>
      <c r="K31" s="26" t="str">
        <f>IF($C31="","",'Chấm công'!AT32)</f>
        <v/>
      </c>
      <c r="L31" s="26" t="str">
        <f>IF($C31="","",'Chấm công'!AU32)</f>
        <v/>
      </c>
      <c r="M31" s="56" t="str">
        <f t="shared" si="1"/>
        <v/>
      </c>
      <c r="N31" s="56" t="str">
        <f>IF($C31="","",ROUND(J31*($E31/'Cài đặt'!$D$12)*('Cài đặt'!$D$32-1),0))</f>
        <v/>
      </c>
      <c r="O31" s="56" t="str">
        <f>IF($C31="","",ROUND(K31*($E31/'Cài đặt'!$D$12)*('Cài đặt'!$D$33-1),0))</f>
        <v/>
      </c>
      <c r="P31" s="56" t="str">
        <f>IF($C31="","",ROUND(L31*($E31/'Cài đặt'!$D$12)*('Cài đặt'!$D$34-1),0))</f>
        <v/>
      </c>
      <c r="Q31" s="57" t="str">
        <f>IF($C31="","",SUMIFS('Khối lượng khoán'!$I$8:$I$107,'Khối lượng khoán'!$D$8:$D$107,$C31,'Khối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31" s="56" t="str">
        <f>IF($C31="","",F31*'Cài đặt'!$D$35)</f>
        <v/>
      </c>
      <c r="S31" s="56" t="str">
        <f>IF($C31="","",IF('Chấm công'!AR32=0,'Cài đặt'!$D$36,0))</f>
        <v/>
      </c>
      <c r="T31" s="58" t="str">
        <f t="shared" si="2"/>
        <v/>
      </c>
      <c r="U31" s="56" t="str">
        <f>IF($C31="","",ROUND(M31*'Cài đặt'!$D$37,0))</f>
        <v/>
      </c>
      <c r="V31" s="59"/>
      <c r="W31" s="59"/>
      <c r="X31" s="60" t="str">
        <f t="shared" si="3"/>
        <v/>
      </c>
      <c r="Y31" s="20"/>
    </row>
    <row r="32" ht="21.0" customHeight="1">
      <c r="A32" s="53">
        <v>26.0</v>
      </c>
      <c r="B32" s="32" t="str">
        <f>IF('Chấm công'!$C33="","",'Chấm công'!$B33&amp;"")</f>
        <v/>
      </c>
      <c r="C32" s="54" t="str">
        <f>IF('Chấm công'!$C33="","",'Chấm công'!$C33)</f>
        <v/>
      </c>
      <c r="D32" s="55" t="str">
        <f>IF('Chấm công'!$C33="","",'Chấm công'!$D33&amp;"")</f>
        <v/>
      </c>
      <c r="E32" s="56" t="str">
        <f t="array" ref="E32">IF($C32="","",IFERROR(INDEX('Cài đặt'!$D$43:$D$52,MATCH($D32,'Cài đặt'!$B$43:$B$52,0)),0))</f>
        <v/>
      </c>
      <c r="F32" s="26" t="str">
        <f>IF($C32="","",SUM('Chấm công'!AJ33:AM33))</f>
        <v/>
      </c>
      <c r="G32" s="26" t="str">
        <f>IF($C32="","",'Chấm công'!AO33+'Chấm công'!AP33)</f>
        <v/>
      </c>
      <c r="H32" s="26" t="str">
        <f>IF($C32="","",'Chấm công'!AN33+'Chấm công'!AQ33+'Chấm công'!AR33)</f>
        <v/>
      </c>
      <c r="I32" s="27" t="str">
        <f>IF($C32="","",'Chấm công'!AV33)</f>
        <v/>
      </c>
      <c r="J32" s="26" t="str">
        <f>IF($C32="","",'Chấm công'!AW33)</f>
        <v/>
      </c>
      <c r="K32" s="26" t="str">
        <f>IF($C32="","",'Chấm công'!AT33)</f>
        <v/>
      </c>
      <c r="L32" s="26" t="str">
        <f>IF($C32="","",'Chấm công'!AU33)</f>
        <v/>
      </c>
      <c r="M32" s="56" t="str">
        <f t="shared" si="1"/>
        <v/>
      </c>
      <c r="N32" s="56" t="str">
        <f>IF($C32="","",ROUND(J32*($E32/'Cài đặt'!$D$12)*('Cài đặt'!$D$32-1),0))</f>
        <v/>
      </c>
      <c r="O32" s="56" t="str">
        <f>IF($C32="","",ROUND(K32*($E32/'Cài đặt'!$D$12)*('Cài đặt'!$D$33-1),0))</f>
        <v/>
      </c>
      <c r="P32" s="56" t="str">
        <f>IF($C32="","",ROUND(L32*($E32/'Cài đặt'!$D$12)*('Cài đặt'!$D$34-1),0))</f>
        <v/>
      </c>
      <c r="Q32" s="57" t="str">
        <f>IF($C32="","",SUMIFS('Khối lượng khoán'!$I$8:$I$107,'Khối lượng khoán'!$D$8:$D$107,$C32,'Khối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32" s="56" t="str">
        <f>IF($C32="","",F32*'Cài đặt'!$D$35)</f>
        <v/>
      </c>
      <c r="S32" s="56" t="str">
        <f>IF($C32="","",IF('Chấm công'!AR33=0,'Cài đặt'!$D$36,0))</f>
        <v/>
      </c>
      <c r="T32" s="58" t="str">
        <f t="shared" si="2"/>
        <v/>
      </c>
      <c r="U32" s="56" t="str">
        <f>IF($C32="","",ROUND(M32*'Cài đặt'!$D$37,0))</f>
        <v/>
      </c>
      <c r="V32" s="59"/>
      <c r="W32" s="59"/>
      <c r="X32" s="60" t="str">
        <f t="shared" si="3"/>
        <v/>
      </c>
      <c r="Y32" s="20"/>
    </row>
    <row r="33" ht="21.0" customHeight="1">
      <c r="A33" s="53">
        <v>27.0</v>
      </c>
      <c r="B33" s="32" t="str">
        <f>IF('Chấm công'!$C34="","",'Chấm công'!$B34&amp;"")</f>
        <v/>
      </c>
      <c r="C33" s="54" t="str">
        <f>IF('Chấm công'!$C34="","",'Chấm công'!$C34)</f>
        <v/>
      </c>
      <c r="D33" s="55" t="str">
        <f>IF('Chấm công'!$C34="","",'Chấm công'!$D34&amp;"")</f>
        <v/>
      </c>
      <c r="E33" s="56" t="str">
        <f t="array" ref="E33">IF($C33="","",IFERROR(INDEX('Cài đặt'!$D$43:$D$52,MATCH($D33,'Cài đặt'!$B$43:$B$52,0)),0))</f>
        <v/>
      </c>
      <c r="F33" s="26" t="str">
        <f>IF($C33="","",SUM('Chấm công'!AJ34:AM34))</f>
        <v/>
      </c>
      <c r="G33" s="26" t="str">
        <f>IF($C33="","",'Chấm công'!AO34+'Chấm công'!AP34)</f>
        <v/>
      </c>
      <c r="H33" s="26" t="str">
        <f>IF($C33="","",'Chấm công'!AN34+'Chấm công'!AQ34+'Chấm công'!AR34)</f>
        <v/>
      </c>
      <c r="I33" s="27" t="str">
        <f>IF($C33="","",'Chấm công'!AV34)</f>
        <v/>
      </c>
      <c r="J33" s="26" t="str">
        <f>IF($C33="","",'Chấm công'!AW34)</f>
        <v/>
      </c>
      <c r="K33" s="26" t="str">
        <f>IF($C33="","",'Chấm công'!AT34)</f>
        <v/>
      </c>
      <c r="L33" s="26" t="str">
        <f>IF($C33="","",'Chấm công'!AU34)</f>
        <v/>
      </c>
      <c r="M33" s="56" t="str">
        <f t="shared" si="1"/>
        <v/>
      </c>
      <c r="N33" s="56" t="str">
        <f>IF($C33="","",ROUND(J33*($E33/'Cài đặt'!$D$12)*('Cài đặt'!$D$32-1),0))</f>
        <v/>
      </c>
      <c r="O33" s="56" t="str">
        <f>IF($C33="","",ROUND(K33*($E33/'Cài đặt'!$D$12)*('Cài đặt'!$D$33-1),0))</f>
        <v/>
      </c>
      <c r="P33" s="56" t="str">
        <f>IF($C33="","",ROUND(L33*($E33/'Cài đặt'!$D$12)*('Cài đặt'!$D$34-1),0))</f>
        <v/>
      </c>
      <c r="Q33" s="57" t="str">
        <f>IF($C33="","",SUMIFS('Khối lượng khoán'!$I$8:$I$107,'Khối lượng khoán'!$D$8:$D$107,$C33,'Khối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33" s="56" t="str">
        <f>IF($C33="","",F33*'Cài đặt'!$D$35)</f>
        <v/>
      </c>
      <c r="S33" s="56" t="str">
        <f>IF($C33="","",IF('Chấm công'!AR34=0,'Cài đặt'!$D$36,0))</f>
        <v/>
      </c>
      <c r="T33" s="58" t="str">
        <f t="shared" si="2"/>
        <v/>
      </c>
      <c r="U33" s="56" t="str">
        <f>IF($C33="","",ROUND(M33*'Cài đặt'!$D$37,0))</f>
        <v/>
      </c>
      <c r="V33" s="59"/>
      <c r="W33" s="59"/>
      <c r="X33" s="60" t="str">
        <f t="shared" si="3"/>
        <v/>
      </c>
      <c r="Y33" s="20"/>
    </row>
    <row r="34" ht="21.0" customHeight="1">
      <c r="A34" s="53">
        <v>28.0</v>
      </c>
      <c r="B34" s="32" t="str">
        <f>IF('Chấm công'!$C35="","",'Chấm công'!$B35&amp;"")</f>
        <v/>
      </c>
      <c r="C34" s="54" t="str">
        <f>IF('Chấm công'!$C35="","",'Chấm công'!$C35)</f>
        <v/>
      </c>
      <c r="D34" s="55" t="str">
        <f>IF('Chấm công'!$C35="","",'Chấm công'!$D35&amp;"")</f>
        <v/>
      </c>
      <c r="E34" s="56" t="str">
        <f t="array" ref="E34">IF($C34="","",IFERROR(INDEX('Cài đặt'!$D$43:$D$52,MATCH($D34,'Cài đặt'!$B$43:$B$52,0)),0))</f>
        <v/>
      </c>
      <c r="F34" s="26" t="str">
        <f>IF($C34="","",SUM('Chấm công'!AJ35:AM35))</f>
        <v/>
      </c>
      <c r="G34" s="26" t="str">
        <f>IF($C34="","",'Chấm công'!AO35+'Chấm công'!AP35)</f>
        <v/>
      </c>
      <c r="H34" s="26" t="str">
        <f>IF($C34="","",'Chấm công'!AN35+'Chấm công'!AQ35+'Chấm công'!AR35)</f>
        <v/>
      </c>
      <c r="I34" s="27" t="str">
        <f>IF($C34="","",'Chấm công'!AV35)</f>
        <v/>
      </c>
      <c r="J34" s="26" t="str">
        <f>IF($C34="","",'Chấm công'!AW35)</f>
        <v/>
      </c>
      <c r="K34" s="26" t="str">
        <f>IF($C34="","",'Chấm công'!AT35)</f>
        <v/>
      </c>
      <c r="L34" s="26" t="str">
        <f>IF($C34="","",'Chấm công'!AU35)</f>
        <v/>
      </c>
      <c r="M34" s="56" t="str">
        <f t="shared" si="1"/>
        <v/>
      </c>
      <c r="N34" s="56" t="str">
        <f>IF($C34="","",ROUND(J34*($E34/'Cài đặt'!$D$12)*('Cài đặt'!$D$32-1),0))</f>
        <v/>
      </c>
      <c r="O34" s="56" t="str">
        <f>IF($C34="","",ROUND(K34*($E34/'Cài đặt'!$D$12)*('Cài đặt'!$D$33-1),0))</f>
        <v/>
      </c>
      <c r="P34" s="56" t="str">
        <f>IF($C34="","",ROUND(L34*($E34/'Cài đặt'!$D$12)*('Cài đặt'!$D$34-1),0))</f>
        <v/>
      </c>
      <c r="Q34" s="57" t="str">
        <f>IF($C34="","",SUMIFS('Khối lượng khoán'!$I$8:$I$107,'Khối lượng khoán'!$D$8:$D$107,$C34,'Khối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34" s="56" t="str">
        <f>IF($C34="","",F34*'Cài đặt'!$D$35)</f>
        <v/>
      </c>
      <c r="S34" s="56" t="str">
        <f>IF($C34="","",IF('Chấm công'!AR35=0,'Cài đặt'!$D$36,0))</f>
        <v/>
      </c>
      <c r="T34" s="58" t="str">
        <f t="shared" si="2"/>
        <v/>
      </c>
      <c r="U34" s="56" t="str">
        <f>IF($C34="","",ROUND(M34*'Cài đặt'!$D$37,0))</f>
        <v/>
      </c>
      <c r="V34" s="59"/>
      <c r="W34" s="59"/>
      <c r="X34" s="60" t="str">
        <f t="shared" si="3"/>
        <v/>
      </c>
      <c r="Y34" s="20"/>
    </row>
    <row r="35" ht="21.0" customHeight="1">
      <c r="A35" s="53">
        <v>29.0</v>
      </c>
      <c r="B35" s="32" t="str">
        <f>IF('Chấm công'!$C36="","",'Chấm công'!$B36&amp;"")</f>
        <v/>
      </c>
      <c r="C35" s="54" t="str">
        <f>IF('Chấm công'!$C36="","",'Chấm công'!$C36)</f>
        <v/>
      </c>
      <c r="D35" s="55" t="str">
        <f>IF('Chấm công'!$C36="","",'Chấm công'!$D36&amp;"")</f>
        <v/>
      </c>
      <c r="E35" s="56" t="str">
        <f t="array" ref="E35">IF($C35="","",IFERROR(INDEX('Cài đặt'!$D$43:$D$52,MATCH($D35,'Cài đặt'!$B$43:$B$52,0)),0))</f>
        <v/>
      </c>
      <c r="F35" s="26" t="str">
        <f>IF($C35="","",SUM('Chấm công'!AJ36:AM36))</f>
        <v/>
      </c>
      <c r="G35" s="26" t="str">
        <f>IF($C35="","",'Chấm công'!AO36+'Chấm công'!AP36)</f>
        <v/>
      </c>
      <c r="H35" s="26" t="str">
        <f>IF($C35="","",'Chấm công'!AN36+'Chấm công'!AQ36+'Chấm công'!AR36)</f>
        <v/>
      </c>
      <c r="I35" s="27" t="str">
        <f>IF($C35="","",'Chấm công'!AV36)</f>
        <v/>
      </c>
      <c r="J35" s="26" t="str">
        <f>IF($C35="","",'Chấm công'!AW36)</f>
        <v/>
      </c>
      <c r="K35" s="26" t="str">
        <f>IF($C35="","",'Chấm công'!AT36)</f>
        <v/>
      </c>
      <c r="L35" s="26" t="str">
        <f>IF($C35="","",'Chấm công'!AU36)</f>
        <v/>
      </c>
      <c r="M35" s="56" t="str">
        <f t="shared" si="1"/>
        <v/>
      </c>
      <c r="N35" s="56" t="str">
        <f>IF($C35="","",ROUND(J35*($E35/'Cài đặt'!$D$12)*('Cài đặt'!$D$32-1),0))</f>
        <v/>
      </c>
      <c r="O35" s="56" t="str">
        <f>IF($C35="","",ROUND(K35*($E35/'Cài đặt'!$D$12)*('Cài đặt'!$D$33-1),0))</f>
        <v/>
      </c>
      <c r="P35" s="56" t="str">
        <f>IF($C35="","",ROUND(L35*($E35/'Cài đặt'!$D$12)*('Cài đặt'!$D$34-1),0))</f>
        <v/>
      </c>
      <c r="Q35" s="57" t="str">
        <f>IF($C35="","",SUMIFS('Khối lượng khoán'!$I$8:$I$107,'Khối lượng khoán'!$D$8:$D$107,$C35,'Khối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35" s="56" t="str">
        <f>IF($C35="","",F35*'Cài đặt'!$D$35)</f>
        <v/>
      </c>
      <c r="S35" s="56" t="str">
        <f>IF($C35="","",IF('Chấm công'!AR36=0,'Cài đặt'!$D$36,0))</f>
        <v/>
      </c>
      <c r="T35" s="58" t="str">
        <f t="shared" si="2"/>
        <v/>
      </c>
      <c r="U35" s="56" t="str">
        <f>IF($C35="","",ROUND(M35*'Cài đặt'!$D$37,0))</f>
        <v/>
      </c>
      <c r="V35" s="59"/>
      <c r="W35" s="59"/>
      <c r="X35" s="60" t="str">
        <f t="shared" si="3"/>
        <v/>
      </c>
      <c r="Y35" s="20"/>
    </row>
    <row r="36" ht="21.0" customHeight="1">
      <c r="A36" s="53">
        <v>30.0</v>
      </c>
      <c r="B36" s="32" t="str">
        <f>IF('Chấm công'!$C37="","",'Chấm công'!$B37&amp;"")</f>
        <v/>
      </c>
      <c r="C36" s="54" t="str">
        <f>IF('Chấm công'!$C37="","",'Chấm công'!$C37)</f>
        <v/>
      </c>
      <c r="D36" s="55" t="str">
        <f>IF('Chấm công'!$C37="","",'Chấm công'!$D37&amp;"")</f>
        <v/>
      </c>
      <c r="E36" s="56" t="str">
        <f t="array" ref="E36">IF($C36="","",IFERROR(INDEX('Cài đặt'!$D$43:$D$52,MATCH($D36,'Cài đặt'!$B$43:$B$52,0)),0))</f>
        <v/>
      </c>
      <c r="F36" s="26" t="str">
        <f>IF($C36="","",SUM('Chấm công'!AJ37:AM37))</f>
        <v/>
      </c>
      <c r="G36" s="26" t="str">
        <f>IF($C36="","",'Chấm công'!AO37+'Chấm công'!AP37)</f>
        <v/>
      </c>
      <c r="H36" s="26" t="str">
        <f>IF($C36="","",'Chấm công'!AN37+'Chấm công'!AQ37+'Chấm công'!AR37)</f>
        <v/>
      </c>
      <c r="I36" s="27" t="str">
        <f>IF($C36="","",'Chấm công'!AV37)</f>
        <v/>
      </c>
      <c r="J36" s="26" t="str">
        <f>IF($C36="","",'Chấm công'!AW37)</f>
        <v/>
      </c>
      <c r="K36" s="26" t="str">
        <f>IF($C36="","",'Chấm công'!AT37)</f>
        <v/>
      </c>
      <c r="L36" s="26" t="str">
        <f>IF($C36="","",'Chấm công'!AU37)</f>
        <v/>
      </c>
      <c r="M36" s="56" t="str">
        <f t="shared" si="1"/>
        <v/>
      </c>
      <c r="N36" s="56" t="str">
        <f>IF($C36="","",ROUND(J36*($E36/'Cài đặt'!$D$12)*('Cài đặt'!$D$32-1),0))</f>
        <v/>
      </c>
      <c r="O36" s="56" t="str">
        <f>IF($C36="","",ROUND(K36*($E36/'Cài đặt'!$D$12)*('Cài đặt'!$D$33-1),0))</f>
        <v/>
      </c>
      <c r="P36" s="56" t="str">
        <f>IF($C36="","",ROUND(L36*($E36/'Cài đặt'!$D$12)*('Cài đặt'!$D$34-1),0))</f>
        <v/>
      </c>
      <c r="Q36" s="57" t="str">
        <f>IF($C36="","",SUMIFS('Khối lượng khoán'!$I$8:$I$107,'Khối lượng khoán'!$D$8:$D$107,$C36,'Khối lượng khoán'!$K$8:$K$107,"Đạt",'Khối lượng khoán'!$B$8:$B$107,"&gt;="&amp;DATE('Cài đặt'!$D$8,'Cài đặt'!$D$7,1),'Khối lượng khoán'!$B$8:$B$107,"&lt;"&amp;DATE('Cài đặt'!$D$8,'Cài đặt'!$D$7+1,1)))</f>
        <v/>
      </c>
      <c r="R36" s="56" t="str">
        <f>IF($C36="","",F36*'Cài đặt'!$D$35)</f>
        <v/>
      </c>
      <c r="S36" s="56" t="str">
        <f>IF($C36="","",IF('Chấm công'!AR37=0,'Cài đặt'!$D$36,0))</f>
        <v/>
      </c>
      <c r="T36" s="58" t="str">
        <f t="shared" si="2"/>
        <v/>
      </c>
      <c r="U36" s="56" t="str">
        <f>IF($C36="","",ROUND(M36*'Cài đặt'!$D$37,0))</f>
        <v/>
      </c>
      <c r="V36" s="59"/>
      <c r="W36" s="59"/>
      <c r="X36" s="60" t="str">
        <f t="shared" si="3"/>
        <v/>
      </c>
      <c r="Y36" s="20"/>
    </row>
    <row r="37" ht="24.0" customHeight="1">
      <c r="A37" s="28" t="s">
        <v>53</v>
      </c>
      <c r="B37" s="9"/>
      <c r="C37" s="9"/>
      <c r="D37" s="9"/>
      <c r="E37" s="10"/>
      <c r="F37" s="31">
        <f t="shared" ref="F37:X37" si="4">SUM(F7:F36)</f>
        <v>285</v>
      </c>
      <c r="G37" s="31">
        <f t="shared" si="4"/>
        <v>2</v>
      </c>
      <c r="H37" s="31">
        <f t="shared" si="4"/>
        <v>14</v>
      </c>
      <c r="I37" s="31">
        <f t="shared" si="4"/>
        <v>291.875</v>
      </c>
      <c r="J37" s="31">
        <f t="shared" si="4"/>
        <v>31</v>
      </c>
      <c r="K37" s="31">
        <f t="shared" si="4"/>
        <v>8</v>
      </c>
      <c r="L37" s="31">
        <f t="shared" si="4"/>
        <v>0</v>
      </c>
      <c r="M37" s="60">
        <f t="shared" si="4"/>
        <v>130300000</v>
      </c>
      <c r="N37" s="60">
        <f t="shared" si="4"/>
        <v>870000</v>
      </c>
      <c r="O37" s="60">
        <f t="shared" si="4"/>
        <v>550000</v>
      </c>
      <c r="P37" s="60">
        <f t="shared" si="4"/>
        <v>0</v>
      </c>
      <c r="Q37" s="60">
        <f t="shared" si="4"/>
        <v>13855000</v>
      </c>
      <c r="R37" s="60">
        <f t="shared" si="4"/>
        <v>8550000</v>
      </c>
      <c r="S37" s="60">
        <f t="shared" si="4"/>
        <v>3300000</v>
      </c>
      <c r="T37" s="60">
        <f t="shared" si="4"/>
        <v>157425000</v>
      </c>
      <c r="U37" s="60">
        <f t="shared" si="4"/>
        <v>0</v>
      </c>
      <c r="V37" s="60">
        <f t="shared" si="4"/>
        <v>0</v>
      </c>
      <c r="W37" s="60">
        <f t="shared" si="4"/>
        <v>0</v>
      </c>
      <c r="X37" s="60">
        <f t="shared" si="4"/>
        <v>157425000</v>
      </c>
      <c r="Y37" s="32"/>
    </row>
    <row r="38" ht="15.75" customHeight="1">
      <c r="A38" s="38" t="s">
        <v>85</v>
      </c>
    </row>
    <row r="39" ht="15.75" customHeight="1"/>
    <row r="40" ht="15.75" customHeight="1">
      <c r="C40" s="40" t="s">
        <v>58</v>
      </c>
      <c r="I40" s="40" t="s">
        <v>86</v>
      </c>
      <c r="R40" s="40" t="s">
        <v>87</v>
      </c>
    </row>
    <row r="41" ht="15.75" customHeight="1">
      <c r="C41" s="43" t="s">
        <v>61</v>
      </c>
      <c r="I41" s="43" t="s">
        <v>61</v>
      </c>
      <c r="R41" s="43" t="s">
        <v>61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I5:L5"/>
    <mergeCell ref="M5:T5"/>
    <mergeCell ref="U5:X5"/>
    <mergeCell ref="Y5:Y6"/>
    <mergeCell ref="A1:Y1"/>
    <mergeCell ref="A2:Y2"/>
    <mergeCell ref="A3:Y3"/>
    <mergeCell ref="A5:A6"/>
    <mergeCell ref="B5:B6"/>
    <mergeCell ref="C5:C6"/>
    <mergeCell ref="D5:D6"/>
    <mergeCell ref="I40:L40"/>
    <mergeCell ref="I41:L41"/>
    <mergeCell ref="E5:E6"/>
    <mergeCell ref="F5:H5"/>
    <mergeCell ref="A37:E37"/>
    <mergeCell ref="A38:Y38"/>
    <mergeCell ref="C40:D40"/>
    <mergeCell ref="R40:X40"/>
    <mergeCell ref="C41:D41"/>
    <mergeCell ref="R41:X41"/>
  </mergeCells>
  <printOptions/>
  <pageMargins bottom="1.0" footer="0.0" header="0.0" left="0.3" right="0.3" top="1.0"/>
  <pageSetup paperSize="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DBA74"/>
    <pageSetUpPr fitToPage="1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5.0"/>
    <col customWidth="1" min="2" max="2" width="12.0"/>
    <col customWidth="1" min="3" max="3" width="7.0"/>
    <col customWidth="1" min="4" max="4" width="22.0"/>
    <col customWidth="1" min="5" max="5" width="24.0"/>
    <col customWidth="1" min="6" max="6" width="8.0"/>
    <col customWidth="1" min="7" max="7" width="12.0"/>
    <col customWidth="1" min="8" max="8" width="14.0"/>
    <col customWidth="1" min="9" max="9" width="15.0"/>
    <col customWidth="1" min="10" max="10" width="32.0"/>
    <col customWidth="1" min="11" max="11" width="17.0"/>
    <col customWidth="1" min="12" max="12" width="26.0"/>
    <col customWidth="1" min="13" max="26" width="8.71"/>
  </cols>
  <sheetData>
    <row r="1" ht="24.0" customHeight="1">
      <c r="A1" s="1" t="str">
        <f>'Cài đặt'!D5</f>
        <v>CÔNG TY TNHH XÂY DỰNG &amp; THƯƠNG MẠI MẪU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39.75" customHeight="1">
      <c r="A2" s="4" t="s">
        <v>88</v>
      </c>
    </row>
    <row r="3" ht="21.75" customHeight="1">
      <c r="A3" s="6" t="str">
        <f>"Tháng "&amp;'Cài đặt'!D7&amp;" năm "&amp;'Cài đặt'!D8&amp;"   |   Công trình: "&amp;'Cài đặt'!D6</f>
        <v>Tháng 11 năm 2026   |   Công trình: Nhà phố 4 tầng – 45 Lê Văn Lương, Hà Nội</v>
      </c>
    </row>
    <row r="4" ht="18.0" customHeight="1">
      <c r="A4" s="61" t="s">
        <v>89</v>
      </c>
      <c r="B4" s="2"/>
      <c r="C4" s="3"/>
      <c r="D4" s="61" t="s">
        <v>90</v>
      </c>
      <c r="E4" s="3"/>
      <c r="F4" s="61" t="s">
        <v>91</v>
      </c>
      <c r="G4" s="2"/>
      <c r="H4" s="2"/>
      <c r="I4" s="3"/>
      <c r="J4" s="61" t="s">
        <v>92</v>
      </c>
      <c r="K4" s="3"/>
    </row>
    <row r="5" ht="30.0" customHeight="1">
      <c r="A5" s="62">
        <f>SUM(I8:I107)</f>
        <v>19955000</v>
      </c>
      <c r="B5" s="9"/>
      <c r="C5" s="10"/>
      <c r="D5" s="62">
        <f>SUMIFS(I8:I107,K8:K107,"Đạt")</f>
        <v>13855000</v>
      </c>
      <c r="E5" s="10"/>
      <c r="F5" s="63">
        <f>COUNTIF(K8:K107,"Chờ nghiệm thu")</f>
        <v>1</v>
      </c>
      <c r="G5" s="9"/>
      <c r="H5" s="9"/>
      <c r="I5" s="10"/>
      <c r="J5" s="63">
        <f>COUNTIF(K8:K107,"Chưa đạt")</f>
        <v>1</v>
      </c>
      <c r="K5" s="10"/>
    </row>
    <row r="6" ht="7.5" customHeight="1"/>
    <row r="7" ht="36.0" customHeight="1">
      <c r="A7" s="64" t="s">
        <v>1</v>
      </c>
      <c r="B7" s="64" t="s">
        <v>93</v>
      </c>
      <c r="C7" s="65" t="s">
        <v>94</v>
      </c>
      <c r="D7" s="64" t="s">
        <v>95</v>
      </c>
      <c r="E7" s="64" t="s">
        <v>96</v>
      </c>
      <c r="F7" s="65" t="s">
        <v>97</v>
      </c>
      <c r="G7" s="64" t="s">
        <v>98</v>
      </c>
      <c r="H7" s="65" t="s">
        <v>99</v>
      </c>
      <c r="I7" s="65" t="s">
        <v>100</v>
      </c>
      <c r="J7" s="64" t="s">
        <v>101</v>
      </c>
      <c r="K7" s="64" t="s">
        <v>102</v>
      </c>
      <c r="L7" s="64" t="s">
        <v>8</v>
      </c>
    </row>
    <row r="8" ht="24.0" customHeight="1">
      <c r="A8" s="66">
        <v>1.0</v>
      </c>
      <c r="B8" s="67">
        <v>46328.0</v>
      </c>
      <c r="C8" s="68" t="str">
        <f t="shared" ref="C8:C107" si="1">IF(B8="","",CHOOSE(WEEKDAY(B8,2),"T2","T3","T4","T5","T6","T7","CN"))</f>
        <v>T2</v>
      </c>
      <c r="D8" s="22" t="s">
        <v>21</v>
      </c>
      <c r="E8" s="22" t="s">
        <v>103</v>
      </c>
      <c r="F8" s="68" t="str">
        <f t="array" ref="F8">IF(E8="","",IFERROR(INDEX('Cài đặt'!$D$56:$D$65,MATCH(E8,'Cài đặt'!$B$56:$B$65,0)),""))</f>
        <v>m³</v>
      </c>
      <c r="G8" s="69">
        <v>6.5</v>
      </c>
      <c r="H8" s="56">
        <f t="array" ref="H8">IF(E8="","",IFERROR(INDEX('Cài đặt'!$E$56:$E$65,MATCH(E8,'Cài đặt'!$B$56:$B$65,0)),""))</f>
        <v>400000</v>
      </c>
      <c r="I8" s="70">
        <f t="shared" ref="I8:I107" si="2">IF(OR(G8="",NOT(ISNUMBER(H8))),"",ROUND(G8*H8,0))</f>
        <v>2600000</v>
      </c>
      <c r="J8" s="71" t="s">
        <v>104</v>
      </c>
      <c r="K8" s="72" t="s">
        <v>105</v>
      </c>
      <c r="L8" s="71"/>
    </row>
    <row r="9" ht="24.0" customHeight="1">
      <c r="A9" s="66">
        <v>2.0</v>
      </c>
      <c r="B9" s="67">
        <v>46329.0</v>
      </c>
      <c r="C9" s="68" t="str">
        <f t="shared" si="1"/>
        <v>T3</v>
      </c>
      <c r="D9" s="22" t="s">
        <v>25</v>
      </c>
      <c r="E9" s="22" t="s">
        <v>103</v>
      </c>
      <c r="F9" s="68" t="str">
        <f t="array" ref="F9">IF(E9="","",IFERROR(INDEX('Cài đặt'!$D$56:$D$65,MATCH(E9,'Cài đặt'!$B$56:$B$65,0)),""))</f>
        <v>m³</v>
      </c>
      <c r="G9" s="69">
        <v>5.0</v>
      </c>
      <c r="H9" s="56">
        <f t="array" ref="H9">IF(E9="","",IFERROR(INDEX('Cài đặt'!$E$56:$E$65,MATCH(E9,'Cài đặt'!$B$56:$B$65,0)),""))</f>
        <v>400000</v>
      </c>
      <c r="I9" s="70">
        <f t="shared" si="2"/>
        <v>2000000</v>
      </c>
      <c r="J9" s="71" t="s">
        <v>106</v>
      </c>
      <c r="K9" s="72" t="s">
        <v>105</v>
      </c>
      <c r="L9" s="71"/>
    </row>
    <row r="10" ht="24.0" customHeight="1">
      <c r="A10" s="66">
        <v>3.0</v>
      </c>
      <c r="B10" s="67">
        <v>46330.0</v>
      </c>
      <c r="C10" s="68" t="str">
        <f t="shared" si="1"/>
        <v>T4</v>
      </c>
      <c r="D10" s="22" t="s">
        <v>29</v>
      </c>
      <c r="E10" s="22" t="s">
        <v>107</v>
      </c>
      <c r="F10" s="68" t="str">
        <f t="array" ref="F10">IF(E10="","",IFERROR(INDEX('Cài đặt'!$D$56:$D$65,MATCH(E10,'Cài đặt'!$B$56:$B$65,0)),""))</f>
        <v>m²</v>
      </c>
      <c r="G10" s="69">
        <v>85.0</v>
      </c>
      <c r="H10" s="56">
        <f t="array" ref="H10">IF(E10="","",IFERROR(INDEX('Cài đặt'!$E$56:$E$65,MATCH(E10,'Cài đặt'!$B$56:$B$65,0)),""))</f>
        <v>45000</v>
      </c>
      <c r="I10" s="70">
        <f t="shared" si="2"/>
        <v>3825000</v>
      </c>
      <c r="J10" s="71" t="s">
        <v>108</v>
      </c>
      <c r="K10" s="72" t="s">
        <v>105</v>
      </c>
      <c r="L10" s="71"/>
    </row>
    <row r="11" ht="24.0" customHeight="1">
      <c r="A11" s="66">
        <v>4.0</v>
      </c>
      <c r="B11" s="67">
        <v>46331.0</v>
      </c>
      <c r="C11" s="68" t="str">
        <f t="shared" si="1"/>
        <v>T5</v>
      </c>
      <c r="D11" s="22" t="s">
        <v>33</v>
      </c>
      <c r="E11" s="22" t="s">
        <v>107</v>
      </c>
      <c r="F11" s="68" t="str">
        <f t="array" ref="F11">IF(E11="","",IFERROR(INDEX('Cài đặt'!$D$56:$D$65,MATCH(E11,'Cài đặt'!$B$56:$B$65,0)),""))</f>
        <v>m²</v>
      </c>
      <c r="G11" s="69">
        <v>72.0</v>
      </c>
      <c r="H11" s="56">
        <f t="array" ref="H11">IF(E11="","",IFERROR(INDEX('Cài đặt'!$E$56:$E$65,MATCH(E11,'Cài đặt'!$B$56:$B$65,0)),""))</f>
        <v>45000</v>
      </c>
      <c r="I11" s="70">
        <f t="shared" si="2"/>
        <v>3240000</v>
      </c>
      <c r="J11" s="71" t="s">
        <v>109</v>
      </c>
      <c r="K11" s="72" t="s">
        <v>105</v>
      </c>
      <c r="L11" s="71"/>
    </row>
    <row r="12" ht="24.0" customHeight="1">
      <c r="A12" s="66">
        <v>5.0</v>
      </c>
      <c r="B12" s="67">
        <v>46332.0</v>
      </c>
      <c r="C12" s="68" t="str">
        <f t="shared" si="1"/>
        <v>T6</v>
      </c>
      <c r="D12" s="22" t="s">
        <v>36</v>
      </c>
      <c r="E12" s="22" t="s">
        <v>110</v>
      </c>
      <c r="F12" s="68" t="str">
        <f t="array" ref="F12">IF(E12="","",IFERROR(INDEX('Cài đặt'!$D$56:$D$65,MATCH(E12,'Cài đặt'!$B$56:$B$65,0)),""))</f>
        <v>kg</v>
      </c>
      <c r="G12" s="69">
        <v>420.0</v>
      </c>
      <c r="H12" s="56">
        <f t="array" ref="H12">IF(E12="","",IFERROR(INDEX('Cài đặt'!$E$56:$E$65,MATCH(E12,'Cài đặt'!$B$56:$B$65,0)),""))</f>
        <v>3500</v>
      </c>
      <c r="I12" s="70">
        <f t="shared" si="2"/>
        <v>1470000</v>
      </c>
      <c r="J12" s="71" t="s">
        <v>111</v>
      </c>
      <c r="K12" s="72" t="s">
        <v>105</v>
      </c>
      <c r="L12" s="71"/>
    </row>
    <row r="13" ht="24.0" customHeight="1">
      <c r="A13" s="66">
        <v>6.0</v>
      </c>
      <c r="B13" s="67">
        <v>46333.0</v>
      </c>
      <c r="C13" s="68" t="str">
        <f t="shared" si="1"/>
        <v>T7</v>
      </c>
      <c r="D13" s="22" t="s">
        <v>36</v>
      </c>
      <c r="E13" s="22" t="s">
        <v>112</v>
      </c>
      <c r="F13" s="68" t="str">
        <f t="array" ref="F13">IF(E13="","",IFERROR(INDEX('Cài đặt'!$D$56:$D$65,MATCH(E13,'Cài đặt'!$B$56:$B$65,0)),""))</f>
        <v>m²</v>
      </c>
      <c r="G13" s="69">
        <v>60.0</v>
      </c>
      <c r="H13" s="56">
        <f t="array" ref="H13">IF(E13="","",IFERROR(INDEX('Cài đặt'!$E$56:$E$65,MATCH(E13,'Cài đặt'!$B$56:$B$65,0)),""))</f>
        <v>55000</v>
      </c>
      <c r="I13" s="70">
        <f t="shared" si="2"/>
        <v>3300000</v>
      </c>
      <c r="J13" s="71" t="s">
        <v>113</v>
      </c>
      <c r="K13" s="72" t="s">
        <v>114</v>
      </c>
      <c r="L13" s="71"/>
    </row>
    <row r="14" ht="24.0" customHeight="1">
      <c r="A14" s="66">
        <v>7.0</v>
      </c>
      <c r="B14" s="67">
        <v>46335.0</v>
      </c>
      <c r="C14" s="68" t="str">
        <f t="shared" si="1"/>
        <v>T2</v>
      </c>
      <c r="D14" s="22" t="s">
        <v>27</v>
      </c>
      <c r="E14" s="22" t="s">
        <v>115</v>
      </c>
      <c r="F14" s="68" t="str">
        <f t="array" ref="F14">IF(E14="","",IFERROR(INDEX('Cài đặt'!$D$56:$D$65,MATCH(E14,'Cài đặt'!$B$56:$B$65,0)),""))</f>
        <v>m²</v>
      </c>
      <c r="G14" s="69">
        <v>40.0</v>
      </c>
      <c r="H14" s="56">
        <f t="array" ref="H14">IF(E14="","",IFERROR(INDEX('Cài đặt'!$E$56:$E$65,MATCH(E14,'Cài đặt'!$B$56:$B$65,0)),""))</f>
        <v>70000</v>
      </c>
      <c r="I14" s="70">
        <f t="shared" si="2"/>
        <v>2800000</v>
      </c>
      <c r="J14" s="71" t="s">
        <v>116</v>
      </c>
      <c r="K14" s="72" t="s">
        <v>117</v>
      </c>
      <c r="L14" s="71" t="s">
        <v>118</v>
      </c>
    </row>
    <row r="15" ht="24.0" customHeight="1">
      <c r="A15" s="66">
        <v>8.0</v>
      </c>
      <c r="B15" s="67">
        <v>46336.0</v>
      </c>
      <c r="C15" s="68" t="str">
        <f t="shared" si="1"/>
        <v>T3</v>
      </c>
      <c r="D15" s="22" t="s">
        <v>42</v>
      </c>
      <c r="E15" s="22" t="s">
        <v>119</v>
      </c>
      <c r="F15" s="68" t="str">
        <f t="array" ref="F15">IF(E15="","",IFERROR(INDEX('Cài đặt'!$D$56:$D$65,MATCH(E15,'Cài đặt'!$B$56:$B$65,0)),""))</f>
        <v>điểm</v>
      </c>
      <c r="G15" s="69">
        <v>12.0</v>
      </c>
      <c r="H15" s="56">
        <f t="array" ref="H15">IF(E15="","",IFERROR(INDEX('Cài đặt'!$E$56:$E$65,MATCH(E15,'Cài đặt'!$B$56:$B$65,0)),""))</f>
        <v>60000</v>
      </c>
      <c r="I15" s="70">
        <f t="shared" si="2"/>
        <v>720000</v>
      </c>
      <c r="J15" s="71" t="s">
        <v>120</v>
      </c>
      <c r="K15" s="72" t="s">
        <v>105</v>
      </c>
      <c r="L15" s="71"/>
    </row>
    <row r="16" ht="24.0" customHeight="1">
      <c r="A16" s="66">
        <v>9.0</v>
      </c>
      <c r="B16" s="67"/>
      <c r="C16" s="68" t="str">
        <f t="shared" si="1"/>
        <v/>
      </c>
      <c r="D16" s="22"/>
      <c r="E16" s="22"/>
      <c r="F16" s="68" t="str">
        <f t="array" ref="F16">IF(E16="","",IFERROR(INDEX('Cài đặt'!$D$56:$D$65,MATCH(E16,'Cài đặt'!$B$56:$B$65,0)),""))</f>
        <v/>
      </c>
      <c r="G16" s="69"/>
      <c r="H16" s="56" t="str">
        <f t="array" ref="H16">IF(E16="","",IFERROR(INDEX('Cài đặt'!$E$56:$E$65,MATCH(E16,'Cài đặt'!$B$56:$B$65,0)),""))</f>
        <v/>
      </c>
      <c r="I16" s="70" t="str">
        <f t="shared" si="2"/>
        <v/>
      </c>
      <c r="J16" s="71"/>
      <c r="K16" s="72"/>
      <c r="L16" s="71"/>
    </row>
    <row r="17" ht="24.0" customHeight="1">
      <c r="A17" s="66">
        <v>10.0</v>
      </c>
      <c r="B17" s="67"/>
      <c r="C17" s="68" t="str">
        <f t="shared" si="1"/>
        <v/>
      </c>
      <c r="D17" s="22"/>
      <c r="E17" s="22"/>
      <c r="F17" s="68" t="str">
        <f t="array" ref="F17">IF(E17="","",IFERROR(INDEX('Cài đặt'!$D$56:$D$65,MATCH(E17,'Cài đặt'!$B$56:$B$65,0)),""))</f>
        <v/>
      </c>
      <c r="G17" s="69"/>
      <c r="H17" s="56" t="str">
        <f t="array" ref="H17">IF(E17="","",IFERROR(INDEX('Cài đặt'!$E$56:$E$65,MATCH(E17,'Cài đặt'!$B$56:$B$65,0)),""))</f>
        <v/>
      </c>
      <c r="I17" s="70" t="str">
        <f t="shared" si="2"/>
        <v/>
      </c>
      <c r="J17" s="71"/>
      <c r="K17" s="72"/>
      <c r="L17" s="71"/>
    </row>
    <row r="18" ht="24.0" customHeight="1">
      <c r="A18" s="66">
        <v>11.0</v>
      </c>
      <c r="B18" s="67"/>
      <c r="C18" s="68" t="str">
        <f t="shared" si="1"/>
        <v/>
      </c>
      <c r="D18" s="22"/>
      <c r="E18" s="22"/>
      <c r="F18" s="68" t="str">
        <f t="array" ref="F18">IF(E18="","",IFERROR(INDEX('Cài đặt'!$D$56:$D$65,MATCH(E18,'Cài đặt'!$B$56:$B$65,0)),""))</f>
        <v/>
      </c>
      <c r="G18" s="69"/>
      <c r="H18" s="56" t="str">
        <f t="array" ref="H18">IF(E18="","",IFERROR(INDEX('Cài đặt'!$E$56:$E$65,MATCH(E18,'Cài đặt'!$B$56:$B$65,0)),""))</f>
        <v/>
      </c>
      <c r="I18" s="70" t="str">
        <f t="shared" si="2"/>
        <v/>
      </c>
      <c r="J18" s="71"/>
      <c r="K18" s="72"/>
      <c r="L18" s="71"/>
    </row>
    <row r="19" ht="24.0" customHeight="1">
      <c r="A19" s="66">
        <v>12.0</v>
      </c>
      <c r="B19" s="67"/>
      <c r="C19" s="68" t="str">
        <f t="shared" si="1"/>
        <v/>
      </c>
      <c r="D19" s="22"/>
      <c r="E19" s="22"/>
      <c r="F19" s="68" t="str">
        <f t="array" ref="F19">IF(E19="","",IFERROR(INDEX('Cài đặt'!$D$56:$D$65,MATCH(E19,'Cài đặt'!$B$56:$B$65,0)),""))</f>
        <v/>
      </c>
      <c r="G19" s="69"/>
      <c r="H19" s="56" t="str">
        <f t="array" ref="H19">IF(E19="","",IFERROR(INDEX('Cài đặt'!$E$56:$E$65,MATCH(E19,'Cài đặt'!$B$56:$B$65,0)),""))</f>
        <v/>
      </c>
      <c r="I19" s="70" t="str">
        <f t="shared" si="2"/>
        <v/>
      </c>
      <c r="J19" s="71"/>
      <c r="K19" s="72"/>
      <c r="L19" s="71"/>
    </row>
    <row r="20" ht="24.0" customHeight="1">
      <c r="A20" s="66">
        <v>13.0</v>
      </c>
      <c r="B20" s="67"/>
      <c r="C20" s="68" t="str">
        <f t="shared" si="1"/>
        <v/>
      </c>
      <c r="D20" s="22"/>
      <c r="E20" s="22"/>
      <c r="F20" s="68" t="str">
        <f t="array" ref="F20">IF(E20="","",IFERROR(INDEX('Cài đặt'!$D$56:$D$65,MATCH(E20,'Cài đặt'!$B$56:$B$65,0)),""))</f>
        <v/>
      </c>
      <c r="G20" s="69"/>
      <c r="H20" s="56" t="str">
        <f t="array" ref="H20">IF(E20="","",IFERROR(INDEX('Cài đặt'!$E$56:$E$65,MATCH(E20,'Cài đặt'!$B$56:$B$65,0)),""))</f>
        <v/>
      </c>
      <c r="I20" s="70" t="str">
        <f t="shared" si="2"/>
        <v/>
      </c>
      <c r="J20" s="71"/>
      <c r="K20" s="72"/>
      <c r="L20" s="71"/>
    </row>
    <row r="21" ht="24.0" customHeight="1">
      <c r="A21" s="66">
        <v>14.0</v>
      </c>
      <c r="B21" s="67"/>
      <c r="C21" s="68" t="str">
        <f t="shared" si="1"/>
        <v/>
      </c>
      <c r="D21" s="22"/>
      <c r="E21" s="22"/>
      <c r="F21" s="68" t="str">
        <f t="array" ref="F21">IF(E21="","",IFERROR(INDEX('Cài đặt'!$D$56:$D$65,MATCH(E21,'Cài đặt'!$B$56:$B$65,0)),""))</f>
        <v/>
      </c>
      <c r="G21" s="69"/>
      <c r="H21" s="56" t="str">
        <f t="array" ref="H21">IF(E21="","",IFERROR(INDEX('Cài đặt'!$E$56:$E$65,MATCH(E21,'Cài đặt'!$B$56:$B$65,0)),""))</f>
        <v/>
      </c>
      <c r="I21" s="70" t="str">
        <f t="shared" si="2"/>
        <v/>
      </c>
      <c r="J21" s="71"/>
      <c r="K21" s="72"/>
      <c r="L21" s="71"/>
    </row>
    <row r="22" ht="24.0" customHeight="1">
      <c r="A22" s="66">
        <v>15.0</v>
      </c>
      <c r="B22" s="67"/>
      <c r="C22" s="68" t="str">
        <f t="shared" si="1"/>
        <v/>
      </c>
      <c r="D22" s="22"/>
      <c r="E22" s="22"/>
      <c r="F22" s="68" t="str">
        <f t="array" ref="F22">IF(E22="","",IFERROR(INDEX('Cài đặt'!$D$56:$D$65,MATCH(E22,'Cài đặt'!$B$56:$B$65,0)),""))</f>
        <v/>
      </c>
      <c r="G22" s="69"/>
      <c r="H22" s="56" t="str">
        <f t="array" ref="H22">IF(E22="","",IFERROR(INDEX('Cài đặt'!$E$56:$E$65,MATCH(E22,'Cài đặt'!$B$56:$B$65,0)),""))</f>
        <v/>
      </c>
      <c r="I22" s="70" t="str">
        <f t="shared" si="2"/>
        <v/>
      </c>
      <c r="J22" s="71"/>
      <c r="K22" s="72"/>
      <c r="L22" s="71"/>
    </row>
    <row r="23" ht="24.0" customHeight="1">
      <c r="A23" s="66">
        <v>16.0</v>
      </c>
      <c r="B23" s="67"/>
      <c r="C23" s="68" t="str">
        <f t="shared" si="1"/>
        <v/>
      </c>
      <c r="D23" s="22"/>
      <c r="E23" s="22"/>
      <c r="F23" s="68" t="str">
        <f t="array" ref="F23">IF(E23="","",IFERROR(INDEX('Cài đặt'!$D$56:$D$65,MATCH(E23,'Cài đặt'!$B$56:$B$65,0)),""))</f>
        <v/>
      </c>
      <c r="G23" s="69"/>
      <c r="H23" s="56" t="str">
        <f t="array" ref="H23">IF(E23="","",IFERROR(INDEX('Cài đặt'!$E$56:$E$65,MATCH(E23,'Cài đặt'!$B$56:$B$65,0)),""))</f>
        <v/>
      </c>
      <c r="I23" s="70" t="str">
        <f t="shared" si="2"/>
        <v/>
      </c>
      <c r="J23" s="71"/>
      <c r="K23" s="72"/>
      <c r="L23" s="71"/>
    </row>
    <row r="24" ht="24.0" customHeight="1">
      <c r="A24" s="66">
        <v>17.0</v>
      </c>
      <c r="B24" s="67"/>
      <c r="C24" s="68" t="str">
        <f t="shared" si="1"/>
        <v/>
      </c>
      <c r="D24" s="22"/>
      <c r="E24" s="22"/>
      <c r="F24" s="68" t="str">
        <f t="array" ref="F24">IF(E24="","",IFERROR(INDEX('Cài đặt'!$D$56:$D$65,MATCH(E24,'Cài đặt'!$B$56:$B$65,0)),""))</f>
        <v/>
      </c>
      <c r="G24" s="69"/>
      <c r="H24" s="56" t="str">
        <f t="array" ref="H24">IF(E24="","",IFERROR(INDEX('Cài đặt'!$E$56:$E$65,MATCH(E24,'Cài đặt'!$B$56:$B$65,0)),""))</f>
        <v/>
      </c>
      <c r="I24" s="70" t="str">
        <f t="shared" si="2"/>
        <v/>
      </c>
      <c r="J24" s="71"/>
      <c r="K24" s="72"/>
      <c r="L24" s="71"/>
    </row>
    <row r="25" ht="24.0" customHeight="1">
      <c r="A25" s="66">
        <v>18.0</v>
      </c>
      <c r="B25" s="67"/>
      <c r="C25" s="68" t="str">
        <f t="shared" si="1"/>
        <v/>
      </c>
      <c r="D25" s="22"/>
      <c r="E25" s="22"/>
      <c r="F25" s="68" t="str">
        <f t="array" ref="F25">IF(E25="","",IFERROR(INDEX('Cài đặt'!$D$56:$D$65,MATCH(E25,'Cài đặt'!$B$56:$B$65,0)),""))</f>
        <v/>
      </c>
      <c r="G25" s="69"/>
      <c r="H25" s="56" t="str">
        <f t="array" ref="H25">IF(E25="","",IFERROR(INDEX('Cài đặt'!$E$56:$E$65,MATCH(E25,'Cài đặt'!$B$56:$B$65,0)),""))</f>
        <v/>
      </c>
      <c r="I25" s="70" t="str">
        <f t="shared" si="2"/>
        <v/>
      </c>
      <c r="J25" s="71"/>
      <c r="K25" s="72"/>
      <c r="L25" s="71"/>
    </row>
    <row r="26" ht="24.0" customHeight="1">
      <c r="A26" s="66">
        <v>19.0</v>
      </c>
      <c r="B26" s="67"/>
      <c r="C26" s="68" t="str">
        <f t="shared" si="1"/>
        <v/>
      </c>
      <c r="D26" s="22"/>
      <c r="E26" s="22"/>
      <c r="F26" s="68" t="str">
        <f t="array" ref="F26">IF(E26="","",IFERROR(INDEX('Cài đặt'!$D$56:$D$65,MATCH(E26,'Cài đặt'!$B$56:$B$65,0)),""))</f>
        <v/>
      </c>
      <c r="G26" s="69"/>
      <c r="H26" s="56" t="str">
        <f t="array" ref="H26">IF(E26="","",IFERROR(INDEX('Cài đặt'!$E$56:$E$65,MATCH(E26,'Cài đặt'!$B$56:$B$65,0)),""))</f>
        <v/>
      </c>
      <c r="I26" s="70" t="str">
        <f t="shared" si="2"/>
        <v/>
      </c>
      <c r="J26" s="71"/>
      <c r="K26" s="72"/>
      <c r="L26" s="71"/>
    </row>
    <row r="27" ht="24.0" customHeight="1">
      <c r="A27" s="66">
        <v>20.0</v>
      </c>
      <c r="B27" s="67"/>
      <c r="C27" s="68" t="str">
        <f t="shared" si="1"/>
        <v/>
      </c>
      <c r="D27" s="22"/>
      <c r="E27" s="22"/>
      <c r="F27" s="68" t="str">
        <f t="array" ref="F27">IF(E27="","",IFERROR(INDEX('Cài đặt'!$D$56:$D$65,MATCH(E27,'Cài đặt'!$B$56:$B$65,0)),""))</f>
        <v/>
      </c>
      <c r="G27" s="69"/>
      <c r="H27" s="56" t="str">
        <f t="array" ref="H27">IF(E27="","",IFERROR(INDEX('Cài đặt'!$E$56:$E$65,MATCH(E27,'Cài đặt'!$B$56:$B$65,0)),""))</f>
        <v/>
      </c>
      <c r="I27" s="70" t="str">
        <f t="shared" si="2"/>
        <v/>
      </c>
      <c r="J27" s="71"/>
      <c r="K27" s="72"/>
      <c r="L27" s="71"/>
    </row>
    <row r="28" ht="24.0" customHeight="1">
      <c r="A28" s="66">
        <v>21.0</v>
      </c>
      <c r="B28" s="67"/>
      <c r="C28" s="68" t="str">
        <f t="shared" si="1"/>
        <v/>
      </c>
      <c r="D28" s="22"/>
      <c r="E28" s="22"/>
      <c r="F28" s="68" t="str">
        <f t="array" ref="F28">IF(E28="","",IFERROR(INDEX('Cài đặt'!$D$56:$D$65,MATCH(E28,'Cài đặt'!$B$56:$B$65,0)),""))</f>
        <v/>
      </c>
      <c r="G28" s="69"/>
      <c r="H28" s="56" t="str">
        <f t="array" ref="H28">IF(E28="","",IFERROR(INDEX('Cài đặt'!$E$56:$E$65,MATCH(E28,'Cài đặt'!$B$56:$B$65,0)),""))</f>
        <v/>
      </c>
      <c r="I28" s="70" t="str">
        <f t="shared" si="2"/>
        <v/>
      </c>
      <c r="J28" s="71"/>
      <c r="K28" s="72"/>
      <c r="L28" s="71"/>
    </row>
    <row r="29" ht="24.0" customHeight="1">
      <c r="A29" s="66">
        <v>22.0</v>
      </c>
      <c r="B29" s="67"/>
      <c r="C29" s="68" t="str">
        <f t="shared" si="1"/>
        <v/>
      </c>
      <c r="D29" s="22"/>
      <c r="E29" s="22"/>
      <c r="F29" s="68" t="str">
        <f t="array" ref="F29">IF(E29="","",IFERROR(INDEX('Cài đặt'!$D$56:$D$65,MATCH(E29,'Cài đặt'!$B$56:$B$65,0)),""))</f>
        <v/>
      </c>
      <c r="G29" s="69"/>
      <c r="H29" s="56" t="str">
        <f t="array" ref="H29">IF(E29="","",IFERROR(INDEX('Cài đặt'!$E$56:$E$65,MATCH(E29,'Cài đặt'!$B$56:$B$65,0)),""))</f>
        <v/>
      </c>
      <c r="I29" s="70" t="str">
        <f t="shared" si="2"/>
        <v/>
      </c>
      <c r="J29" s="71"/>
      <c r="K29" s="72"/>
      <c r="L29" s="71"/>
    </row>
    <row r="30" ht="24.0" customHeight="1">
      <c r="A30" s="66">
        <v>23.0</v>
      </c>
      <c r="B30" s="67"/>
      <c r="C30" s="68" t="str">
        <f t="shared" si="1"/>
        <v/>
      </c>
      <c r="D30" s="22"/>
      <c r="E30" s="22"/>
      <c r="F30" s="68" t="str">
        <f t="array" ref="F30">IF(E30="","",IFERROR(INDEX('Cài đặt'!$D$56:$D$65,MATCH(E30,'Cài đặt'!$B$56:$B$65,0)),""))</f>
        <v/>
      </c>
      <c r="G30" s="69"/>
      <c r="H30" s="56" t="str">
        <f t="array" ref="H30">IF(E30="","",IFERROR(INDEX('Cài đặt'!$E$56:$E$65,MATCH(E30,'Cài đặt'!$B$56:$B$65,0)),""))</f>
        <v/>
      </c>
      <c r="I30" s="70" t="str">
        <f t="shared" si="2"/>
        <v/>
      </c>
      <c r="J30" s="71"/>
      <c r="K30" s="72"/>
      <c r="L30" s="71"/>
    </row>
    <row r="31" ht="24.0" customHeight="1">
      <c r="A31" s="66">
        <v>24.0</v>
      </c>
      <c r="B31" s="67"/>
      <c r="C31" s="68" t="str">
        <f t="shared" si="1"/>
        <v/>
      </c>
      <c r="D31" s="22"/>
      <c r="E31" s="22"/>
      <c r="F31" s="68" t="str">
        <f t="array" ref="F31">IF(E31="","",IFERROR(INDEX('Cài đặt'!$D$56:$D$65,MATCH(E31,'Cài đặt'!$B$56:$B$65,0)),""))</f>
        <v/>
      </c>
      <c r="G31" s="69"/>
      <c r="H31" s="56" t="str">
        <f t="array" ref="H31">IF(E31="","",IFERROR(INDEX('Cài đặt'!$E$56:$E$65,MATCH(E31,'Cài đặt'!$B$56:$B$65,0)),""))</f>
        <v/>
      </c>
      <c r="I31" s="70" t="str">
        <f t="shared" si="2"/>
        <v/>
      </c>
      <c r="J31" s="71"/>
      <c r="K31" s="72"/>
      <c r="L31" s="71"/>
    </row>
    <row r="32" ht="24.0" customHeight="1">
      <c r="A32" s="66">
        <v>25.0</v>
      </c>
      <c r="B32" s="67"/>
      <c r="C32" s="68" t="str">
        <f t="shared" si="1"/>
        <v/>
      </c>
      <c r="D32" s="22"/>
      <c r="E32" s="22"/>
      <c r="F32" s="68" t="str">
        <f t="array" ref="F32">IF(E32="","",IFERROR(INDEX('Cài đặt'!$D$56:$D$65,MATCH(E32,'Cài đặt'!$B$56:$B$65,0)),""))</f>
        <v/>
      </c>
      <c r="G32" s="69"/>
      <c r="H32" s="56" t="str">
        <f t="array" ref="H32">IF(E32="","",IFERROR(INDEX('Cài đặt'!$E$56:$E$65,MATCH(E32,'Cài đặt'!$B$56:$B$65,0)),""))</f>
        <v/>
      </c>
      <c r="I32" s="70" t="str">
        <f t="shared" si="2"/>
        <v/>
      </c>
      <c r="J32" s="71"/>
      <c r="K32" s="72"/>
      <c r="L32" s="71"/>
    </row>
    <row r="33" ht="24.0" customHeight="1">
      <c r="A33" s="66">
        <v>26.0</v>
      </c>
      <c r="B33" s="67"/>
      <c r="C33" s="68" t="str">
        <f t="shared" si="1"/>
        <v/>
      </c>
      <c r="D33" s="22"/>
      <c r="E33" s="22"/>
      <c r="F33" s="68" t="str">
        <f t="array" ref="F33">IF(E33="","",IFERROR(INDEX('Cài đặt'!$D$56:$D$65,MATCH(E33,'Cài đặt'!$B$56:$B$65,0)),""))</f>
        <v/>
      </c>
      <c r="G33" s="69"/>
      <c r="H33" s="56" t="str">
        <f t="array" ref="H33">IF(E33="","",IFERROR(INDEX('Cài đặt'!$E$56:$E$65,MATCH(E33,'Cài đặt'!$B$56:$B$65,0)),""))</f>
        <v/>
      </c>
      <c r="I33" s="70" t="str">
        <f t="shared" si="2"/>
        <v/>
      </c>
      <c r="J33" s="71"/>
      <c r="K33" s="72"/>
      <c r="L33" s="71"/>
    </row>
    <row r="34" ht="24.0" customHeight="1">
      <c r="A34" s="66">
        <v>27.0</v>
      </c>
      <c r="B34" s="67"/>
      <c r="C34" s="68" t="str">
        <f t="shared" si="1"/>
        <v/>
      </c>
      <c r="D34" s="22"/>
      <c r="E34" s="22"/>
      <c r="F34" s="68" t="str">
        <f t="array" ref="F34">IF(E34="","",IFERROR(INDEX('Cài đặt'!$D$56:$D$65,MATCH(E34,'Cài đặt'!$B$56:$B$65,0)),""))</f>
        <v/>
      </c>
      <c r="G34" s="69"/>
      <c r="H34" s="56" t="str">
        <f t="array" ref="H34">IF(E34="","",IFERROR(INDEX('Cài đặt'!$E$56:$E$65,MATCH(E34,'Cài đặt'!$B$56:$B$65,0)),""))</f>
        <v/>
      </c>
      <c r="I34" s="70" t="str">
        <f t="shared" si="2"/>
        <v/>
      </c>
      <c r="J34" s="71"/>
      <c r="K34" s="72"/>
      <c r="L34" s="71"/>
    </row>
    <row r="35" ht="24.0" customHeight="1">
      <c r="A35" s="66">
        <v>28.0</v>
      </c>
      <c r="B35" s="67"/>
      <c r="C35" s="68" t="str">
        <f t="shared" si="1"/>
        <v/>
      </c>
      <c r="D35" s="22"/>
      <c r="E35" s="22"/>
      <c r="F35" s="68" t="str">
        <f t="array" ref="F35">IF(E35="","",IFERROR(INDEX('Cài đặt'!$D$56:$D$65,MATCH(E35,'Cài đặt'!$B$56:$B$65,0)),""))</f>
        <v/>
      </c>
      <c r="G35" s="69"/>
      <c r="H35" s="56" t="str">
        <f t="array" ref="H35">IF(E35="","",IFERROR(INDEX('Cài đặt'!$E$56:$E$65,MATCH(E35,'Cài đặt'!$B$56:$B$65,0)),""))</f>
        <v/>
      </c>
      <c r="I35" s="70" t="str">
        <f t="shared" si="2"/>
        <v/>
      </c>
      <c r="J35" s="71"/>
      <c r="K35" s="72"/>
      <c r="L35" s="71"/>
    </row>
    <row r="36" ht="24.0" customHeight="1">
      <c r="A36" s="66">
        <v>29.0</v>
      </c>
      <c r="B36" s="67"/>
      <c r="C36" s="68" t="str">
        <f t="shared" si="1"/>
        <v/>
      </c>
      <c r="D36" s="22"/>
      <c r="E36" s="22"/>
      <c r="F36" s="68" t="str">
        <f t="array" ref="F36">IF(E36="","",IFERROR(INDEX('Cài đặt'!$D$56:$D$65,MATCH(E36,'Cài đặt'!$B$56:$B$65,0)),""))</f>
        <v/>
      </c>
      <c r="G36" s="69"/>
      <c r="H36" s="56" t="str">
        <f t="array" ref="H36">IF(E36="","",IFERROR(INDEX('Cài đặt'!$E$56:$E$65,MATCH(E36,'Cài đặt'!$B$56:$B$65,0)),""))</f>
        <v/>
      </c>
      <c r="I36" s="70" t="str">
        <f t="shared" si="2"/>
        <v/>
      </c>
      <c r="J36" s="71"/>
      <c r="K36" s="72"/>
      <c r="L36" s="71"/>
    </row>
    <row r="37" ht="24.0" customHeight="1">
      <c r="A37" s="66">
        <v>30.0</v>
      </c>
      <c r="B37" s="67"/>
      <c r="C37" s="68" t="str">
        <f t="shared" si="1"/>
        <v/>
      </c>
      <c r="D37" s="22"/>
      <c r="E37" s="22"/>
      <c r="F37" s="68" t="str">
        <f t="array" ref="F37">IF(E37="","",IFERROR(INDEX('Cài đặt'!$D$56:$D$65,MATCH(E37,'Cài đặt'!$B$56:$B$65,0)),""))</f>
        <v/>
      </c>
      <c r="G37" s="69"/>
      <c r="H37" s="56" t="str">
        <f t="array" ref="H37">IF(E37="","",IFERROR(INDEX('Cài đặt'!$E$56:$E$65,MATCH(E37,'Cài đặt'!$B$56:$B$65,0)),""))</f>
        <v/>
      </c>
      <c r="I37" s="70" t="str">
        <f t="shared" si="2"/>
        <v/>
      </c>
      <c r="J37" s="71"/>
      <c r="K37" s="72"/>
      <c r="L37" s="71"/>
    </row>
    <row r="38" ht="24.0" customHeight="1">
      <c r="A38" s="66">
        <v>31.0</v>
      </c>
      <c r="B38" s="67"/>
      <c r="C38" s="68" t="str">
        <f t="shared" si="1"/>
        <v/>
      </c>
      <c r="D38" s="22"/>
      <c r="E38" s="22"/>
      <c r="F38" s="68" t="str">
        <f t="array" ref="F38">IF(E38="","",IFERROR(INDEX('Cài đặt'!$D$56:$D$65,MATCH(E38,'Cài đặt'!$B$56:$B$65,0)),""))</f>
        <v/>
      </c>
      <c r="G38" s="69"/>
      <c r="H38" s="56" t="str">
        <f t="array" ref="H38">IF(E38="","",IFERROR(INDEX('Cài đặt'!$E$56:$E$65,MATCH(E38,'Cài đặt'!$B$56:$B$65,0)),""))</f>
        <v/>
      </c>
      <c r="I38" s="70" t="str">
        <f t="shared" si="2"/>
        <v/>
      </c>
      <c r="J38" s="71"/>
      <c r="K38" s="72"/>
      <c r="L38" s="71"/>
    </row>
    <row r="39" ht="24.0" customHeight="1">
      <c r="A39" s="66">
        <v>32.0</v>
      </c>
      <c r="B39" s="67"/>
      <c r="C39" s="68" t="str">
        <f t="shared" si="1"/>
        <v/>
      </c>
      <c r="D39" s="22"/>
      <c r="E39" s="22"/>
      <c r="F39" s="68" t="str">
        <f t="array" ref="F39">IF(E39="","",IFERROR(INDEX('Cài đặt'!$D$56:$D$65,MATCH(E39,'Cài đặt'!$B$56:$B$65,0)),""))</f>
        <v/>
      </c>
      <c r="G39" s="69"/>
      <c r="H39" s="56" t="str">
        <f t="array" ref="H39">IF(E39="","",IFERROR(INDEX('Cài đặt'!$E$56:$E$65,MATCH(E39,'Cài đặt'!$B$56:$B$65,0)),""))</f>
        <v/>
      </c>
      <c r="I39" s="70" t="str">
        <f t="shared" si="2"/>
        <v/>
      </c>
      <c r="J39" s="71"/>
      <c r="K39" s="72"/>
      <c r="L39" s="71"/>
    </row>
    <row r="40" ht="24.0" customHeight="1">
      <c r="A40" s="66">
        <v>33.0</v>
      </c>
      <c r="B40" s="67"/>
      <c r="C40" s="68" t="str">
        <f t="shared" si="1"/>
        <v/>
      </c>
      <c r="D40" s="22"/>
      <c r="E40" s="22"/>
      <c r="F40" s="68" t="str">
        <f t="array" ref="F40">IF(E40="","",IFERROR(INDEX('Cài đặt'!$D$56:$D$65,MATCH(E40,'Cài đặt'!$B$56:$B$65,0)),""))</f>
        <v/>
      </c>
      <c r="G40" s="69"/>
      <c r="H40" s="56" t="str">
        <f t="array" ref="H40">IF(E40="","",IFERROR(INDEX('Cài đặt'!$E$56:$E$65,MATCH(E40,'Cài đặt'!$B$56:$B$65,0)),""))</f>
        <v/>
      </c>
      <c r="I40" s="70" t="str">
        <f t="shared" si="2"/>
        <v/>
      </c>
      <c r="J40" s="71"/>
      <c r="K40" s="72"/>
      <c r="L40" s="71"/>
    </row>
    <row r="41" ht="24.0" customHeight="1">
      <c r="A41" s="66">
        <v>34.0</v>
      </c>
      <c r="B41" s="67"/>
      <c r="C41" s="68" t="str">
        <f t="shared" si="1"/>
        <v/>
      </c>
      <c r="D41" s="22"/>
      <c r="E41" s="22"/>
      <c r="F41" s="68" t="str">
        <f t="array" ref="F41">IF(E41="","",IFERROR(INDEX('Cài đặt'!$D$56:$D$65,MATCH(E41,'Cài đặt'!$B$56:$B$65,0)),""))</f>
        <v/>
      </c>
      <c r="G41" s="69"/>
      <c r="H41" s="56" t="str">
        <f t="array" ref="H41">IF(E41="","",IFERROR(INDEX('Cài đặt'!$E$56:$E$65,MATCH(E41,'Cài đặt'!$B$56:$B$65,0)),""))</f>
        <v/>
      </c>
      <c r="I41" s="70" t="str">
        <f t="shared" si="2"/>
        <v/>
      </c>
      <c r="J41" s="71"/>
      <c r="K41" s="72"/>
      <c r="L41" s="71"/>
    </row>
    <row r="42" ht="24.0" customHeight="1">
      <c r="A42" s="66">
        <v>35.0</v>
      </c>
      <c r="B42" s="67"/>
      <c r="C42" s="68" t="str">
        <f t="shared" si="1"/>
        <v/>
      </c>
      <c r="D42" s="22"/>
      <c r="E42" s="22"/>
      <c r="F42" s="68" t="str">
        <f t="array" ref="F42">IF(E42="","",IFERROR(INDEX('Cài đặt'!$D$56:$D$65,MATCH(E42,'Cài đặt'!$B$56:$B$65,0)),""))</f>
        <v/>
      </c>
      <c r="G42" s="69"/>
      <c r="H42" s="56" t="str">
        <f t="array" ref="H42">IF(E42="","",IFERROR(INDEX('Cài đặt'!$E$56:$E$65,MATCH(E42,'Cài đặt'!$B$56:$B$65,0)),""))</f>
        <v/>
      </c>
      <c r="I42" s="70" t="str">
        <f t="shared" si="2"/>
        <v/>
      </c>
      <c r="J42" s="71"/>
      <c r="K42" s="72"/>
      <c r="L42" s="71"/>
    </row>
    <row r="43" ht="24.0" customHeight="1">
      <c r="A43" s="66">
        <v>36.0</v>
      </c>
      <c r="B43" s="67"/>
      <c r="C43" s="68" t="str">
        <f t="shared" si="1"/>
        <v/>
      </c>
      <c r="D43" s="22"/>
      <c r="E43" s="22"/>
      <c r="F43" s="68" t="str">
        <f t="array" ref="F43">IF(E43="","",IFERROR(INDEX('Cài đặt'!$D$56:$D$65,MATCH(E43,'Cài đặt'!$B$56:$B$65,0)),""))</f>
        <v/>
      </c>
      <c r="G43" s="69"/>
      <c r="H43" s="56" t="str">
        <f t="array" ref="H43">IF(E43="","",IFERROR(INDEX('Cài đặt'!$E$56:$E$65,MATCH(E43,'Cài đặt'!$B$56:$B$65,0)),""))</f>
        <v/>
      </c>
      <c r="I43" s="70" t="str">
        <f t="shared" si="2"/>
        <v/>
      </c>
      <c r="J43" s="71"/>
      <c r="K43" s="72"/>
      <c r="L43" s="71"/>
    </row>
    <row r="44" ht="24.0" customHeight="1">
      <c r="A44" s="66">
        <v>37.0</v>
      </c>
      <c r="B44" s="67"/>
      <c r="C44" s="68" t="str">
        <f t="shared" si="1"/>
        <v/>
      </c>
      <c r="D44" s="22"/>
      <c r="E44" s="22"/>
      <c r="F44" s="68" t="str">
        <f t="array" ref="F44">IF(E44="","",IFERROR(INDEX('Cài đặt'!$D$56:$D$65,MATCH(E44,'Cài đặt'!$B$56:$B$65,0)),""))</f>
        <v/>
      </c>
      <c r="G44" s="69"/>
      <c r="H44" s="56" t="str">
        <f t="array" ref="H44">IF(E44="","",IFERROR(INDEX('Cài đặt'!$E$56:$E$65,MATCH(E44,'Cài đặt'!$B$56:$B$65,0)),""))</f>
        <v/>
      </c>
      <c r="I44" s="70" t="str">
        <f t="shared" si="2"/>
        <v/>
      </c>
      <c r="J44" s="71"/>
      <c r="K44" s="72"/>
      <c r="L44" s="71"/>
    </row>
    <row r="45" ht="24.0" customHeight="1">
      <c r="A45" s="66">
        <v>38.0</v>
      </c>
      <c r="B45" s="67"/>
      <c r="C45" s="68" t="str">
        <f t="shared" si="1"/>
        <v/>
      </c>
      <c r="D45" s="22"/>
      <c r="E45" s="22"/>
      <c r="F45" s="68" t="str">
        <f t="array" ref="F45">IF(E45="","",IFERROR(INDEX('Cài đặt'!$D$56:$D$65,MATCH(E45,'Cài đặt'!$B$56:$B$65,0)),""))</f>
        <v/>
      </c>
      <c r="G45" s="69"/>
      <c r="H45" s="56" t="str">
        <f t="array" ref="H45">IF(E45="","",IFERROR(INDEX('Cài đặt'!$E$56:$E$65,MATCH(E45,'Cài đặt'!$B$56:$B$65,0)),""))</f>
        <v/>
      </c>
      <c r="I45" s="70" t="str">
        <f t="shared" si="2"/>
        <v/>
      </c>
      <c r="J45" s="71"/>
      <c r="K45" s="72"/>
      <c r="L45" s="71"/>
    </row>
    <row r="46" ht="24.0" customHeight="1">
      <c r="A46" s="66">
        <v>39.0</v>
      </c>
      <c r="B46" s="67"/>
      <c r="C46" s="68" t="str">
        <f t="shared" si="1"/>
        <v/>
      </c>
      <c r="D46" s="22"/>
      <c r="E46" s="22"/>
      <c r="F46" s="68" t="str">
        <f t="array" ref="F46">IF(E46="","",IFERROR(INDEX('Cài đặt'!$D$56:$D$65,MATCH(E46,'Cài đặt'!$B$56:$B$65,0)),""))</f>
        <v/>
      </c>
      <c r="G46" s="69"/>
      <c r="H46" s="56" t="str">
        <f t="array" ref="H46">IF(E46="","",IFERROR(INDEX('Cài đặt'!$E$56:$E$65,MATCH(E46,'Cài đặt'!$B$56:$B$65,0)),""))</f>
        <v/>
      </c>
      <c r="I46" s="70" t="str">
        <f t="shared" si="2"/>
        <v/>
      </c>
      <c r="J46" s="71"/>
      <c r="K46" s="72"/>
      <c r="L46" s="71"/>
    </row>
    <row r="47" ht="24.0" customHeight="1">
      <c r="A47" s="66">
        <v>40.0</v>
      </c>
      <c r="B47" s="67"/>
      <c r="C47" s="68" t="str">
        <f t="shared" si="1"/>
        <v/>
      </c>
      <c r="D47" s="22"/>
      <c r="E47" s="22"/>
      <c r="F47" s="68" t="str">
        <f t="array" ref="F47">IF(E47="","",IFERROR(INDEX('Cài đặt'!$D$56:$D$65,MATCH(E47,'Cài đặt'!$B$56:$B$65,0)),""))</f>
        <v/>
      </c>
      <c r="G47" s="69"/>
      <c r="H47" s="56" t="str">
        <f t="array" ref="H47">IF(E47="","",IFERROR(INDEX('Cài đặt'!$E$56:$E$65,MATCH(E47,'Cài đặt'!$B$56:$B$65,0)),""))</f>
        <v/>
      </c>
      <c r="I47" s="70" t="str">
        <f t="shared" si="2"/>
        <v/>
      </c>
      <c r="J47" s="71"/>
      <c r="K47" s="72"/>
      <c r="L47" s="71"/>
    </row>
    <row r="48" ht="24.0" customHeight="1">
      <c r="A48" s="66">
        <v>41.0</v>
      </c>
      <c r="B48" s="67"/>
      <c r="C48" s="68" t="str">
        <f t="shared" si="1"/>
        <v/>
      </c>
      <c r="D48" s="22"/>
      <c r="E48" s="22"/>
      <c r="F48" s="68" t="str">
        <f t="array" ref="F48">IF(E48="","",IFERROR(INDEX('Cài đặt'!$D$56:$D$65,MATCH(E48,'Cài đặt'!$B$56:$B$65,0)),""))</f>
        <v/>
      </c>
      <c r="G48" s="69"/>
      <c r="H48" s="56" t="str">
        <f t="array" ref="H48">IF(E48="","",IFERROR(INDEX('Cài đặt'!$E$56:$E$65,MATCH(E48,'Cài đặt'!$B$56:$B$65,0)),""))</f>
        <v/>
      </c>
      <c r="I48" s="70" t="str">
        <f t="shared" si="2"/>
        <v/>
      </c>
      <c r="J48" s="71"/>
      <c r="K48" s="72"/>
      <c r="L48" s="71"/>
    </row>
    <row r="49" ht="24.0" customHeight="1">
      <c r="A49" s="66">
        <v>42.0</v>
      </c>
      <c r="B49" s="67"/>
      <c r="C49" s="68" t="str">
        <f t="shared" si="1"/>
        <v/>
      </c>
      <c r="D49" s="22"/>
      <c r="E49" s="22"/>
      <c r="F49" s="68" t="str">
        <f t="array" ref="F49">IF(E49="","",IFERROR(INDEX('Cài đặt'!$D$56:$D$65,MATCH(E49,'Cài đặt'!$B$56:$B$65,0)),""))</f>
        <v/>
      </c>
      <c r="G49" s="69"/>
      <c r="H49" s="56" t="str">
        <f t="array" ref="H49">IF(E49="","",IFERROR(INDEX('Cài đặt'!$E$56:$E$65,MATCH(E49,'Cài đặt'!$B$56:$B$65,0)),""))</f>
        <v/>
      </c>
      <c r="I49" s="70" t="str">
        <f t="shared" si="2"/>
        <v/>
      </c>
      <c r="J49" s="71"/>
      <c r="K49" s="72"/>
      <c r="L49" s="71"/>
    </row>
    <row r="50" ht="24.0" customHeight="1">
      <c r="A50" s="66">
        <v>43.0</v>
      </c>
      <c r="B50" s="67"/>
      <c r="C50" s="68" t="str">
        <f t="shared" si="1"/>
        <v/>
      </c>
      <c r="D50" s="22"/>
      <c r="E50" s="22"/>
      <c r="F50" s="68" t="str">
        <f t="array" ref="F50">IF(E50="","",IFERROR(INDEX('Cài đặt'!$D$56:$D$65,MATCH(E50,'Cài đặt'!$B$56:$B$65,0)),""))</f>
        <v/>
      </c>
      <c r="G50" s="69"/>
      <c r="H50" s="56" t="str">
        <f t="array" ref="H50">IF(E50="","",IFERROR(INDEX('Cài đặt'!$E$56:$E$65,MATCH(E50,'Cài đặt'!$B$56:$B$65,0)),""))</f>
        <v/>
      </c>
      <c r="I50" s="70" t="str">
        <f t="shared" si="2"/>
        <v/>
      </c>
      <c r="J50" s="71"/>
      <c r="K50" s="72"/>
      <c r="L50" s="71"/>
    </row>
    <row r="51" ht="24.0" customHeight="1">
      <c r="A51" s="66">
        <v>44.0</v>
      </c>
      <c r="B51" s="67"/>
      <c r="C51" s="68" t="str">
        <f t="shared" si="1"/>
        <v/>
      </c>
      <c r="D51" s="22"/>
      <c r="E51" s="22"/>
      <c r="F51" s="68" t="str">
        <f t="array" ref="F51">IF(E51="","",IFERROR(INDEX('Cài đặt'!$D$56:$D$65,MATCH(E51,'Cài đặt'!$B$56:$B$65,0)),""))</f>
        <v/>
      </c>
      <c r="G51" s="69"/>
      <c r="H51" s="56" t="str">
        <f t="array" ref="H51">IF(E51="","",IFERROR(INDEX('Cài đặt'!$E$56:$E$65,MATCH(E51,'Cài đặt'!$B$56:$B$65,0)),""))</f>
        <v/>
      </c>
      <c r="I51" s="70" t="str">
        <f t="shared" si="2"/>
        <v/>
      </c>
      <c r="J51" s="71"/>
      <c r="K51" s="72"/>
      <c r="L51" s="71"/>
    </row>
    <row r="52" ht="24.0" customHeight="1">
      <c r="A52" s="66">
        <v>45.0</v>
      </c>
      <c r="B52" s="67"/>
      <c r="C52" s="68" t="str">
        <f t="shared" si="1"/>
        <v/>
      </c>
      <c r="D52" s="22"/>
      <c r="E52" s="22"/>
      <c r="F52" s="68" t="str">
        <f t="array" ref="F52">IF(E52="","",IFERROR(INDEX('Cài đặt'!$D$56:$D$65,MATCH(E52,'Cài đặt'!$B$56:$B$65,0)),""))</f>
        <v/>
      </c>
      <c r="G52" s="69"/>
      <c r="H52" s="56" t="str">
        <f t="array" ref="H52">IF(E52="","",IFERROR(INDEX('Cài đặt'!$E$56:$E$65,MATCH(E52,'Cài đặt'!$B$56:$B$65,0)),""))</f>
        <v/>
      </c>
      <c r="I52" s="70" t="str">
        <f t="shared" si="2"/>
        <v/>
      </c>
      <c r="J52" s="71"/>
      <c r="K52" s="72"/>
      <c r="L52" s="71"/>
    </row>
    <row r="53" ht="24.0" customHeight="1">
      <c r="A53" s="66">
        <v>46.0</v>
      </c>
      <c r="B53" s="67"/>
      <c r="C53" s="68" t="str">
        <f t="shared" si="1"/>
        <v/>
      </c>
      <c r="D53" s="22"/>
      <c r="E53" s="22"/>
      <c r="F53" s="68" t="str">
        <f t="array" ref="F53">IF(E53="","",IFERROR(INDEX('Cài đặt'!$D$56:$D$65,MATCH(E53,'Cài đặt'!$B$56:$B$65,0)),""))</f>
        <v/>
      </c>
      <c r="G53" s="69"/>
      <c r="H53" s="56" t="str">
        <f t="array" ref="H53">IF(E53="","",IFERROR(INDEX('Cài đặt'!$E$56:$E$65,MATCH(E53,'Cài đặt'!$B$56:$B$65,0)),""))</f>
        <v/>
      </c>
      <c r="I53" s="70" t="str">
        <f t="shared" si="2"/>
        <v/>
      </c>
      <c r="J53" s="71"/>
      <c r="K53" s="72"/>
      <c r="L53" s="71"/>
    </row>
    <row r="54" ht="24.0" customHeight="1">
      <c r="A54" s="66">
        <v>47.0</v>
      </c>
      <c r="B54" s="67"/>
      <c r="C54" s="68" t="str">
        <f t="shared" si="1"/>
        <v/>
      </c>
      <c r="D54" s="22"/>
      <c r="E54" s="22"/>
      <c r="F54" s="68" t="str">
        <f t="array" ref="F54">IF(E54="","",IFERROR(INDEX('Cài đặt'!$D$56:$D$65,MATCH(E54,'Cài đặt'!$B$56:$B$65,0)),""))</f>
        <v/>
      </c>
      <c r="G54" s="69"/>
      <c r="H54" s="56" t="str">
        <f t="array" ref="H54">IF(E54="","",IFERROR(INDEX('Cài đặt'!$E$56:$E$65,MATCH(E54,'Cài đặt'!$B$56:$B$65,0)),""))</f>
        <v/>
      </c>
      <c r="I54" s="70" t="str">
        <f t="shared" si="2"/>
        <v/>
      </c>
      <c r="J54" s="71"/>
      <c r="K54" s="72"/>
      <c r="L54" s="71"/>
    </row>
    <row r="55" ht="24.0" customHeight="1">
      <c r="A55" s="66">
        <v>48.0</v>
      </c>
      <c r="B55" s="67"/>
      <c r="C55" s="68" t="str">
        <f t="shared" si="1"/>
        <v/>
      </c>
      <c r="D55" s="22"/>
      <c r="E55" s="22"/>
      <c r="F55" s="68" t="str">
        <f t="array" ref="F55">IF(E55="","",IFERROR(INDEX('Cài đặt'!$D$56:$D$65,MATCH(E55,'Cài đặt'!$B$56:$B$65,0)),""))</f>
        <v/>
      </c>
      <c r="G55" s="69"/>
      <c r="H55" s="56" t="str">
        <f t="array" ref="H55">IF(E55="","",IFERROR(INDEX('Cài đặt'!$E$56:$E$65,MATCH(E55,'Cài đặt'!$B$56:$B$65,0)),""))</f>
        <v/>
      </c>
      <c r="I55" s="70" t="str">
        <f t="shared" si="2"/>
        <v/>
      </c>
      <c r="J55" s="71"/>
      <c r="K55" s="72"/>
      <c r="L55" s="71"/>
    </row>
    <row r="56" ht="24.0" customHeight="1">
      <c r="A56" s="66">
        <v>49.0</v>
      </c>
      <c r="B56" s="67"/>
      <c r="C56" s="68" t="str">
        <f t="shared" si="1"/>
        <v/>
      </c>
      <c r="D56" s="22"/>
      <c r="E56" s="22"/>
      <c r="F56" s="68" t="str">
        <f t="array" ref="F56">IF(E56="","",IFERROR(INDEX('Cài đặt'!$D$56:$D$65,MATCH(E56,'Cài đặt'!$B$56:$B$65,0)),""))</f>
        <v/>
      </c>
      <c r="G56" s="69"/>
      <c r="H56" s="56" t="str">
        <f t="array" ref="H56">IF(E56="","",IFERROR(INDEX('Cài đặt'!$E$56:$E$65,MATCH(E56,'Cài đặt'!$B$56:$B$65,0)),""))</f>
        <v/>
      </c>
      <c r="I56" s="70" t="str">
        <f t="shared" si="2"/>
        <v/>
      </c>
      <c r="J56" s="71"/>
      <c r="K56" s="72"/>
      <c r="L56" s="71"/>
    </row>
    <row r="57" ht="24.0" customHeight="1">
      <c r="A57" s="66">
        <v>50.0</v>
      </c>
      <c r="B57" s="67"/>
      <c r="C57" s="68" t="str">
        <f t="shared" si="1"/>
        <v/>
      </c>
      <c r="D57" s="22"/>
      <c r="E57" s="22"/>
      <c r="F57" s="68" t="str">
        <f t="array" ref="F57">IF(E57="","",IFERROR(INDEX('Cài đặt'!$D$56:$D$65,MATCH(E57,'Cài đặt'!$B$56:$B$65,0)),""))</f>
        <v/>
      </c>
      <c r="G57" s="69"/>
      <c r="H57" s="56" t="str">
        <f t="array" ref="H57">IF(E57="","",IFERROR(INDEX('Cài đặt'!$E$56:$E$65,MATCH(E57,'Cài đặt'!$B$56:$B$65,0)),""))</f>
        <v/>
      </c>
      <c r="I57" s="70" t="str">
        <f t="shared" si="2"/>
        <v/>
      </c>
      <c r="J57" s="71"/>
      <c r="K57" s="72"/>
      <c r="L57" s="71"/>
    </row>
    <row r="58" ht="24.0" customHeight="1">
      <c r="A58" s="66">
        <v>51.0</v>
      </c>
      <c r="B58" s="67"/>
      <c r="C58" s="68" t="str">
        <f t="shared" si="1"/>
        <v/>
      </c>
      <c r="D58" s="22"/>
      <c r="E58" s="22"/>
      <c r="F58" s="68" t="str">
        <f t="array" ref="F58">IF(E58="","",IFERROR(INDEX('Cài đặt'!$D$56:$D$65,MATCH(E58,'Cài đặt'!$B$56:$B$65,0)),""))</f>
        <v/>
      </c>
      <c r="G58" s="69"/>
      <c r="H58" s="56" t="str">
        <f t="array" ref="H58">IF(E58="","",IFERROR(INDEX('Cài đặt'!$E$56:$E$65,MATCH(E58,'Cài đặt'!$B$56:$B$65,0)),""))</f>
        <v/>
      </c>
      <c r="I58" s="70" t="str">
        <f t="shared" si="2"/>
        <v/>
      </c>
      <c r="J58" s="71"/>
      <c r="K58" s="72"/>
      <c r="L58" s="71"/>
    </row>
    <row r="59" ht="24.0" customHeight="1">
      <c r="A59" s="66">
        <v>52.0</v>
      </c>
      <c r="B59" s="67"/>
      <c r="C59" s="68" t="str">
        <f t="shared" si="1"/>
        <v/>
      </c>
      <c r="D59" s="22"/>
      <c r="E59" s="22"/>
      <c r="F59" s="68" t="str">
        <f t="array" ref="F59">IF(E59="","",IFERROR(INDEX('Cài đặt'!$D$56:$D$65,MATCH(E59,'Cài đặt'!$B$56:$B$65,0)),""))</f>
        <v/>
      </c>
      <c r="G59" s="69"/>
      <c r="H59" s="56" t="str">
        <f t="array" ref="H59">IF(E59="","",IFERROR(INDEX('Cài đặt'!$E$56:$E$65,MATCH(E59,'Cài đặt'!$B$56:$B$65,0)),""))</f>
        <v/>
      </c>
      <c r="I59" s="70" t="str">
        <f t="shared" si="2"/>
        <v/>
      </c>
      <c r="J59" s="71"/>
      <c r="K59" s="72"/>
      <c r="L59" s="71"/>
    </row>
    <row r="60" ht="24.0" customHeight="1">
      <c r="A60" s="66">
        <v>53.0</v>
      </c>
      <c r="B60" s="67"/>
      <c r="C60" s="68" t="str">
        <f t="shared" si="1"/>
        <v/>
      </c>
      <c r="D60" s="22"/>
      <c r="E60" s="22"/>
      <c r="F60" s="68" t="str">
        <f t="array" ref="F60">IF(E60="","",IFERROR(INDEX('Cài đặt'!$D$56:$D$65,MATCH(E60,'Cài đặt'!$B$56:$B$65,0)),""))</f>
        <v/>
      </c>
      <c r="G60" s="69"/>
      <c r="H60" s="56" t="str">
        <f t="array" ref="H60">IF(E60="","",IFERROR(INDEX('Cài đặt'!$E$56:$E$65,MATCH(E60,'Cài đặt'!$B$56:$B$65,0)),""))</f>
        <v/>
      </c>
      <c r="I60" s="70" t="str">
        <f t="shared" si="2"/>
        <v/>
      </c>
      <c r="J60" s="71"/>
      <c r="K60" s="72"/>
      <c r="L60" s="71"/>
    </row>
    <row r="61" ht="24.0" customHeight="1">
      <c r="A61" s="66">
        <v>54.0</v>
      </c>
      <c r="B61" s="67"/>
      <c r="C61" s="68" t="str">
        <f t="shared" si="1"/>
        <v/>
      </c>
      <c r="D61" s="22"/>
      <c r="E61" s="22"/>
      <c r="F61" s="68" t="str">
        <f t="array" ref="F61">IF(E61="","",IFERROR(INDEX('Cài đặt'!$D$56:$D$65,MATCH(E61,'Cài đặt'!$B$56:$B$65,0)),""))</f>
        <v/>
      </c>
      <c r="G61" s="69"/>
      <c r="H61" s="56" t="str">
        <f t="array" ref="H61">IF(E61="","",IFERROR(INDEX('Cài đặt'!$E$56:$E$65,MATCH(E61,'Cài đặt'!$B$56:$B$65,0)),""))</f>
        <v/>
      </c>
      <c r="I61" s="70" t="str">
        <f t="shared" si="2"/>
        <v/>
      </c>
      <c r="J61" s="71"/>
      <c r="K61" s="72"/>
      <c r="L61" s="71"/>
    </row>
    <row r="62" ht="24.0" customHeight="1">
      <c r="A62" s="66">
        <v>55.0</v>
      </c>
      <c r="B62" s="67"/>
      <c r="C62" s="68" t="str">
        <f t="shared" si="1"/>
        <v/>
      </c>
      <c r="D62" s="22"/>
      <c r="E62" s="22"/>
      <c r="F62" s="68" t="str">
        <f t="array" ref="F62">IF(E62="","",IFERROR(INDEX('Cài đặt'!$D$56:$D$65,MATCH(E62,'Cài đặt'!$B$56:$B$65,0)),""))</f>
        <v/>
      </c>
      <c r="G62" s="69"/>
      <c r="H62" s="56" t="str">
        <f t="array" ref="H62">IF(E62="","",IFERROR(INDEX('Cài đặt'!$E$56:$E$65,MATCH(E62,'Cài đặt'!$B$56:$B$65,0)),""))</f>
        <v/>
      </c>
      <c r="I62" s="70" t="str">
        <f t="shared" si="2"/>
        <v/>
      </c>
      <c r="J62" s="71"/>
      <c r="K62" s="72"/>
      <c r="L62" s="71"/>
    </row>
    <row r="63" ht="24.0" customHeight="1">
      <c r="A63" s="66">
        <v>56.0</v>
      </c>
      <c r="B63" s="67"/>
      <c r="C63" s="68" t="str">
        <f t="shared" si="1"/>
        <v/>
      </c>
      <c r="D63" s="22"/>
      <c r="E63" s="22"/>
      <c r="F63" s="68" t="str">
        <f t="array" ref="F63">IF(E63="","",IFERROR(INDEX('Cài đặt'!$D$56:$D$65,MATCH(E63,'Cài đặt'!$B$56:$B$65,0)),""))</f>
        <v/>
      </c>
      <c r="G63" s="69"/>
      <c r="H63" s="56" t="str">
        <f t="array" ref="H63">IF(E63="","",IFERROR(INDEX('Cài đặt'!$E$56:$E$65,MATCH(E63,'Cài đặt'!$B$56:$B$65,0)),""))</f>
        <v/>
      </c>
      <c r="I63" s="70" t="str">
        <f t="shared" si="2"/>
        <v/>
      </c>
      <c r="J63" s="71"/>
      <c r="K63" s="72"/>
      <c r="L63" s="71"/>
    </row>
    <row r="64" ht="24.0" customHeight="1">
      <c r="A64" s="66">
        <v>57.0</v>
      </c>
      <c r="B64" s="67"/>
      <c r="C64" s="68" t="str">
        <f t="shared" si="1"/>
        <v/>
      </c>
      <c r="D64" s="22"/>
      <c r="E64" s="22"/>
      <c r="F64" s="68" t="str">
        <f t="array" ref="F64">IF(E64="","",IFERROR(INDEX('Cài đặt'!$D$56:$D$65,MATCH(E64,'Cài đặt'!$B$56:$B$65,0)),""))</f>
        <v/>
      </c>
      <c r="G64" s="69"/>
      <c r="H64" s="56" t="str">
        <f t="array" ref="H64">IF(E64="","",IFERROR(INDEX('Cài đặt'!$E$56:$E$65,MATCH(E64,'Cài đặt'!$B$56:$B$65,0)),""))</f>
        <v/>
      </c>
      <c r="I64" s="70" t="str">
        <f t="shared" si="2"/>
        <v/>
      </c>
      <c r="J64" s="71"/>
      <c r="K64" s="72"/>
      <c r="L64" s="71"/>
    </row>
    <row r="65" ht="24.0" customHeight="1">
      <c r="A65" s="66">
        <v>58.0</v>
      </c>
      <c r="B65" s="67"/>
      <c r="C65" s="68" t="str">
        <f t="shared" si="1"/>
        <v/>
      </c>
      <c r="D65" s="22"/>
      <c r="E65" s="22"/>
      <c r="F65" s="68" t="str">
        <f t="array" ref="F65">IF(E65="","",IFERROR(INDEX('Cài đặt'!$D$56:$D$65,MATCH(E65,'Cài đặt'!$B$56:$B$65,0)),""))</f>
        <v/>
      </c>
      <c r="G65" s="69"/>
      <c r="H65" s="56" t="str">
        <f t="array" ref="H65">IF(E65="","",IFERROR(INDEX('Cài đặt'!$E$56:$E$65,MATCH(E65,'Cài đặt'!$B$56:$B$65,0)),""))</f>
        <v/>
      </c>
      <c r="I65" s="70" t="str">
        <f t="shared" si="2"/>
        <v/>
      </c>
      <c r="J65" s="71"/>
      <c r="K65" s="72"/>
      <c r="L65" s="71"/>
    </row>
    <row r="66" ht="24.0" customHeight="1">
      <c r="A66" s="66">
        <v>59.0</v>
      </c>
      <c r="B66" s="67"/>
      <c r="C66" s="68" t="str">
        <f t="shared" si="1"/>
        <v/>
      </c>
      <c r="D66" s="22"/>
      <c r="E66" s="22"/>
      <c r="F66" s="68" t="str">
        <f t="array" ref="F66">IF(E66="","",IFERROR(INDEX('Cài đặt'!$D$56:$D$65,MATCH(E66,'Cài đặt'!$B$56:$B$65,0)),""))</f>
        <v/>
      </c>
      <c r="G66" s="69"/>
      <c r="H66" s="56" t="str">
        <f t="array" ref="H66">IF(E66="","",IFERROR(INDEX('Cài đặt'!$E$56:$E$65,MATCH(E66,'Cài đặt'!$B$56:$B$65,0)),""))</f>
        <v/>
      </c>
      <c r="I66" s="70" t="str">
        <f t="shared" si="2"/>
        <v/>
      </c>
      <c r="J66" s="71"/>
      <c r="K66" s="72"/>
      <c r="L66" s="71"/>
    </row>
    <row r="67" ht="24.0" customHeight="1">
      <c r="A67" s="66">
        <v>60.0</v>
      </c>
      <c r="B67" s="67"/>
      <c r="C67" s="68" t="str">
        <f t="shared" si="1"/>
        <v/>
      </c>
      <c r="D67" s="22"/>
      <c r="E67" s="22"/>
      <c r="F67" s="68" t="str">
        <f t="array" ref="F67">IF(E67="","",IFERROR(INDEX('Cài đặt'!$D$56:$D$65,MATCH(E67,'Cài đặt'!$B$56:$B$65,0)),""))</f>
        <v/>
      </c>
      <c r="G67" s="69"/>
      <c r="H67" s="56" t="str">
        <f t="array" ref="H67">IF(E67="","",IFERROR(INDEX('Cài đặt'!$E$56:$E$65,MATCH(E67,'Cài đặt'!$B$56:$B$65,0)),""))</f>
        <v/>
      </c>
      <c r="I67" s="70" t="str">
        <f t="shared" si="2"/>
        <v/>
      </c>
      <c r="J67" s="71"/>
      <c r="K67" s="72"/>
      <c r="L67" s="71"/>
    </row>
    <row r="68" ht="24.0" customHeight="1">
      <c r="A68" s="66">
        <v>61.0</v>
      </c>
      <c r="B68" s="67"/>
      <c r="C68" s="68" t="str">
        <f t="shared" si="1"/>
        <v/>
      </c>
      <c r="D68" s="22"/>
      <c r="E68" s="22"/>
      <c r="F68" s="68" t="str">
        <f t="array" ref="F68">IF(E68="","",IFERROR(INDEX('Cài đặt'!$D$56:$D$65,MATCH(E68,'Cài đặt'!$B$56:$B$65,0)),""))</f>
        <v/>
      </c>
      <c r="G68" s="69"/>
      <c r="H68" s="56" t="str">
        <f t="array" ref="H68">IF(E68="","",IFERROR(INDEX('Cài đặt'!$E$56:$E$65,MATCH(E68,'Cài đặt'!$B$56:$B$65,0)),""))</f>
        <v/>
      </c>
      <c r="I68" s="70" t="str">
        <f t="shared" si="2"/>
        <v/>
      </c>
      <c r="J68" s="71"/>
      <c r="K68" s="72"/>
      <c r="L68" s="71"/>
    </row>
    <row r="69" ht="24.0" customHeight="1">
      <c r="A69" s="66">
        <v>62.0</v>
      </c>
      <c r="B69" s="67"/>
      <c r="C69" s="68" t="str">
        <f t="shared" si="1"/>
        <v/>
      </c>
      <c r="D69" s="22"/>
      <c r="E69" s="22"/>
      <c r="F69" s="68" t="str">
        <f t="array" ref="F69">IF(E69="","",IFERROR(INDEX('Cài đặt'!$D$56:$D$65,MATCH(E69,'Cài đặt'!$B$56:$B$65,0)),""))</f>
        <v/>
      </c>
      <c r="G69" s="69"/>
      <c r="H69" s="56" t="str">
        <f t="array" ref="H69">IF(E69="","",IFERROR(INDEX('Cài đặt'!$E$56:$E$65,MATCH(E69,'Cài đặt'!$B$56:$B$65,0)),""))</f>
        <v/>
      </c>
      <c r="I69" s="70" t="str">
        <f t="shared" si="2"/>
        <v/>
      </c>
      <c r="J69" s="71"/>
      <c r="K69" s="72"/>
      <c r="L69" s="71"/>
    </row>
    <row r="70" ht="24.0" customHeight="1">
      <c r="A70" s="66">
        <v>63.0</v>
      </c>
      <c r="B70" s="67"/>
      <c r="C70" s="68" t="str">
        <f t="shared" si="1"/>
        <v/>
      </c>
      <c r="D70" s="22"/>
      <c r="E70" s="22"/>
      <c r="F70" s="68" t="str">
        <f t="array" ref="F70">IF(E70="","",IFERROR(INDEX('Cài đặt'!$D$56:$D$65,MATCH(E70,'Cài đặt'!$B$56:$B$65,0)),""))</f>
        <v/>
      </c>
      <c r="G70" s="69"/>
      <c r="H70" s="56" t="str">
        <f t="array" ref="H70">IF(E70="","",IFERROR(INDEX('Cài đặt'!$E$56:$E$65,MATCH(E70,'Cài đặt'!$B$56:$B$65,0)),""))</f>
        <v/>
      </c>
      <c r="I70" s="70" t="str">
        <f t="shared" si="2"/>
        <v/>
      </c>
      <c r="J70" s="71"/>
      <c r="K70" s="72"/>
      <c r="L70" s="71"/>
    </row>
    <row r="71" ht="24.0" customHeight="1">
      <c r="A71" s="66">
        <v>64.0</v>
      </c>
      <c r="B71" s="67"/>
      <c r="C71" s="68" t="str">
        <f t="shared" si="1"/>
        <v/>
      </c>
      <c r="D71" s="22"/>
      <c r="E71" s="22"/>
      <c r="F71" s="68" t="str">
        <f t="array" ref="F71">IF(E71="","",IFERROR(INDEX('Cài đặt'!$D$56:$D$65,MATCH(E71,'Cài đặt'!$B$56:$B$65,0)),""))</f>
        <v/>
      </c>
      <c r="G71" s="69"/>
      <c r="H71" s="56" t="str">
        <f t="array" ref="H71">IF(E71="","",IFERROR(INDEX('Cài đặt'!$E$56:$E$65,MATCH(E71,'Cài đặt'!$B$56:$B$65,0)),""))</f>
        <v/>
      </c>
      <c r="I71" s="70" t="str">
        <f t="shared" si="2"/>
        <v/>
      </c>
      <c r="J71" s="71"/>
      <c r="K71" s="72"/>
      <c r="L71" s="71"/>
    </row>
    <row r="72" ht="24.0" customHeight="1">
      <c r="A72" s="66">
        <v>65.0</v>
      </c>
      <c r="B72" s="67"/>
      <c r="C72" s="68" t="str">
        <f t="shared" si="1"/>
        <v/>
      </c>
      <c r="D72" s="22"/>
      <c r="E72" s="22"/>
      <c r="F72" s="68" t="str">
        <f t="array" ref="F72">IF(E72="","",IFERROR(INDEX('Cài đặt'!$D$56:$D$65,MATCH(E72,'Cài đặt'!$B$56:$B$65,0)),""))</f>
        <v/>
      </c>
      <c r="G72" s="69"/>
      <c r="H72" s="56" t="str">
        <f t="array" ref="H72">IF(E72="","",IFERROR(INDEX('Cài đặt'!$E$56:$E$65,MATCH(E72,'Cài đặt'!$B$56:$B$65,0)),""))</f>
        <v/>
      </c>
      <c r="I72" s="70" t="str">
        <f t="shared" si="2"/>
        <v/>
      </c>
      <c r="J72" s="71"/>
      <c r="K72" s="72"/>
      <c r="L72" s="71"/>
    </row>
    <row r="73" ht="24.0" customHeight="1">
      <c r="A73" s="66">
        <v>66.0</v>
      </c>
      <c r="B73" s="67"/>
      <c r="C73" s="68" t="str">
        <f t="shared" si="1"/>
        <v/>
      </c>
      <c r="D73" s="22"/>
      <c r="E73" s="22"/>
      <c r="F73" s="68" t="str">
        <f t="array" ref="F73">IF(E73="","",IFERROR(INDEX('Cài đặt'!$D$56:$D$65,MATCH(E73,'Cài đặt'!$B$56:$B$65,0)),""))</f>
        <v/>
      </c>
      <c r="G73" s="69"/>
      <c r="H73" s="56" t="str">
        <f t="array" ref="H73">IF(E73="","",IFERROR(INDEX('Cài đặt'!$E$56:$E$65,MATCH(E73,'Cài đặt'!$B$56:$B$65,0)),""))</f>
        <v/>
      </c>
      <c r="I73" s="70" t="str">
        <f t="shared" si="2"/>
        <v/>
      </c>
      <c r="J73" s="71"/>
      <c r="K73" s="72"/>
      <c r="L73" s="71"/>
    </row>
    <row r="74" ht="24.0" customHeight="1">
      <c r="A74" s="66">
        <v>67.0</v>
      </c>
      <c r="B74" s="67"/>
      <c r="C74" s="68" t="str">
        <f t="shared" si="1"/>
        <v/>
      </c>
      <c r="D74" s="22"/>
      <c r="E74" s="22"/>
      <c r="F74" s="68" t="str">
        <f t="array" ref="F74">IF(E74="","",IFERROR(INDEX('Cài đặt'!$D$56:$D$65,MATCH(E74,'Cài đặt'!$B$56:$B$65,0)),""))</f>
        <v/>
      </c>
      <c r="G74" s="69"/>
      <c r="H74" s="56" t="str">
        <f t="array" ref="H74">IF(E74="","",IFERROR(INDEX('Cài đặt'!$E$56:$E$65,MATCH(E74,'Cài đặt'!$B$56:$B$65,0)),""))</f>
        <v/>
      </c>
      <c r="I74" s="70" t="str">
        <f t="shared" si="2"/>
        <v/>
      </c>
      <c r="J74" s="71"/>
      <c r="K74" s="72"/>
      <c r="L74" s="71"/>
    </row>
    <row r="75" ht="24.0" customHeight="1">
      <c r="A75" s="66">
        <v>68.0</v>
      </c>
      <c r="B75" s="67"/>
      <c r="C75" s="68" t="str">
        <f t="shared" si="1"/>
        <v/>
      </c>
      <c r="D75" s="22"/>
      <c r="E75" s="22"/>
      <c r="F75" s="68" t="str">
        <f t="array" ref="F75">IF(E75="","",IFERROR(INDEX('Cài đặt'!$D$56:$D$65,MATCH(E75,'Cài đặt'!$B$56:$B$65,0)),""))</f>
        <v/>
      </c>
      <c r="G75" s="69"/>
      <c r="H75" s="56" t="str">
        <f t="array" ref="H75">IF(E75="","",IFERROR(INDEX('Cài đặt'!$E$56:$E$65,MATCH(E75,'Cài đặt'!$B$56:$B$65,0)),""))</f>
        <v/>
      </c>
      <c r="I75" s="70" t="str">
        <f t="shared" si="2"/>
        <v/>
      </c>
      <c r="J75" s="71"/>
      <c r="K75" s="72"/>
      <c r="L75" s="71"/>
    </row>
    <row r="76" ht="24.0" customHeight="1">
      <c r="A76" s="66">
        <v>69.0</v>
      </c>
      <c r="B76" s="67"/>
      <c r="C76" s="68" t="str">
        <f t="shared" si="1"/>
        <v/>
      </c>
      <c r="D76" s="22"/>
      <c r="E76" s="22"/>
      <c r="F76" s="68" t="str">
        <f t="array" ref="F76">IF(E76="","",IFERROR(INDEX('Cài đặt'!$D$56:$D$65,MATCH(E76,'Cài đặt'!$B$56:$B$65,0)),""))</f>
        <v/>
      </c>
      <c r="G76" s="69"/>
      <c r="H76" s="56" t="str">
        <f t="array" ref="H76">IF(E76="","",IFERROR(INDEX('Cài đặt'!$E$56:$E$65,MATCH(E76,'Cài đặt'!$B$56:$B$65,0)),""))</f>
        <v/>
      </c>
      <c r="I76" s="70" t="str">
        <f t="shared" si="2"/>
        <v/>
      </c>
      <c r="J76" s="71"/>
      <c r="K76" s="72"/>
      <c r="L76" s="71"/>
    </row>
    <row r="77" ht="24.0" customHeight="1">
      <c r="A77" s="66">
        <v>70.0</v>
      </c>
      <c r="B77" s="67"/>
      <c r="C77" s="68" t="str">
        <f t="shared" si="1"/>
        <v/>
      </c>
      <c r="D77" s="22"/>
      <c r="E77" s="22"/>
      <c r="F77" s="68" t="str">
        <f t="array" ref="F77">IF(E77="","",IFERROR(INDEX('Cài đặt'!$D$56:$D$65,MATCH(E77,'Cài đặt'!$B$56:$B$65,0)),""))</f>
        <v/>
      </c>
      <c r="G77" s="69"/>
      <c r="H77" s="56" t="str">
        <f t="array" ref="H77">IF(E77="","",IFERROR(INDEX('Cài đặt'!$E$56:$E$65,MATCH(E77,'Cài đặt'!$B$56:$B$65,0)),""))</f>
        <v/>
      </c>
      <c r="I77" s="70" t="str">
        <f t="shared" si="2"/>
        <v/>
      </c>
      <c r="J77" s="71"/>
      <c r="K77" s="72"/>
      <c r="L77" s="71"/>
    </row>
    <row r="78" ht="24.0" customHeight="1">
      <c r="A78" s="66">
        <v>71.0</v>
      </c>
      <c r="B78" s="67"/>
      <c r="C78" s="68" t="str">
        <f t="shared" si="1"/>
        <v/>
      </c>
      <c r="D78" s="22"/>
      <c r="E78" s="22"/>
      <c r="F78" s="68" t="str">
        <f t="array" ref="F78">IF(E78="","",IFERROR(INDEX('Cài đặt'!$D$56:$D$65,MATCH(E78,'Cài đặt'!$B$56:$B$65,0)),""))</f>
        <v/>
      </c>
      <c r="G78" s="69"/>
      <c r="H78" s="56" t="str">
        <f t="array" ref="H78">IF(E78="","",IFERROR(INDEX('Cài đặt'!$E$56:$E$65,MATCH(E78,'Cài đặt'!$B$56:$B$65,0)),""))</f>
        <v/>
      </c>
      <c r="I78" s="70" t="str">
        <f t="shared" si="2"/>
        <v/>
      </c>
      <c r="J78" s="71"/>
      <c r="K78" s="72"/>
      <c r="L78" s="71"/>
    </row>
    <row r="79" ht="24.0" customHeight="1">
      <c r="A79" s="66">
        <v>72.0</v>
      </c>
      <c r="B79" s="67"/>
      <c r="C79" s="68" t="str">
        <f t="shared" si="1"/>
        <v/>
      </c>
      <c r="D79" s="22"/>
      <c r="E79" s="22"/>
      <c r="F79" s="68" t="str">
        <f t="array" ref="F79">IF(E79="","",IFERROR(INDEX('Cài đặt'!$D$56:$D$65,MATCH(E79,'Cài đặt'!$B$56:$B$65,0)),""))</f>
        <v/>
      </c>
      <c r="G79" s="69"/>
      <c r="H79" s="56" t="str">
        <f t="array" ref="H79">IF(E79="","",IFERROR(INDEX('Cài đặt'!$E$56:$E$65,MATCH(E79,'Cài đặt'!$B$56:$B$65,0)),""))</f>
        <v/>
      </c>
      <c r="I79" s="70" t="str">
        <f t="shared" si="2"/>
        <v/>
      </c>
      <c r="J79" s="71"/>
      <c r="K79" s="72"/>
      <c r="L79" s="71"/>
    </row>
    <row r="80" ht="24.0" customHeight="1">
      <c r="A80" s="66">
        <v>73.0</v>
      </c>
      <c r="B80" s="67"/>
      <c r="C80" s="68" t="str">
        <f t="shared" si="1"/>
        <v/>
      </c>
      <c r="D80" s="22"/>
      <c r="E80" s="22"/>
      <c r="F80" s="68" t="str">
        <f t="array" ref="F80">IF(E80="","",IFERROR(INDEX('Cài đặt'!$D$56:$D$65,MATCH(E80,'Cài đặt'!$B$56:$B$65,0)),""))</f>
        <v/>
      </c>
      <c r="G80" s="69"/>
      <c r="H80" s="56" t="str">
        <f t="array" ref="H80">IF(E80="","",IFERROR(INDEX('Cài đặt'!$E$56:$E$65,MATCH(E80,'Cài đặt'!$B$56:$B$65,0)),""))</f>
        <v/>
      </c>
      <c r="I80" s="70" t="str">
        <f t="shared" si="2"/>
        <v/>
      </c>
      <c r="J80" s="71"/>
      <c r="K80" s="72"/>
      <c r="L80" s="71"/>
    </row>
    <row r="81" ht="24.0" customHeight="1">
      <c r="A81" s="66">
        <v>74.0</v>
      </c>
      <c r="B81" s="67"/>
      <c r="C81" s="68" t="str">
        <f t="shared" si="1"/>
        <v/>
      </c>
      <c r="D81" s="22"/>
      <c r="E81" s="22"/>
      <c r="F81" s="68" t="str">
        <f t="array" ref="F81">IF(E81="","",IFERROR(INDEX('Cài đặt'!$D$56:$D$65,MATCH(E81,'Cài đặt'!$B$56:$B$65,0)),""))</f>
        <v/>
      </c>
      <c r="G81" s="69"/>
      <c r="H81" s="56" t="str">
        <f t="array" ref="H81">IF(E81="","",IFERROR(INDEX('Cài đặt'!$E$56:$E$65,MATCH(E81,'Cài đặt'!$B$56:$B$65,0)),""))</f>
        <v/>
      </c>
      <c r="I81" s="70" t="str">
        <f t="shared" si="2"/>
        <v/>
      </c>
      <c r="J81" s="71"/>
      <c r="K81" s="72"/>
      <c r="L81" s="71"/>
    </row>
    <row r="82" ht="24.0" customHeight="1">
      <c r="A82" s="66">
        <v>75.0</v>
      </c>
      <c r="B82" s="67"/>
      <c r="C82" s="68" t="str">
        <f t="shared" si="1"/>
        <v/>
      </c>
      <c r="D82" s="22"/>
      <c r="E82" s="22"/>
      <c r="F82" s="68" t="str">
        <f t="array" ref="F82">IF(E82="","",IFERROR(INDEX('Cài đặt'!$D$56:$D$65,MATCH(E82,'Cài đặt'!$B$56:$B$65,0)),""))</f>
        <v/>
      </c>
      <c r="G82" s="69"/>
      <c r="H82" s="56" t="str">
        <f t="array" ref="H82">IF(E82="","",IFERROR(INDEX('Cài đặt'!$E$56:$E$65,MATCH(E82,'Cài đặt'!$B$56:$B$65,0)),""))</f>
        <v/>
      </c>
      <c r="I82" s="70" t="str">
        <f t="shared" si="2"/>
        <v/>
      </c>
      <c r="J82" s="71"/>
      <c r="K82" s="72"/>
      <c r="L82" s="71"/>
    </row>
    <row r="83" ht="24.0" customHeight="1">
      <c r="A83" s="66">
        <v>76.0</v>
      </c>
      <c r="B83" s="67"/>
      <c r="C83" s="68" t="str">
        <f t="shared" si="1"/>
        <v/>
      </c>
      <c r="D83" s="22"/>
      <c r="E83" s="22"/>
      <c r="F83" s="68" t="str">
        <f t="array" ref="F83">IF(E83="","",IFERROR(INDEX('Cài đặt'!$D$56:$D$65,MATCH(E83,'Cài đặt'!$B$56:$B$65,0)),""))</f>
        <v/>
      </c>
      <c r="G83" s="69"/>
      <c r="H83" s="56" t="str">
        <f t="array" ref="H83">IF(E83="","",IFERROR(INDEX('Cài đặt'!$E$56:$E$65,MATCH(E83,'Cài đặt'!$B$56:$B$65,0)),""))</f>
        <v/>
      </c>
      <c r="I83" s="70" t="str">
        <f t="shared" si="2"/>
        <v/>
      </c>
      <c r="J83" s="71"/>
      <c r="K83" s="72"/>
      <c r="L83" s="71"/>
    </row>
    <row r="84" ht="24.0" customHeight="1">
      <c r="A84" s="66">
        <v>77.0</v>
      </c>
      <c r="B84" s="67"/>
      <c r="C84" s="68" t="str">
        <f t="shared" si="1"/>
        <v/>
      </c>
      <c r="D84" s="22"/>
      <c r="E84" s="22"/>
      <c r="F84" s="68" t="str">
        <f t="array" ref="F84">IF(E84="","",IFERROR(INDEX('Cài đặt'!$D$56:$D$65,MATCH(E84,'Cài đặt'!$B$56:$B$65,0)),""))</f>
        <v/>
      </c>
      <c r="G84" s="69"/>
      <c r="H84" s="56" t="str">
        <f t="array" ref="H84">IF(E84="","",IFERROR(INDEX('Cài đặt'!$E$56:$E$65,MATCH(E84,'Cài đặt'!$B$56:$B$65,0)),""))</f>
        <v/>
      </c>
      <c r="I84" s="70" t="str">
        <f t="shared" si="2"/>
        <v/>
      </c>
      <c r="J84" s="71"/>
      <c r="K84" s="72"/>
      <c r="L84" s="71"/>
    </row>
    <row r="85" ht="24.0" customHeight="1">
      <c r="A85" s="66">
        <v>78.0</v>
      </c>
      <c r="B85" s="67"/>
      <c r="C85" s="68" t="str">
        <f t="shared" si="1"/>
        <v/>
      </c>
      <c r="D85" s="22"/>
      <c r="E85" s="22"/>
      <c r="F85" s="68" t="str">
        <f t="array" ref="F85">IF(E85="","",IFERROR(INDEX('Cài đặt'!$D$56:$D$65,MATCH(E85,'Cài đặt'!$B$56:$B$65,0)),""))</f>
        <v/>
      </c>
      <c r="G85" s="69"/>
      <c r="H85" s="56" t="str">
        <f t="array" ref="H85">IF(E85="","",IFERROR(INDEX('Cài đặt'!$E$56:$E$65,MATCH(E85,'Cài đặt'!$B$56:$B$65,0)),""))</f>
        <v/>
      </c>
      <c r="I85" s="70" t="str">
        <f t="shared" si="2"/>
        <v/>
      </c>
      <c r="J85" s="71"/>
      <c r="K85" s="72"/>
      <c r="L85" s="71"/>
    </row>
    <row r="86" ht="24.0" customHeight="1">
      <c r="A86" s="66">
        <v>79.0</v>
      </c>
      <c r="B86" s="67"/>
      <c r="C86" s="68" t="str">
        <f t="shared" si="1"/>
        <v/>
      </c>
      <c r="D86" s="22"/>
      <c r="E86" s="22"/>
      <c r="F86" s="68" t="str">
        <f t="array" ref="F86">IF(E86="","",IFERROR(INDEX('Cài đặt'!$D$56:$D$65,MATCH(E86,'Cài đặt'!$B$56:$B$65,0)),""))</f>
        <v/>
      </c>
      <c r="G86" s="69"/>
      <c r="H86" s="56" t="str">
        <f t="array" ref="H86">IF(E86="","",IFERROR(INDEX('Cài đặt'!$E$56:$E$65,MATCH(E86,'Cài đặt'!$B$56:$B$65,0)),""))</f>
        <v/>
      </c>
      <c r="I86" s="70" t="str">
        <f t="shared" si="2"/>
        <v/>
      </c>
      <c r="J86" s="71"/>
      <c r="K86" s="72"/>
      <c r="L86" s="71"/>
    </row>
    <row r="87" ht="24.0" customHeight="1">
      <c r="A87" s="66">
        <v>80.0</v>
      </c>
      <c r="B87" s="67"/>
      <c r="C87" s="68" t="str">
        <f t="shared" si="1"/>
        <v/>
      </c>
      <c r="D87" s="22"/>
      <c r="E87" s="22"/>
      <c r="F87" s="68" t="str">
        <f t="array" ref="F87">IF(E87="","",IFERROR(INDEX('Cài đặt'!$D$56:$D$65,MATCH(E87,'Cài đặt'!$B$56:$B$65,0)),""))</f>
        <v/>
      </c>
      <c r="G87" s="69"/>
      <c r="H87" s="56" t="str">
        <f t="array" ref="H87">IF(E87="","",IFERROR(INDEX('Cài đặt'!$E$56:$E$65,MATCH(E87,'Cài đặt'!$B$56:$B$65,0)),""))</f>
        <v/>
      </c>
      <c r="I87" s="70" t="str">
        <f t="shared" si="2"/>
        <v/>
      </c>
      <c r="J87" s="71"/>
      <c r="K87" s="72"/>
      <c r="L87" s="71"/>
    </row>
    <row r="88" ht="24.0" customHeight="1">
      <c r="A88" s="66">
        <v>81.0</v>
      </c>
      <c r="B88" s="67"/>
      <c r="C88" s="68" t="str">
        <f t="shared" si="1"/>
        <v/>
      </c>
      <c r="D88" s="22"/>
      <c r="E88" s="22"/>
      <c r="F88" s="68" t="str">
        <f t="array" ref="F88">IF(E88="","",IFERROR(INDEX('Cài đặt'!$D$56:$D$65,MATCH(E88,'Cài đặt'!$B$56:$B$65,0)),""))</f>
        <v/>
      </c>
      <c r="G88" s="69"/>
      <c r="H88" s="56" t="str">
        <f t="array" ref="H88">IF(E88="","",IFERROR(INDEX('Cài đặt'!$E$56:$E$65,MATCH(E88,'Cài đặt'!$B$56:$B$65,0)),""))</f>
        <v/>
      </c>
      <c r="I88" s="70" t="str">
        <f t="shared" si="2"/>
        <v/>
      </c>
      <c r="J88" s="71"/>
      <c r="K88" s="72"/>
      <c r="L88" s="71"/>
    </row>
    <row r="89" ht="24.0" customHeight="1">
      <c r="A89" s="66">
        <v>82.0</v>
      </c>
      <c r="B89" s="67"/>
      <c r="C89" s="68" t="str">
        <f t="shared" si="1"/>
        <v/>
      </c>
      <c r="D89" s="22"/>
      <c r="E89" s="22"/>
      <c r="F89" s="68" t="str">
        <f t="array" ref="F89">IF(E89="","",IFERROR(INDEX('Cài đặt'!$D$56:$D$65,MATCH(E89,'Cài đặt'!$B$56:$B$65,0)),""))</f>
        <v/>
      </c>
      <c r="G89" s="69"/>
      <c r="H89" s="56" t="str">
        <f t="array" ref="H89">IF(E89="","",IFERROR(INDEX('Cài đặt'!$E$56:$E$65,MATCH(E89,'Cài đặt'!$B$56:$B$65,0)),""))</f>
        <v/>
      </c>
      <c r="I89" s="70" t="str">
        <f t="shared" si="2"/>
        <v/>
      </c>
      <c r="J89" s="71"/>
      <c r="K89" s="72"/>
      <c r="L89" s="71"/>
    </row>
    <row r="90" ht="24.0" customHeight="1">
      <c r="A90" s="66">
        <v>83.0</v>
      </c>
      <c r="B90" s="67"/>
      <c r="C90" s="68" t="str">
        <f t="shared" si="1"/>
        <v/>
      </c>
      <c r="D90" s="22"/>
      <c r="E90" s="22"/>
      <c r="F90" s="68" t="str">
        <f t="array" ref="F90">IF(E90="","",IFERROR(INDEX('Cài đặt'!$D$56:$D$65,MATCH(E90,'Cài đặt'!$B$56:$B$65,0)),""))</f>
        <v/>
      </c>
      <c r="G90" s="69"/>
      <c r="H90" s="56" t="str">
        <f t="array" ref="H90">IF(E90="","",IFERROR(INDEX('Cài đặt'!$E$56:$E$65,MATCH(E90,'Cài đặt'!$B$56:$B$65,0)),""))</f>
        <v/>
      </c>
      <c r="I90" s="70" t="str">
        <f t="shared" si="2"/>
        <v/>
      </c>
      <c r="J90" s="71"/>
      <c r="K90" s="72"/>
      <c r="L90" s="71"/>
    </row>
    <row r="91" ht="24.0" customHeight="1">
      <c r="A91" s="66">
        <v>84.0</v>
      </c>
      <c r="B91" s="67"/>
      <c r="C91" s="68" t="str">
        <f t="shared" si="1"/>
        <v/>
      </c>
      <c r="D91" s="22"/>
      <c r="E91" s="22"/>
      <c r="F91" s="68" t="str">
        <f t="array" ref="F91">IF(E91="","",IFERROR(INDEX('Cài đặt'!$D$56:$D$65,MATCH(E91,'Cài đặt'!$B$56:$B$65,0)),""))</f>
        <v/>
      </c>
      <c r="G91" s="69"/>
      <c r="H91" s="56" t="str">
        <f t="array" ref="H91">IF(E91="","",IFERROR(INDEX('Cài đặt'!$E$56:$E$65,MATCH(E91,'Cài đặt'!$B$56:$B$65,0)),""))</f>
        <v/>
      </c>
      <c r="I91" s="70" t="str">
        <f t="shared" si="2"/>
        <v/>
      </c>
      <c r="J91" s="71"/>
      <c r="K91" s="72"/>
      <c r="L91" s="71"/>
    </row>
    <row r="92" ht="24.0" customHeight="1">
      <c r="A92" s="66">
        <v>85.0</v>
      </c>
      <c r="B92" s="67"/>
      <c r="C92" s="68" t="str">
        <f t="shared" si="1"/>
        <v/>
      </c>
      <c r="D92" s="22"/>
      <c r="E92" s="22"/>
      <c r="F92" s="68" t="str">
        <f t="array" ref="F92">IF(E92="","",IFERROR(INDEX('Cài đặt'!$D$56:$D$65,MATCH(E92,'Cài đặt'!$B$56:$B$65,0)),""))</f>
        <v/>
      </c>
      <c r="G92" s="69"/>
      <c r="H92" s="56" t="str">
        <f t="array" ref="H92">IF(E92="","",IFERROR(INDEX('Cài đặt'!$E$56:$E$65,MATCH(E92,'Cài đặt'!$B$56:$B$65,0)),""))</f>
        <v/>
      </c>
      <c r="I92" s="70" t="str">
        <f t="shared" si="2"/>
        <v/>
      </c>
      <c r="J92" s="71"/>
      <c r="K92" s="72"/>
      <c r="L92" s="71"/>
    </row>
    <row r="93" ht="24.0" customHeight="1">
      <c r="A93" s="66">
        <v>86.0</v>
      </c>
      <c r="B93" s="67"/>
      <c r="C93" s="68" t="str">
        <f t="shared" si="1"/>
        <v/>
      </c>
      <c r="D93" s="22"/>
      <c r="E93" s="22"/>
      <c r="F93" s="68" t="str">
        <f t="array" ref="F93">IF(E93="","",IFERROR(INDEX('Cài đặt'!$D$56:$D$65,MATCH(E93,'Cài đặt'!$B$56:$B$65,0)),""))</f>
        <v/>
      </c>
      <c r="G93" s="69"/>
      <c r="H93" s="56" t="str">
        <f t="array" ref="H93">IF(E93="","",IFERROR(INDEX('Cài đặt'!$E$56:$E$65,MATCH(E93,'Cài đặt'!$B$56:$B$65,0)),""))</f>
        <v/>
      </c>
      <c r="I93" s="70" t="str">
        <f t="shared" si="2"/>
        <v/>
      </c>
      <c r="J93" s="71"/>
      <c r="K93" s="72"/>
      <c r="L93" s="71"/>
    </row>
    <row r="94" ht="24.0" customHeight="1">
      <c r="A94" s="66">
        <v>87.0</v>
      </c>
      <c r="B94" s="67"/>
      <c r="C94" s="68" t="str">
        <f t="shared" si="1"/>
        <v/>
      </c>
      <c r="D94" s="22"/>
      <c r="E94" s="22"/>
      <c r="F94" s="68" t="str">
        <f t="array" ref="F94">IF(E94="","",IFERROR(INDEX('Cài đặt'!$D$56:$D$65,MATCH(E94,'Cài đặt'!$B$56:$B$65,0)),""))</f>
        <v/>
      </c>
      <c r="G94" s="69"/>
      <c r="H94" s="56" t="str">
        <f t="array" ref="H94">IF(E94="","",IFERROR(INDEX('Cài đặt'!$E$56:$E$65,MATCH(E94,'Cài đặt'!$B$56:$B$65,0)),""))</f>
        <v/>
      </c>
      <c r="I94" s="70" t="str">
        <f t="shared" si="2"/>
        <v/>
      </c>
      <c r="J94" s="71"/>
      <c r="K94" s="72"/>
      <c r="L94" s="71"/>
    </row>
    <row r="95" ht="24.0" customHeight="1">
      <c r="A95" s="66">
        <v>88.0</v>
      </c>
      <c r="B95" s="67"/>
      <c r="C95" s="68" t="str">
        <f t="shared" si="1"/>
        <v/>
      </c>
      <c r="D95" s="22"/>
      <c r="E95" s="22"/>
      <c r="F95" s="68" t="str">
        <f t="array" ref="F95">IF(E95="","",IFERROR(INDEX('Cài đặt'!$D$56:$D$65,MATCH(E95,'Cài đặt'!$B$56:$B$65,0)),""))</f>
        <v/>
      </c>
      <c r="G95" s="69"/>
      <c r="H95" s="56" t="str">
        <f t="array" ref="H95">IF(E95="","",IFERROR(INDEX('Cài đặt'!$E$56:$E$65,MATCH(E95,'Cài đặt'!$B$56:$B$65,0)),""))</f>
        <v/>
      </c>
      <c r="I95" s="70" t="str">
        <f t="shared" si="2"/>
        <v/>
      </c>
      <c r="J95" s="71"/>
      <c r="K95" s="72"/>
      <c r="L95" s="71"/>
    </row>
    <row r="96" ht="24.0" customHeight="1">
      <c r="A96" s="66">
        <v>89.0</v>
      </c>
      <c r="B96" s="67"/>
      <c r="C96" s="68" t="str">
        <f t="shared" si="1"/>
        <v/>
      </c>
      <c r="D96" s="22"/>
      <c r="E96" s="22"/>
      <c r="F96" s="68" t="str">
        <f t="array" ref="F96">IF(E96="","",IFERROR(INDEX('Cài đặt'!$D$56:$D$65,MATCH(E96,'Cài đặt'!$B$56:$B$65,0)),""))</f>
        <v/>
      </c>
      <c r="G96" s="69"/>
      <c r="H96" s="56" t="str">
        <f t="array" ref="H96">IF(E96="","",IFERROR(INDEX('Cài đặt'!$E$56:$E$65,MATCH(E96,'Cài đặt'!$B$56:$B$65,0)),""))</f>
        <v/>
      </c>
      <c r="I96" s="70" t="str">
        <f t="shared" si="2"/>
        <v/>
      </c>
      <c r="J96" s="71"/>
      <c r="K96" s="72"/>
      <c r="L96" s="71"/>
    </row>
    <row r="97" ht="24.0" customHeight="1">
      <c r="A97" s="66">
        <v>90.0</v>
      </c>
      <c r="B97" s="67"/>
      <c r="C97" s="68" t="str">
        <f t="shared" si="1"/>
        <v/>
      </c>
      <c r="D97" s="22"/>
      <c r="E97" s="22"/>
      <c r="F97" s="68" t="str">
        <f t="array" ref="F97">IF(E97="","",IFERROR(INDEX('Cài đặt'!$D$56:$D$65,MATCH(E97,'Cài đặt'!$B$56:$B$65,0)),""))</f>
        <v/>
      </c>
      <c r="G97" s="69"/>
      <c r="H97" s="56" t="str">
        <f t="array" ref="H97">IF(E97="","",IFERROR(INDEX('Cài đặt'!$E$56:$E$65,MATCH(E97,'Cài đặt'!$B$56:$B$65,0)),""))</f>
        <v/>
      </c>
      <c r="I97" s="70" t="str">
        <f t="shared" si="2"/>
        <v/>
      </c>
      <c r="J97" s="71"/>
      <c r="K97" s="72"/>
      <c r="L97" s="71"/>
    </row>
    <row r="98" ht="24.0" customHeight="1">
      <c r="A98" s="66">
        <v>91.0</v>
      </c>
      <c r="B98" s="67"/>
      <c r="C98" s="68" t="str">
        <f t="shared" si="1"/>
        <v/>
      </c>
      <c r="D98" s="22"/>
      <c r="E98" s="22"/>
      <c r="F98" s="68" t="str">
        <f t="array" ref="F98">IF(E98="","",IFERROR(INDEX('Cài đặt'!$D$56:$D$65,MATCH(E98,'Cài đặt'!$B$56:$B$65,0)),""))</f>
        <v/>
      </c>
      <c r="G98" s="69"/>
      <c r="H98" s="56" t="str">
        <f t="array" ref="H98">IF(E98="","",IFERROR(INDEX('Cài đặt'!$E$56:$E$65,MATCH(E98,'Cài đặt'!$B$56:$B$65,0)),""))</f>
        <v/>
      </c>
      <c r="I98" s="70" t="str">
        <f t="shared" si="2"/>
        <v/>
      </c>
      <c r="J98" s="71"/>
      <c r="K98" s="72"/>
      <c r="L98" s="71"/>
    </row>
    <row r="99" ht="24.0" customHeight="1">
      <c r="A99" s="66">
        <v>92.0</v>
      </c>
      <c r="B99" s="67"/>
      <c r="C99" s="68" t="str">
        <f t="shared" si="1"/>
        <v/>
      </c>
      <c r="D99" s="22"/>
      <c r="E99" s="22"/>
      <c r="F99" s="68" t="str">
        <f t="array" ref="F99">IF(E99="","",IFERROR(INDEX('Cài đặt'!$D$56:$D$65,MATCH(E99,'Cài đặt'!$B$56:$B$65,0)),""))</f>
        <v/>
      </c>
      <c r="G99" s="69"/>
      <c r="H99" s="56" t="str">
        <f t="array" ref="H99">IF(E99="","",IFERROR(INDEX('Cài đặt'!$E$56:$E$65,MATCH(E99,'Cài đặt'!$B$56:$B$65,0)),""))</f>
        <v/>
      </c>
      <c r="I99" s="70" t="str">
        <f t="shared" si="2"/>
        <v/>
      </c>
      <c r="J99" s="71"/>
      <c r="K99" s="72"/>
      <c r="L99" s="71"/>
    </row>
    <row r="100" ht="24.0" customHeight="1">
      <c r="A100" s="66">
        <v>93.0</v>
      </c>
      <c r="B100" s="67"/>
      <c r="C100" s="68" t="str">
        <f t="shared" si="1"/>
        <v/>
      </c>
      <c r="D100" s="22"/>
      <c r="E100" s="22"/>
      <c r="F100" s="68" t="str">
        <f t="array" ref="F100">IF(E100="","",IFERROR(INDEX('Cài đặt'!$D$56:$D$65,MATCH(E100,'Cài đặt'!$B$56:$B$65,0)),""))</f>
        <v/>
      </c>
      <c r="G100" s="69"/>
      <c r="H100" s="56" t="str">
        <f t="array" ref="H100">IF(E100="","",IFERROR(INDEX('Cài đặt'!$E$56:$E$65,MATCH(E100,'Cài đặt'!$B$56:$B$65,0)),""))</f>
        <v/>
      </c>
      <c r="I100" s="70" t="str">
        <f t="shared" si="2"/>
        <v/>
      </c>
      <c r="J100" s="71"/>
      <c r="K100" s="72"/>
      <c r="L100" s="71"/>
    </row>
    <row r="101" ht="24.0" customHeight="1">
      <c r="A101" s="66">
        <v>94.0</v>
      </c>
      <c r="B101" s="67"/>
      <c r="C101" s="68" t="str">
        <f t="shared" si="1"/>
        <v/>
      </c>
      <c r="D101" s="22"/>
      <c r="E101" s="22"/>
      <c r="F101" s="68" t="str">
        <f t="array" ref="F101">IF(E101="","",IFERROR(INDEX('Cài đặt'!$D$56:$D$65,MATCH(E101,'Cài đặt'!$B$56:$B$65,0)),""))</f>
        <v/>
      </c>
      <c r="G101" s="69"/>
      <c r="H101" s="56" t="str">
        <f t="array" ref="H101">IF(E101="","",IFERROR(INDEX('Cài đặt'!$E$56:$E$65,MATCH(E101,'Cài đặt'!$B$56:$B$65,0)),""))</f>
        <v/>
      </c>
      <c r="I101" s="70" t="str">
        <f t="shared" si="2"/>
        <v/>
      </c>
      <c r="J101" s="71"/>
      <c r="K101" s="72"/>
      <c r="L101" s="71"/>
    </row>
    <row r="102" ht="24.0" customHeight="1">
      <c r="A102" s="66">
        <v>95.0</v>
      </c>
      <c r="B102" s="67"/>
      <c r="C102" s="68" t="str">
        <f t="shared" si="1"/>
        <v/>
      </c>
      <c r="D102" s="22"/>
      <c r="E102" s="22"/>
      <c r="F102" s="68" t="str">
        <f t="array" ref="F102">IF(E102="","",IFERROR(INDEX('Cài đặt'!$D$56:$D$65,MATCH(E102,'Cài đặt'!$B$56:$B$65,0)),""))</f>
        <v/>
      </c>
      <c r="G102" s="69"/>
      <c r="H102" s="56" t="str">
        <f t="array" ref="H102">IF(E102="","",IFERROR(INDEX('Cài đặt'!$E$56:$E$65,MATCH(E102,'Cài đặt'!$B$56:$B$65,0)),""))</f>
        <v/>
      </c>
      <c r="I102" s="70" t="str">
        <f t="shared" si="2"/>
        <v/>
      </c>
      <c r="J102" s="71"/>
      <c r="K102" s="72"/>
      <c r="L102" s="71"/>
    </row>
    <row r="103" ht="24.0" customHeight="1">
      <c r="A103" s="66">
        <v>96.0</v>
      </c>
      <c r="B103" s="67"/>
      <c r="C103" s="68" t="str">
        <f t="shared" si="1"/>
        <v/>
      </c>
      <c r="D103" s="22"/>
      <c r="E103" s="22"/>
      <c r="F103" s="68" t="str">
        <f t="array" ref="F103">IF(E103="","",IFERROR(INDEX('Cài đặt'!$D$56:$D$65,MATCH(E103,'Cài đặt'!$B$56:$B$65,0)),""))</f>
        <v/>
      </c>
      <c r="G103" s="69"/>
      <c r="H103" s="56" t="str">
        <f t="array" ref="H103">IF(E103="","",IFERROR(INDEX('Cài đặt'!$E$56:$E$65,MATCH(E103,'Cài đặt'!$B$56:$B$65,0)),""))</f>
        <v/>
      </c>
      <c r="I103" s="70" t="str">
        <f t="shared" si="2"/>
        <v/>
      </c>
      <c r="J103" s="71"/>
      <c r="K103" s="72"/>
      <c r="L103" s="71"/>
    </row>
    <row r="104" ht="24.0" customHeight="1">
      <c r="A104" s="66">
        <v>97.0</v>
      </c>
      <c r="B104" s="67"/>
      <c r="C104" s="68" t="str">
        <f t="shared" si="1"/>
        <v/>
      </c>
      <c r="D104" s="22"/>
      <c r="E104" s="22"/>
      <c r="F104" s="68" t="str">
        <f t="array" ref="F104">IF(E104="","",IFERROR(INDEX('Cài đặt'!$D$56:$D$65,MATCH(E104,'Cài đặt'!$B$56:$B$65,0)),""))</f>
        <v/>
      </c>
      <c r="G104" s="69"/>
      <c r="H104" s="56" t="str">
        <f t="array" ref="H104">IF(E104="","",IFERROR(INDEX('Cài đặt'!$E$56:$E$65,MATCH(E104,'Cài đặt'!$B$56:$B$65,0)),""))</f>
        <v/>
      </c>
      <c r="I104" s="70" t="str">
        <f t="shared" si="2"/>
        <v/>
      </c>
      <c r="J104" s="71"/>
      <c r="K104" s="72"/>
      <c r="L104" s="71"/>
    </row>
    <row r="105" ht="24.0" customHeight="1">
      <c r="A105" s="66">
        <v>98.0</v>
      </c>
      <c r="B105" s="67"/>
      <c r="C105" s="68" t="str">
        <f t="shared" si="1"/>
        <v/>
      </c>
      <c r="D105" s="22"/>
      <c r="E105" s="22"/>
      <c r="F105" s="68" t="str">
        <f t="array" ref="F105">IF(E105="","",IFERROR(INDEX('Cài đặt'!$D$56:$D$65,MATCH(E105,'Cài đặt'!$B$56:$B$65,0)),""))</f>
        <v/>
      </c>
      <c r="G105" s="69"/>
      <c r="H105" s="56" t="str">
        <f t="array" ref="H105">IF(E105="","",IFERROR(INDEX('Cài đặt'!$E$56:$E$65,MATCH(E105,'Cài đặt'!$B$56:$B$65,0)),""))</f>
        <v/>
      </c>
      <c r="I105" s="70" t="str">
        <f t="shared" si="2"/>
        <v/>
      </c>
      <c r="J105" s="71"/>
      <c r="K105" s="72"/>
      <c r="L105" s="71"/>
    </row>
    <row r="106" ht="24.0" customHeight="1">
      <c r="A106" s="66">
        <v>99.0</v>
      </c>
      <c r="B106" s="67"/>
      <c r="C106" s="68" t="str">
        <f t="shared" si="1"/>
        <v/>
      </c>
      <c r="D106" s="22"/>
      <c r="E106" s="22"/>
      <c r="F106" s="68" t="str">
        <f t="array" ref="F106">IF(E106="","",IFERROR(INDEX('Cài đặt'!$D$56:$D$65,MATCH(E106,'Cài đặt'!$B$56:$B$65,0)),""))</f>
        <v/>
      </c>
      <c r="G106" s="69"/>
      <c r="H106" s="56" t="str">
        <f t="array" ref="H106">IF(E106="","",IFERROR(INDEX('Cài đặt'!$E$56:$E$65,MATCH(E106,'Cài đặt'!$B$56:$B$65,0)),""))</f>
        <v/>
      </c>
      <c r="I106" s="70" t="str">
        <f t="shared" si="2"/>
        <v/>
      </c>
      <c r="J106" s="71"/>
      <c r="K106" s="72"/>
      <c r="L106" s="71"/>
    </row>
    <row r="107" ht="24.0" customHeight="1">
      <c r="A107" s="66">
        <v>100.0</v>
      </c>
      <c r="B107" s="67"/>
      <c r="C107" s="68" t="str">
        <f t="shared" si="1"/>
        <v/>
      </c>
      <c r="D107" s="22"/>
      <c r="E107" s="22"/>
      <c r="F107" s="68" t="str">
        <f t="array" ref="F107">IF(E107="","",IFERROR(INDEX('Cài đặt'!$D$56:$D$65,MATCH(E107,'Cài đặt'!$B$56:$B$65,0)),""))</f>
        <v/>
      </c>
      <c r="G107" s="69"/>
      <c r="H107" s="56" t="str">
        <f t="array" ref="H107">IF(E107="","",IFERROR(INDEX('Cài đặt'!$E$56:$E$65,MATCH(E107,'Cài đặt'!$B$56:$B$65,0)),""))</f>
        <v/>
      </c>
      <c r="I107" s="70" t="str">
        <f t="shared" si="2"/>
        <v/>
      </c>
      <c r="J107" s="71"/>
      <c r="K107" s="72"/>
      <c r="L107" s="71"/>
    </row>
    <row r="108" ht="15.75" customHeight="1"/>
    <row r="109" ht="15.75" customHeight="1">
      <c r="A109" s="38" t="s">
        <v>121</v>
      </c>
    </row>
    <row r="110" ht="15.75" customHeight="1"/>
    <row r="111" ht="15.75" customHeight="1">
      <c r="C111" s="40" t="s">
        <v>122</v>
      </c>
      <c r="F111" s="40" t="s">
        <v>59</v>
      </c>
      <c r="K111" s="40" t="s">
        <v>60</v>
      </c>
    </row>
    <row r="112" ht="15.75" customHeight="1">
      <c r="C112" s="43" t="s">
        <v>61</v>
      </c>
      <c r="F112" s="43" t="s">
        <v>61</v>
      </c>
      <c r="K112" s="43" t="s">
        <v>61</v>
      </c>
    </row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A1:L1"/>
    <mergeCell ref="A2:L2"/>
    <mergeCell ref="A3:L3"/>
    <mergeCell ref="A4:C4"/>
    <mergeCell ref="D4:E4"/>
    <mergeCell ref="F4:I4"/>
    <mergeCell ref="J4:K4"/>
    <mergeCell ref="C111:E111"/>
    <mergeCell ref="C112:E112"/>
    <mergeCell ref="F112:J112"/>
    <mergeCell ref="K112:L112"/>
    <mergeCell ref="A5:C5"/>
    <mergeCell ref="D5:E5"/>
    <mergeCell ref="F5:I5"/>
    <mergeCell ref="J5:K5"/>
    <mergeCell ref="A109:L109"/>
    <mergeCell ref="F111:J111"/>
    <mergeCell ref="K111:L111"/>
  </mergeCells>
  <conditionalFormatting sqref="K8:K107">
    <cfRule type="expression" dxfId="5" priority="1">
      <formula>K8="Đạt"</formula>
    </cfRule>
  </conditionalFormatting>
  <conditionalFormatting sqref="K8:K107">
    <cfRule type="expression" dxfId="6" priority="2">
      <formula>K8="Chờ nghiệm thu"</formula>
    </cfRule>
  </conditionalFormatting>
  <conditionalFormatting sqref="K8:K107">
    <cfRule type="expression" dxfId="7" priority="3">
      <formula>K8="Chưa đạt"</formula>
    </cfRule>
  </conditionalFormatting>
  <conditionalFormatting sqref="C8:C107">
    <cfRule type="expression" dxfId="8" priority="4">
      <formula>C8="CN"</formula>
    </cfRule>
  </conditionalFormatting>
  <dataValidations>
    <dataValidation type="list" allowBlank="1" showInputMessage="1" showErrorMessage="1" prompt="Hạng mục không hợp lệ - Chọn hạng mục có trong mục 6 sheet 'Cài đặt'." sqref="E8:E107">
      <formula1>'Cài đặt'!$B$56:$B$65</formula1>
    </dataValidation>
    <dataValidation type="decimal" operator="greaterThanOrEqual" allowBlank="1" showInputMessage="1" showErrorMessage="1" prompt="Khối lượng không hợp lệ - Nhập khối lượng ≥ 0." sqref="G8:G107">
      <formula1>0.0</formula1>
    </dataValidation>
    <dataValidation type="list" allowBlank="1" showInputMessage="1" showErrorMessage="1" prompt="Giá trị không hợp lệ - Chọn Đạt, Chưa đạt hoặc Chờ nghiệm thu." sqref="K8:K107">
      <formula1>"Đạt,Chưa đạt,Chờ nghiệm thu"</formula1>
    </dataValidation>
    <dataValidation type="date" operator="greaterThan" allowBlank="1" showInputMessage="1" showErrorMessage="1" prompt="Ngày không hợp lệ - Nhập ngày đúng định dạng dd/mm/yyyy." sqref="B8:B107">
      <formula1>36526.0</formula1>
    </dataValidation>
    <dataValidation type="list" allowBlank="1" showInputMessage="1" showErrorMessage="1" prompt="Thợ không hợp lệ - Chọn tên có trong sheet 'Chấm công'." sqref="D8:D107">
      <formula1>'Chấm công'!$C$8:$C$37</formula1>
    </dataValidation>
  </dataValidations>
  <printOptions/>
  <pageMargins bottom="1.0" footer="0.0" header="0.0" left="0.3" right="0.3" top="1.0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 fitToPage="1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.0"/>
    <col customWidth="1" min="2" max="2" width="13.0"/>
    <col customWidth="1" min="3" max="3" width="30.0"/>
    <col customWidth="1" min="4" max="5" width="12.0"/>
    <col customWidth="1" min="6" max="6" width="13.0"/>
    <col customWidth="1" min="7" max="7" width="14.0"/>
    <col customWidth="1" min="8" max="8" width="15.0"/>
    <col customWidth="1" min="9" max="9" width="3.0"/>
    <col customWidth="1" min="10" max="10" width="15.0"/>
    <col customWidth="1" min="11" max="11" width="30.0"/>
    <col customWidth="1" min="12" max="26" width="8.71"/>
  </cols>
  <sheetData>
    <row r="1" ht="30.0" customHeight="1">
      <c r="B1" s="73" t="s">
        <v>123</v>
      </c>
      <c r="C1" s="2"/>
      <c r="D1" s="2"/>
      <c r="E1" s="2"/>
      <c r="F1" s="2"/>
      <c r="G1" s="2"/>
      <c r="H1" s="2"/>
      <c r="I1" s="2"/>
      <c r="J1" s="2"/>
      <c r="K1" s="3"/>
    </row>
    <row r="3">
      <c r="J3" s="74" t="s">
        <v>124</v>
      </c>
      <c r="K3" s="3"/>
    </row>
    <row r="4" ht="15.0" customHeight="1">
      <c r="B4" s="74" t="s">
        <v>125</v>
      </c>
      <c r="C4" s="2"/>
      <c r="D4" s="2"/>
      <c r="E4" s="2"/>
      <c r="F4" s="2"/>
      <c r="G4" s="2"/>
      <c r="H4" s="3"/>
      <c r="J4" s="75" t="s">
        <v>126</v>
      </c>
      <c r="K4" s="76"/>
    </row>
    <row r="5" ht="21.75" customHeight="1">
      <c r="B5" s="33" t="s">
        <v>127</v>
      </c>
      <c r="C5" s="10"/>
      <c r="D5" s="77" t="s">
        <v>128</v>
      </c>
      <c r="E5" s="78"/>
      <c r="F5" s="78"/>
      <c r="G5" s="78"/>
      <c r="H5" s="79"/>
      <c r="J5" s="80"/>
      <c r="K5" s="81"/>
    </row>
    <row r="6" ht="21.75" customHeight="1">
      <c r="B6" s="33" t="s">
        <v>129</v>
      </c>
      <c r="C6" s="10"/>
      <c r="D6" s="77" t="s">
        <v>130</v>
      </c>
      <c r="E6" s="78"/>
      <c r="F6" s="78"/>
      <c r="G6" s="78"/>
      <c r="H6" s="79"/>
      <c r="J6" s="80"/>
      <c r="K6" s="81"/>
    </row>
    <row r="7" ht="21.75" customHeight="1">
      <c r="B7" s="33" t="s">
        <v>131</v>
      </c>
      <c r="C7" s="10"/>
      <c r="D7" s="82">
        <v>11.0</v>
      </c>
      <c r="E7" s="79"/>
      <c r="J7" s="80"/>
      <c r="K7" s="81"/>
    </row>
    <row r="8" ht="21.75" customHeight="1">
      <c r="B8" s="33" t="s">
        <v>132</v>
      </c>
      <c r="C8" s="10"/>
      <c r="D8" s="82">
        <v>2026.0</v>
      </c>
      <c r="E8" s="79"/>
      <c r="J8" s="80"/>
      <c r="K8" s="81"/>
    </row>
    <row r="9" ht="21.75" customHeight="1">
      <c r="B9" s="33" t="s">
        <v>133</v>
      </c>
      <c r="C9" s="10"/>
      <c r="D9" s="83">
        <f>DAY(EOMONTH(DATE(D8,D7,1),0))</f>
        <v>30</v>
      </c>
      <c r="E9" s="10"/>
      <c r="F9" s="84" t="s">
        <v>134</v>
      </c>
      <c r="J9" s="80"/>
      <c r="K9" s="81"/>
    </row>
    <row r="10" ht="21.75" customHeight="1">
      <c r="B10" s="33" t="s">
        <v>135</v>
      </c>
      <c r="C10" s="10"/>
      <c r="D10" s="83">
        <f>COUNTIF('Chấm công'!E7:AI7,"CN")</f>
        <v>5</v>
      </c>
      <c r="E10" s="10"/>
      <c r="F10" s="84" t="s">
        <v>136</v>
      </c>
      <c r="J10" s="80"/>
      <c r="K10" s="81"/>
    </row>
    <row r="11" ht="21.75" customHeight="1">
      <c r="B11" s="33" t="s">
        <v>137</v>
      </c>
      <c r="C11" s="10"/>
      <c r="D11" s="83">
        <f>D9-D10</f>
        <v>25</v>
      </c>
      <c r="E11" s="10"/>
      <c r="F11" s="84" t="s">
        <v>138</v>
      </c>
      <c r="J11" s="80"/>
      <c r="K11" s="81"/>
    </row>
    <row r="12" ht="21.75" customHeight="1">
      <c r="B12" s="33" t="s">
        <v>139</v>
      </c>
      <c r="C12" s="10"/>
      <c r="D12" s="82">
        <v>8.0</v>
      </c>
      <c r="E12" s="79"/>
      <c r="F12" s="84" t="s">
        <v>140</v>
      </c>
      <c r="J12" s="80"/>
      <c r="K12" s="81"/>
    </row>
    <row r="13">
      <c r="J13" s="85"/>
      <c r="K13" s="86"/>
    </row>
    <row r="14">
      <c r="B14" s="74" t="s">
        <v>141</v>
      </c>
      <c r="C14" s="2"/>
      <c r="D14" s="2"/>
      <c r="E14" s="2"/>
      <c r="F14" s="2"/>
      <c r="G14" s="2"/>
      <c r="H14" s="3"/>
      <c r="J14" s="74" t="s">
        <v>142</v>
      </c>
      <c r="K14" s="3"/>
    </row>
    <row r="15" ht="30.0" customHeight="1">
      <c r="B15" s="64" t="s">
        <v>143</v>
      </c>
      <c r="C15" s="64" t="s">
        <v>144</v>
      </c>
      <c r="D15" s="64" t="s">
        <v>145</v>
      </c>
      <c r="E15" s="64" t="s">
        <v>146</v>
      </c>
      <c r="F15" s="64" t="s">
        <v>147</v>
      </c>
      <c r="G15" s="64" t="s">
        <v>148</v>
      </c>
      <c r="H15" s="64" t="s">
        <v>149</v>
      </c>
      <c r="J15" s="46" t="s">
        <v>93</v>
      </c>
      <c r="K15" s="46" t="s">
        <v>150</v>
      </c>
    </row>
    <row r="16" ht="21.75" customHeight="1">
      <c r="B16" s="87" t="s">
        <v>18</v>
      </c>
      <c r="C16" s="88" t="s">
        <v>151</v>
      </c>
      <c r="D16" s="89">
        <v>0.291666666666667</v>
      </c>
      <c r="E16" s="89">
        <v>0.6875</v>
      </c>
      <c r="F16" s="90">
        <v>1.5</v>
      </c>
      <c r="G16" s="91">
        <f t="shared" ref="G16:G19" si="1">IF(E16&gt;D16,(E16-D16)*24,(E16-D16+1)*24)-F16</f>
        <v>8</v>
      </c>
      <c r="H16" s="91">
        <f t="shared" ref="H16:H19" si="2">G16</f>
        <v>8</v>
      </c>
      <c r="J16" s="92">
        <v>46023.0</v>
      </c>
      <c r="K16" s="88" t="s">
        <v>152</v>
      </c>
    </row>
    <row r="17" ht="21.75" customHeight="1">
      <c r="B17" s="87" t="s">
        <v>50</v>
      </c>
      <c r="C17" s="88" t="s">
        <v>153</v>
      </c>
      <c r="D17" s="89">
        <v>0.291666666666667</v>
      </c>
      <c r="E17" s="89">
        <v>0.479166666666667</v>
      </c>
      <c r="F17" s="90">
        <v>0.5</v>
      </c>
      <c r="G17" s="91">
        <f t="shared" si="1"/>
        <v>4</v>
      </c>
      <c r="H17" s="91">
        <f t="shared" si="2"/>
        <v>4</v>
      </c>
      <c r="J17" s="92">
        <v>46142.0</v>
      </c>
      <c r="K17" s="88" t="s">
        <v>154</v>
      </c>
    </row>
    <row r="18" ht="21.75" customHeight="1">
      <c r="B18" s="87" t="s">
        <v>155</v>
      </c>
      <c r="C18" s="88" t="s">
        <v>156</v>
      </c>
      <c r="D18" s="89">
        <v>0.541666666666667</v>
      </c>
      <c r="E18" s="89">
        <v>0.708333333333333</v>
      </c>
      <c r="F18" s="90">
        <v>0.0</v>
      </c>
      <c r="G18" s="91">
        <f t="shared" si="1"/>
        <v>4</v>
      </c>
      <c r="H18" s="91">
        <f t="shared" si="2"/>
        <v>4</v>
      </c>
      <c r="J18" s="92">
        <v>46143.0</v>
      </c>
      <c r="K18" s="88" t="s">
        <v>157</v>
      </c>
    </row>
    <row r="19" ht="21.75" customHeight="1">
      <c r="B19" s="87" t="s">
        <v>23</v>
      </c>
      <c r="C19" s="88" t="s">
        <v>158</v>
      </c>
      <c r="D19" s="89">
        <v>0.291666666666667</v>
      </c>
      <c r="E19" s="89">
        <v>0.8125</v>
      </c>
      <c r="F19" s="90">
        <v>1.5</v>
      </c>
      <c r="G19" s="91">
        <f t="shared" si="1"/>
        <v>11</v>
      </c>
      <c r="H19" s="91">
        <f t="shared" si="2"/>
        <v>11</v>
      </c>
      <c r="J19" s="92">
        <v>46267.0</v>
      </c>
      <c r="K19" s="88" t="s">
        <v>159</v>
      </c>
    </row>
    <row r="20" ht="21.75" customHeight="1">
      <c r="B20" s="87" t="s">
        <v>19</v>
      </c>
      <c r="C20" s="88" t="s">
        <v>160</v>
      </c>
      <c r="D20" s="93"/>
      <c r="E20" s="93"/>
      <c r="F20" s="91"/>
      <c r="G20" s="91">
        <v>0.0</v>
      </c>
      <c r="H20" s="90">
        <v>0.0</v>
      </c>
      <c r="J20" s="92">
        <v>46388.0</v>
      </c>
      <c r="K20" s="88" t="s">
        <v>152</v>
      </c>
    </row>
    <row r="21" ht="21.75" customHeight="1">
      <c r="B21" s="87" t="s">
        <v>31</v>
      </c>
      <c r="C21" s="88" t="s">
        <v>161</v>
      </c>
      <c r="D21" s="93"/>
      <c r="E21" s="93"/>
      <c r="F21" s="91"/>
      <c r="G21" s="91">
        <v>0.0</v>
      </c>
      <c r="H21" s="91">
        <f t="shared" ref="H21:H22" si="3">$D$12</f>
        <v>8</v>
      </c>
      <c r="J21" s="92">
        <v>46507.0</v>
      </c>
      <c r="K21" s="88" t="s">
        <v>154</v>
      </c>
    </row>
    <row r="22" ht="21.75" customHeight="1">
      <c r="B22" s="87" t="s">
        <v>162</v>
      </c>
      <c r="C22" s="88" t="s">
        <v>163</v>
      </c>
      <c r="D22" s="93"/>
      <c r="E22" s="93"/>
      <c r="F22" s="91"/>
      <c r="G22" s="91">
        <v>0.0</v>
      </c>
      <c r="H22" s="91">
        <f t="shared" si="3"/>
        <v>8</v>
      </c>
      <c r="J22" s="92">
        <v>46508.0</v>
      </c>
      <c r="K22" s="88" t="s">
        <v>157</v>
      </c>
    </row>
    <row r="23" ht="21.75" customHeight="1">
      <c r="B23" s="87" t="s">
        <v>40</v>
      </c>
      <c r="C23" s="88" t="s">
        <v>164</v>
      </c>
      <c r="D23" s="93"/>
      <c r="E23" s="93"/>
      <c r="F23" s="91"/>
      <c r="G23" s="91">
        <v>0.0</v>
      </c>
      <c r="H23" s="90">
        <v>0.0</v>
      </c>
      <c r="J23" s="92">
        <v>46632.0</v>
      </c>
      <c r="K23" s="88" t="s">
        <v>159</v>
      </c>
    </row>
    <row r="24" ht="21.75" customHeight="1">
      <c r="B24" s="87" t="s">
        <v>34</v>
      </c>
      <c r="C24" s="88" t="s">
        <v>165</v>
      </c>
      <c r="D24" s="93"/>
      <c r="E24" s="93"/>
      <c r="F24" s="91"/>
      <c r="G24" s="91">
        <v>0.0</v>
      </c>
      <c r="H24" s="90">
        <v>0.0</v>
      </c>
      <c r="J24" s="92"/>
      <c r="K24" s="88"/>
    </row>
    <row r="25" ht="21.75" customHeight="1">
      <c r="B25" s="87" t="s">
        <v>17</v>
      </c>
      <c r="C25" s="88" t="s">
        <v>166</v>
      </c>
      <c r="D25" s="93"/>
      <c r="E25" s="93"/>
      <c r="F25" s="91"/>
      <c r="G25" s="91">
        <v>0.0</v>
      </c>
      <c r="H25" s="90">
        <v>0.0</v>
      </c>
      <c r="J25" s="92"/>
      <c r="K25" s="88"/>
    </row>
    <row r="26" ht="15.75" customHeight="1">
      <c r="J26" s="92"/>
      <c r="K26" s="88"/>
    </row>
    <row r="27" ht="15.0" customHeight="1">
      <c r="B27" s="94" t="s">
        <v>167</v>
      </c>
      <c r="J27" s="92"/>
      <c r="K27" s="88"/>
    </row>
    <row r="28" ht="15.75" customHeight="1">
      <c r="J28" s="92"/>
      <c r="K28" s="88"/>
    </row>
    <row r="29" ht="15.75" customHeight="1">
      <c r="J29" s="92"/>
      <c r="K29" s="88"/>
    </row>
    <row r="30" ht="15.75" customHeight="1">
      <c r="J30" s="92"/>
      <c r="K30" s="88"/>
    </row>
    <row r="31" ht="15.0" customHeight="1">
      <c r="B31" s="74" t="s">
        <v>168</v>
      </c>
      <c r="C31" s="2"/>
      <c r="D31" s="2"/>
      <c r="E31" s="2"/>
      <c r="F31" s="2"/>
      <c r="G31" s="2"/>
      <c r="H31" s="3"/>
      <c r="J31" s="94" t="s">
        <v>169</v>
      </c>
    </row>
    <row r="32" ht="21.75" customHeight="1">
      <c r="B32" s="33" t="s">
        <v>170</v>
      </c>
      <c r="C32" s="10"/>
      <c r="D32" s="95">
        <v>1.5</v>
      </c>
      <c r="E32" s="79"/>
      <c r="F32" s="84" t="s">
        <v>171</v>
      </c>
    </row>
    <row r="33" ht="21.75" customHeight="1">
      <c r="B33" s="33" t="s">
        <v>172</v>
      </c>
      <c r="C33" s="10"/>
      <c r="D33" s="95">
        <v>2.0</v>
      </c>
      <c r="E33" s="79"/>
      <c r="F33" s="84" t="s">
        <v>173</v>
      </c>
    </row>
    <row r="34" ht="21.75" customHeight="1">
      <c r="B34" s="33" t="s">
        <v>174</v>
      </c>
      <c r="C34" s="10"/>
      <c r="D34" s="95">
        <v>3.0</v>
      </c>
      <c r="E34" s="79"/>
      <c r="F34" s="84" t="s">
        <v>175</v>
      </c>
    </row>
    <row r="35" ht="21.75" customHeight="1">
      <c r="B35" s="33" t="s">
        <v>176</v>
      </c>
      <c r="C35" s="10"/>
      <c r="D35" s="96">
        <v>30000.0</v>
      </c>
      <c r="E35" s="79"/>
      <c r="F35" s="84" t="s">
        <v>177</v>
      </c>
    </row>
    <row r="36" ht="21.75" customHeight="1">
      <c r="B36" s="33" t="s">
        <v>178</v>
      </c>
      <c r="C36" s="10"/>
      <c r="D36" s="96">
        <v>300000.0</v>
      </c>
      <c r="E36" s="79"/>
      <c r="F36" s="84" t="s">
        <v>179</v>
      </c>
    </row>
    <row r="37" ht="21.75" customHeight="1">
      <c r="B37" s="33" t="s">
        <v>180</v>
      </c>
      <c r="C37" s="10"/>
      <c r="D37" s="97">
        <v>0.0</v>
      </c>
      <c r="E37" s="79"/>
      <c r="F37" s="84" t="s">
        <v>181</v>
      </c>
    </row>
    <row r="38" ht="15.0" customHeight="1">
      <c r="B38" s="94" t="s">
        <v>182</v>
      </c>
    </row>
    <row r="39" ht="15.75" customHeight="1"/>
    <row r="40" ht="15.75" customHeight="1"/>
    <row r="41" ht="15.75" customHeight="1">
      <c r="B41" s="74" t="s">
        <v>183</v>
      </c>
      <c r="C41" s="2"/>
      <c r="D41" s="2"/>
      <c r="E41" s="2"/>
      <c r="F41" s="2"/>
      <c r="G41" s="2"/>
      <c r="H41" s="3"/>
    </row>
    <row r="42" ht="30.0" customHeight="1">
      <c r="B42" s="98" t="s">
        <v>4</v>
      </c>
      <c r="C42" s="10"/>
      <c r="D42" s="64" t="s">
        <v>184</v>
      </c>
      <c r="E42" s="98" t="s">
        <v>8</v>
      </c>
      <c r="F42" s="9"/>
      <c r="G42" s="9"/>
      <c r="H42" s="10"/>
    </row>
    <row r="43" ht="19.5" customHeight="1">
      <c r="B43" s="99" t="s">
        <v>16</v>
      </c>
      <c r="C43" s="79"/>
      <c r="D43" s="100">
        <v>550000.0</v>
      </c>
      <c r="E43" s="101"/>
      <c r="F43" s="78"/>
      <c r="G43" s="78"/>
      <c r="H43" s="79"/>
    </row>
    <row r="44" ht="19.5" customHeight="1">
      <c r="B44" s="99" t="s">
        <v>22</v>
      </c>
      <c r="C44" s="79"/>
      <c r="D44" s="100">
        <v>450000.0</v>
      </c>
      <c r="E44" s="101"/>
      <c r="F44" s="78"/>
      <c r="G44" s="78"/>
      <c r="H44" s="79"/>
    </row>
    <row r="45" ht="19.5" customHeight="1">
      <c r="B45" s="99" t="s">
        <v>30</v>
      </c>
      <c r="C45" s="79"/>
      <c r="D45" s="100">
        <v>450000.0</v>
      </c>
      <c r="E45" s="101"/>
      <c r="F45" s="78"/>
      <c r="G45" s="78"/>
      <c r="H45" s="79"/>
    </row>
    <row r="46" ht="19.5" customHeight="1">
      <c r="B46" s="99" t="s">
        <v>37</v>
      </c>
      <c r="C46" s="79"/>
      <c r="D46" s="100">
        <v>480000.0</v>
      </c>
      <c r="E46" s="101"/>
      <c r="F46" s="78"/>
      <c r="G46" s="78"/>
      <c r="H46" s="79"/>
    </row>
    <row r="47" ht="19.5" customHeight="1">
      <c r="B47" s="99" t="s">
        <v>43</v>
      </c>
      <c r="C47" s="79"/>
      <c r="D47" s="100">
        <v>500000.0</v>
      </c>
      <c r="E47" s="101"/>
      <c r="F47" s="78"/>
      <c r="G47" s="78"/>
      <c r="H47" s="79"/>
    </row>
    <row r="48" ht="19.5" customHeight="1">
      <c r="B48" s="99" t="s">
        <v>46</v>
      </c>
      <c r="C48" s="79"/>
      <c r="D48" s="100">
        <v>420000.0</v>
      </c>
      <c r="E48" s="101"/>
      <c r="F48" s="78"/>
      <c r="G48" s="78"/>
      <c r="H48" s="79"/>
    </row>
    <row r="49" ht="19.5" customHeight="1">
      <c r="B49" s="99" t="s">
        <v>49</v>
      </c>
      <c r="C49" s="79"/>
      <c r="D49" s="100">
        <v>330000.0</v>
      </c>
      <c r="E49" s="101"/>
      <c r="F49" s="78"/>
      <c r="G49" s="78"/>
      <c r="H49" s="79"/>
    </row>
    <row r="50" ht="19.5" customHeight="1">
      <c r="B50" s="99" t="s">
        <v>185</v>
      </c>
      <c r="C50" s="79"/>
      <c r="D50" s="100">
        <v>0.0</v>
      </c>
      <c r="E50" s="101" t="s">
        <v>186</v>
      </c>
      <c r="F50" s="78"/>
      <c r="G50" s="78"/>
      <c r="H50" s="79"/>
    </row>
    <row r="51" ht="19.5" customHeight="1">
      <c r="B51" s="99"/>
      <c r="C51" s="79"/>
      <c r="D51" s="100"/>
      <c r="E51" s="101"/>
      <c r="F51" s="78"/>
      <c r="G51" s="78"/>
      <c r="H51" s="79"/>
    </row>
    <row r="52" ht="19.5" customHeight="1">
      <c r="B52" s="99"/>
      <c r="C52" s="79"/>
      <c r="D52" s="100"/>
      <c r="E52" s="101"/>
      <c r="F52" s="78"/>
      <c r="G52" s="78"/>
      <c r="H52" s="79"/>
    </row>
    <row r="53" ht="15.75" customHeight="1"/>
    <row r="54" ht="15.75" customHeight="1">
      <c r="B54" s="74" t="s">
        <v>187</v>
      </c>
      <c r="C54" s="2"/>
      <c r="D54" s="2"/>
      <c r="E54" s="2"/>
      <c r="F54" s="2"/>
      <c r="G54" s="2"/>
      <c r="H54" s="3"/>
    </row>
    <row r="55" ht="30.0" customHeight="1">
      <c r="B55" s="98" t="s">
        <v>188</v>
      </c>
      <c r="C55" s="10"/>
      <c r="D55" s="46" t="s">
        <v>97</v>
      </c>
      <c r="E55" s="64" t="s">
        <v>99</v>
      </c>
      <c r="F55" s="98" t="s">
        <v>8</v>
      </c>
      <c r="G55" s="9"/>
      <c r="H55" s="10"/>
    </row>
    <row r="56" ht="19.5" customHeight="1">
      <c r="B56" s="99" t="s">
        <v>103</v>
      </c>
      <c r="C56" s="79"/>
      <c r="D56" s="102" t="s">
        <v>189</v>
      </c>
      <c r="E56" s="100">
        <v>400000.0</v>
      </c>
      <c r="F56" s="103"/>
      <c r="G56" s="78"/>
      <c r="H56" s="79"/>
    </row>
    <row r="57" ht="19.5" customHeight="1">
      <c r="B57" s="99" t="s">
        <v>107</v>
      </c>
      <c r="C57" s="79"/>
      <c r="D57" s="102" t="s">
        <v>190</v>
      </c>
      <c r="E57" s="100">
        <v>45000.0</v>
      </c>
      <c r="F57" s="103"/>
      <c r="G57" s="78"/>
      <c r="H57" s="79"/>
    </row>
    <row r="58" ht="19.5" customHeight="1">
      <c r="B58" s="99" t="s">
        <v>191</v>
      </c>
      <c r="C58" s="79"/>
      <c r="D58" s="102" t="s">
        <v>190</v>
      </c>
      <c r="E58" s="100">
        <v>35000.0</v>
      </c>
      <c r="F58" s="103"/>
      <c r="G58" s="78"/>
      <c r="H58" s="79"/>
    </row>
    <row r="59" ht="19.5" customHeight="1">
      <c r="B59" s="99" t="s">
        <v>115</v>
      </c>
      <c r="C59" s="79"/>
      <c r="D59" s="102" t="s">
        <v>190</v>
      </c>
      <c r="E59" s="100">
        <v>70000.0</v>
      </c>
      <c r="F59" s="103"/>
      <c r="G59" s="78"/>
      <c r="H59" s="79"/>
    </row>
    <row r="60" ht="19.5" customHeight="1">
      <c r="B60" s="99" t="s">
        <v>192</v>
      </c>
      <c r="C60" s="79"/>
      <c r="D60" s="102" t="s">
        <v>190</v>
      </c>
      <c r="E60" s="100">
        <v>90000.0</v>
      </c>
      <c r="F60" s="103"/>
      <c r="G60" s="78"/>
      <c r="H60" s="79"/>
    </row>
    <row r="61" ht="19.5" customHeight="1">
      <c r="B61" s="99" t="s">
        <v>193</v>
      </c>
      <c r="C61" s="79"/>
      <c r="D61" s="102" t="s">
        <v>189</v>
      </c>
      <c r="E61" s="100">
        <v>150000.0</v>
      </c>
      <c r="F61" s="103"/>
      <c r="G61" s="78"/>
      <c r="H61" s="79"/>
    </row>
    <row r="62" ht="19.5" customHeight="1">
      <c r="B62" s="99" t="s">
        <v>112</v>
      </c>
      <c r="C62" s="79"/>
      <c r="D62" s="102" t="s">
        <v>190</v>
      </c>
      <c r="E62" s="100">
        <v>55000.0</v>
      </c>
      <c r="F62" s="103"/>
      <c r="G62" s="78"/>
      <c r="H62" s="79"/>
    </row>
    <row r="63" ht="19.5" customHeight="1">
      <c r="B63" s="99" t="s">
        <v>110</v>
      </c>
      <c r="C63" s="79"/>
      <c r="D63" s="102" t="s">
        <v>194</v>
      </c>
      <c r="E63" s="100">
        <v>3500.0</v>
      </c>
      <c r="F63" s="103"/>
      <c r="G63" s="78"/>
      <c r="H63" s="79"/>
    </row>
    <row r="64" ht="19.5" customHeight="1">
      <c r="B64" s="99" t="s">
        <v>195</v>
      </c>
      <c r="C64" s="79"/>
      <c r="D64" s="102" t="s">
        <v>190</v>
      </c>
      <c r="E64" s="100">
        <v>25000.0</v>
      </c>
      <c r="F64" s="103"/>
      <c r="G64" s="78"/>
      <c r="H64" s="79"/>
    </row>
    <row r="65" ht="19.5" customHeight="1">
      <c r="B65" s="99" t="s">
        <v>119</v>
      </c>
      <c r="C65" s="79"/>
      <c r="D65" s="102" t="s">
        <v>196</v>
      </c>
      <c r="E65" s="100">
        <v>60000.0</v>
      </c>
      <c r="F65" s="103"/>
      <c r="G65" s="78"/>
      <c r="H65" s="79"/>
    </row>
    <row r="66" ht="15.0" customHeight="1">
      <c r="B66" s="94" t="s">
        <v>197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5">
    <mergeCell ref="J4:K13"/>
    <mergeCell ref="J14:K14"/>
    <mergeCell ref="B1:K1"/>
    <mergeCell ref="J3:K3"/>
    <mergeCell ref="B4:H4"/>
    <mergeCell ref="D5:H5"/>
    <mergeCell ref="D6:H6"/>
    <mergeCell ref="F9:H9"/>
    <mergeCell ref="B14:H14"/>
    <mergeCell ref="B6:C6"/>
    <mergeCell ref="B7:C7"/>
    <mergeCell ref="D7:E7"/>
    <mergeCell ref="B8:C8"/>
    <mergeCell ref="D8:E8"/>
    <mergeCell ref="B9:C9"/>
    <mergeCell ref="D9:E9"/>
    <mergeCell ref="B5:C5"/>
    <mergeCell ref="B10:C10"/>
    <mergeCell ref="D10:E10"/>
    <mergeCell ref="F10:H10"/>
    <mergeCell ref="B11:C11"/>
    <mergeCell ref="D11:E11"/>
    <mergeCell ref="B32:C32"/>
    <mergeCell ref="D32:E32"/>
    <mergeCell ref="F56:H56"/>
    <mergeCell ref="F57:H57"/>
    <mergeCell ref="B51:C51"/>
    <mergeCell ref="B52:C52"/>
    <mergeCell ref="B54:H54"/>
    <mergeCell ref="B55:C55"/>
    <mergeCell ref="F55:H55"/>
    <mergeCell ref="B56:C56"/>
    <mergeCell ref="B57:C57"/>
    <mergeCell ref="B61:C61"/>
    <mergeCell ref="B62:C62"/>
    <mergeCell ref="B63:C63"/>
    <mergeCell ref="B64:C64"/>
    <mergeCell ref="B65:C65"/>
    <mergeCell ref="F62:H62"/>
    <mergeCell ref="F63:H63"/>
    <mergeCell ref="F64:H64"/>
    <mergeCell ref="F65:H65"/>
    <mergeCell ref="B66:H67"/>
    <mergeCell ref="B58:C58"/>
    <mergeCell ref="F58:H58"/>
    <mergeCell ref="B59:C59"/>
    <mergeCell ref="F59:H59"/>
    <mergeCell ref="B60:C60"/>
    <mergeCell ref="F60:H60"/>
    <mergeCell ref="F61:H61"/>
    <mergeCell ref="F11:H11"/>
    <mergeCell ref="B12:C12"/>
    <mergeCell ref="D12:E12"/>
    <mergeCell ref="F12:H12"/>
    <mergeCell ref="B27:H29"/>
    <mergeCell ref="B31:H31"/>
    <mergeCell ref="J31:K33"/>
    <mergeCell ref="F32:H32"/>
    <mergeCell ref="B33:C33"/>
    <mergeCell ref="D33:E33"/>
    <mergeCell ref="F33:H33"/>
    <mergeCell ref="B34:C34"/>
    <mergeCell ref="D34:E34"/>
    <mergeCell ref="F34:H34"/>
    <mergeCell ref="D37:E37"/>
    <mergeCell ref="F37:H37"/>
    <mergeCell ref="B35:C35"/>
    <mergeCell ref="D35:E35"/>
    <mergeCell ref="F35:H35"/>
    <mergeCell ref="B36:C36"/>
    <mergeCell ref="D36:E36"/>
    <mergeCell ref="F36:H36"/>
    <mergeCell ref="B37:C37"/>
    <mergeCell ref="E45:H45"/>
    <mergeCell ref="E46:H46"/>
    <mergeCell ref="E47:H47"/>
    <mergeCell ref="E48:H48"/>
    <mergeCell ref="E49:H49"/>
    <mergeCell ref="E50:H50"/>
    <mergeCell ref="E51:H51"/>
    <mergeCell ref="E52:H52"/>
    <mergeCell ref="B38:H39"/>
    <mergeCell ref="B41:H41"/>
    <mergeCell ref="B42:C42"/>
    <mergeCell ref="E42:H42"/>
    <mergeCell ref="B43:C43"/>
    <mergeCell ref="E43:H43"/>
    <mergeCell ref="E44:H44"/>
    <mergeCell ref="B44:C44"/>
    <mergeCell ref="B45:C45"/>
    <mergeCell ref="B46:C46"/>
    <mergeCell ref="B47:C47"/>
    <mergeCell ref="B48:C48"/>
    <mergeCell ref="B49:C49"/>
    <mergeCell ref="B50:C50"/>
  </mergeCells>
  <dataValidations>
    <dataValidation type="list" allowBlank="1" showInputMessage="1" showErrorMessage="1" prompt="Tháng không hợp lệ - Chọn tháng từ 1 đến 12." sqref="D7">
      <formula1>"1,2,3,4,5,6,7,8,9,10,11,12"</formula1>
    </dataValidation>
    <dataValidation type="decimal" allowBlank="1" showInputMessage="1" showErrorMessage="1" prompt="Năm không hợp lệ - Nhập năm từ 2000 đến 2100." sqref="D8">
      <formula1>2000.0</formula1>
      <formula2>2100.0</formula2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2026-10-26T08:19:19Z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