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ƯỚNG DẪN" sheetId="1" r:id="rId4"/>
    <sheet state="visible" name="BẢNG LƯƠNG" sheetId="2" r:id="rId5"/>
    <sheet state="visible" name="BẢNG CHẤM CA" sheetId="3" r:id="rId6"/>
    <sheet state="visible" name="CẤU HÌNH" sheetId="4" r:id="rId7"/>
    <sheet state="visible" name="NHÂN VIÊN" sheetId="5" r:id="rId8"/>
  </sheets>
  <definedNames/>
  <calcPr/>
  <extLst>
    <ext uri="GoogleSheetsCustomDataVersion2">
      <go:sheetsCustomData xmlns:go="http://customooxmlschemas.google.com/" r:id="rId9" roundtripDataChecksum="Du59Jz7h2aEoCkk5xfy4ftFxc2o0vIqVbWepNiXXmjE="/>
    </ext>
  </extLst>
</workbook>
</file>

<file path=xl/sharedStrings.xml><?xml version="1.0" encoding="utf-8"?>
<sst xmlns="http://schemas.openxmlformats.org/spreadsheetml/2006/main" count="423" uniqueCount="181">
  <si>
    <t>BẢNG LƯƠNG NHÂN VIÊN BẢO VỆ</t>
  </si>
  <si>
    <t xml:space="preserve">BẢNG LƯƠNG NHÂN VIÊN BẢO VỆ																										</t>
  </si>
  <si>
    <t>BẢNG CHẤM CA BẢO VỆ THÁNG</t>
  </si>
  <si>
    <t>Mẫu tự động · chấm ca → lương, phụ cấp ca đêm, tăng ca, bảo hiểm, thuế TNCN</t>
  </si>
  <si>
    <t>Tự tổng hợp từ BẢNG CHẤM CA và NHÂN VIÊN · nhập thêm các ô cam</t>
  </si>
  <si>
    <t>QUY ƯỚC MÀU</t>
  </si>
  <si>
    <t>Chọn Tháng / Năm · chấm ca từng ngày · các cột tổng hợp tự tính</t>
  </si>
  <si>
    <t>Tháng</t>
  </si>
  <si>
    <t>Ô màu cam nhạt</t>
  </si>
  <si>
    <t>Ô NHẬP LIỆU — bạn điền / chỉnh sửa tại đây.</t>
  </si>
  <si>
    <t>CẤU HÌNH TÍNH LƯƠNG</t>
  </si>
  <si>
    <t>Ô màu xám nhạt</t>
  </si>
  <si>
    <t>Ô TỰ ĐỘNG TÍNH — chứa công thức, không nhập đè.</t>
  </si>
  <si>
    <t>CÁC BƯỚC SỬ DỤNG</t>
  </si>
  <si>
    <t>Năm</t>
  </si>
  <si>
    <t>Bước 1 · CẤU HÌNH</t>
  </si>
  <si>
    <t>Kiểm tra ngày công chuẩn, hệ số tăng ca, tỷ lệ bảo hiểm, giảm trừ gia cảnh, biểu thuế và danh sách ngày lễ.</t>
  </si>
  <si>
    <t>Bước 2 · NHÂN VIÊN</t>
  </si>
  <si>
    <t>Khai báo bảo vệ: Mã NV, Họ tên, Vị trí, Chức danh, Lương cơ bản, Phụ cấp chức vụ, Phụ cấp ăn ca, Lương đóng BH, Số người phụ thuộc (tối đa 50 người).</t>
  </si>
  <si>
    <t>Bước 3 · BẢNG CHẤM CA</t>
  </si>
  <si>
    <t>(Đổi Tháng / Năm tại sheet BẢNG CHẤM CA)</t>
  </si>
  <si>
    <t>Chọn Tháng/Năm, rồi chấm ca từng ngày bằng ký hiệu (chọn từ danh sách thả xuống). Ngày nghỉ luân phiên để trống.</t>
  </si>
  <si>
    <t>Bước 4 · BẢNG LƯƠNG</t>
  </si>
  <si>
    <t>Nhập giờ tăng ca, phụ cấp khác, thưởng, tạm ứng, khấu trừ khác. Mọi khoản còn lại — kể cả bảo hiểm, thuế TNCN, thực lĩnh — tự tính.</t>
  </si>
  <si>
    <t>KÝ HIỆU CHẤM CA</t>
  </si>
  <si>
    <t>Số ngày trong tháng</t>
  </si>
  <si>
    <t>Số bảo vệ</t>
  </si>
  <si>
    <t>Thông số áp dụng cho toàn bộ bảng tính · ô cam có thể chỉnh</t>
  </si>
  <si>
    <t>N</t>
  </si>
  <si>
    <t>Ca ngày (sáng/chiều) — 1 công.</t>
  </si>
  <si>
    <t>Đ</t>
  </si>
  <si>
    <t>Ca đêm — 1 công, được tính phụ cấp làm đêm theo số giờ đêm mỗi ca (mặc định 8 giờ, 22:00–06:00).</t>
  </si>
  <si>
    <t>P</t>
  </si>
  <si>
    <t>Nghỉ phép năm (hưởng lương, 1 công).</t>
  </si>
  <si>
    <t>L</t>
  </si>
  <si>
    <t>Tổng thu nhập (đ)</t>
  </si>
  <si>
    <t>Nghỉ lễ hưởng lương (1 công).</t>
  </si>
  <si>
    <t>O</t>
  </si>
  <si>
    <t>Nghỉ ốm / hưởng BHXH (không tính công lương).</t>
  </si>
  <si>
    <t>V</t>
  </si>
  <si>
    <t>Nghỉ không lương.</t>
  </si>
  <si>
    <t>K</t>
  </si>
  <si>
    <t>Vắng không phép.</t>
  </si>
  <si>
    <t>Biểu thuế lũy tiến 5 bậc (thu nhập tính thuế / tháng)</t>
  </si>
  <si>
    <t>Tổng bảo hiểm NLĐ (đ)</t>
  </si>
  <si>
    <t>CÔNG THỨC CHÍNH</t>
  </si>
  <si>
    <t>Lương giờ</t>
  </si>
  <si>
    <t>Lương cơ bản ÷ Ngày công chuẩn ÷ Giờ làm mỗi ca.</t>
  </si>
  <si>
    <t>Tổng thuế TNCN (đ)</t>
  </si>
  <si>
    <t>Lương theo công</t>
  </si>
  <si>
    <t>Lương cơ bản ÷ Ngày công chuẩn × Tổng công hưởng lương (N + Đ + P + L). Làm vượt ngày công chuẩn vẫn được trả theo từng công.</t>
  </si>
  <si>
    <t>Phụ cấp ca đêm</t>
  </si>
  <si>
    <t>Giờ làm đêm × Lương giờ × % phụ cấp đêm (mặc định 30%).</t>
  </si>
  <si>
    <t>Tổng thực lĩnh (đ)</t>
  </si>
  <si>
    <t>Phụ cấp ăn ca</t>
  </si>
  <si>
    <t>Đơn giá ăn ca (đ/ca) × số ca đi làm thực tế (N + Đ).</t>
  </si>
  <si>
    <t>Thông số</t>
  </si>
  <si>
    <t>Tiền tăng ca</t>
  </si>
  <si>
    <t>Lương giờ × (Giờ TC thường × 150% + Giờ TC nghỉ tuần × 200% + Giờ TC lễ × 300%) — hệ số chỉnh được ở CẤU HÌNH.</t>
  </si>
  <si>
    <t>Bảo hiểm NLĐ</t>
  </si>
  <si>
    <t>Lương đóng BH (tối đa theo mức trần) × (BHXH 8% + BHYT 1,5% + BHTN 1%).</t>
  </si>
  <si>
    <t>Thuế TNCN</t>
  </si>
  <si>
    <t>(Tổng thu nhập − khoản miễn thuế − bảo hiểm − giảm trừ bản thân − giảm trừ người phụ thuộc) tính theo biểu thuế lũy tiến 5 bậc.</t>
  </si>
  <si>
    <t>Thực lĩnh</t>
  </si>
  <si>
    <t>Giá trị</t>
  </si>
  <si>
    <t>Tổng thu nhập − Bảo hiểm − Thuế TNCN − Tạm ứng − Khấu trừ khác.</t>
  </si>
  <si>
    <t>Bậc</t>
  </si>
  <si>
    <t>Từ mức (đ/tháng)</t>
  </si>
  <si>
    <t>LƯU Ý</t>
  </si>
  <si>
    <t>Thuế suất</t>
  </si>
  <si>
    <t>Dữ liệu mẫu</t>
  </si>
  <si>
    <t>Chênh so với bậc trước</t>
  </si>
  <si>
    <t>Dữ liệu trong file là DỮ LIỆU MẪU tháng 10/2026 — xóa các ô cam và nhập dữ liệu thật; không xóa dòng, chỉ xóa nội dung ô.</t>
  </si>
  <si>
    <t>Thông số pháp lý</t>
  </si>
  <si>
    <t>Các thông số trong CẤU HÌNH (giảm trừ gia cảnh 15,5 triệu / 6,2 triệu, biểu thuế 5 bậc, lương tối thiểu vùng I 5,31 triệu, trần đóng BH 50,6 triệu) cập nhật theo quy định áp dụng năm 2026. Hãy đối chiếu lại khi có thay đổi.</t>
  </si>
  <si>
    <t>Ngày công chuẩn / tháng (ngày)</t>
  </si>
  <si>
    <t>STT</t>
  </si>
  <si>
    <t>Tính theo giả định người lao động cư trú, ký hợp đồng lao động và chỉ có thu nhập tại đơn vị. Phần lương làm đêm/tăng ca được miễn thuế là phần chênh lệch so với lương giờ ngày thường; ăn ca miễn thuế tối đa theo mức trong CẤU HÌNH. Cần đối chiếu điều kiện miễn thuế với kế toán/đơn vị thuế.</t>
  </si>
  <si>
    <t>Bảng lương theo dòng</t>
  </si>
  <si>
    <t>Số liệu ở BẢNG LƯƠNG gắn theo thứ tự dòng của NHÂN VIÊN — không sắp xếp lại danh sách khi đã nhập liệu.</t>
  </si>
  <si>
    <t>Mã NV</t>
  </si>
  <si>
    <t>Họ và tên</t>
  </si>
  <si>
    <t>Vị trí / Mục tiêu</t>
  </si>
  <si>
    <t>Chức danh</t>
  </si>
  <si>
    <t>Lương cơ bản (đ)</t>
  </si>
  <si>
    <t>Lương giờ (đ)</t>
  </si>
  <si>
    <t>Tổng công hưởng lương</t>
  </si>
  <si>
    <t>Số ca đêm</t>
  </si>
  <si>
    <t>Giờ làm mỗi ca (giờ)</t>
  </si>
  <si>
    <t>Lương theo công (đ)</t>
  </si>
  <si>
    <t>Phụ cấp ca đêm (đ)</t>
  </si>
  <si>
    <t>Phụ cấp chức vụ (đ)</t>
  </si>
  <si>
    <t>Phụ cấp ăn ca (đ)</t>
  </si>
  <si>
    <t>Phụ cấp khác (đ)</t>
  </si>
  <si>
    <t>Giờ TC thường</t>
  </si>
  <si>
    <t>Giờ TC nghỉ tuần</t>
  </si>
  <si>
    <t>Giờ TC lễ</t>
  </si>
  <si>
    <t>Tiền tăng ca (đ)</t>
  </si>
  <si>
    <t>Thưởng (đ)</t>
  </si>
  <si>
    <t>Bảo hiểm NLĐ (đ)</t>
  </si>
  <si>
    <t>Thu nhập miễn thuế (đ)</t>
  </si>
  <si>
    <t>Thu nhập tính thuế (đ)</t>
  </si>
  <si>
    <t>Thuế TNCN (đ)</t>
  </si>
  <si>
    <t>Tạm ứng (đ)</t>
  </si>
  <si>
    <t>Khấu trừ khác (đ)</t>
  </si>
  <si>
    <t>Thực lĩnh (đ)</t>
  </si>
  <si>
    <t>Ký nhận</t>
  </si>
  <si>
    <t>Số giờ đêm mỗi ca đêm (giờ)</t>
  </si>
  <si>
    <t>Phụ cấp làm đêm (% lương giờ)</t>
  </si>
  <si>
    <t>Hệ số tăng ca ngày thường</t>
  </si>
  <si>
    <t>Hệ số tăng ca ngày nghỉ hằng tuần</t>
  </si>
  <si>
    <t>Hệ số tăng ca ngày lễ</t>
  </si>
  <si>
    <t>BHXH người lao động</t>
  </si>
  <si>
    <t>Danh sách ngày lễ (dùng để tô màu bảng chấm ca)</t>
  </si>
  <si>
    <t>BHYT người lao động</t>
  </si>
  <si>
    <t>Ngày</t>
  </si>
  <si>
    <t>Tên ngày lễ</t>
  </si>
  <si>
    <t>BHTN người lao động</t>
  </si>
  <si>
    <t>Tết Dương lịch</t>
  </si>
  <si>
    <t>Trần lương đóng BHXH/BHYT (đ/tháng)</t>
  </si>
  <si>
    <t>Ngày Giải phóng miền Nam</t>
  </si>
  <si>
    <t>Giảm trừ gia cảnh bản thân (đ/tháng)</t>
  </si>
  <si>
    <t>Quốc tế Lao động</t>
  </si>
  <si>
    <t>Giảm trừ mỗi người phụ thuộc (đ/tháng)</t>
  </si>
  <si>
    <t>Quốc khánh (nghỉ liền kề)</t>
  </si>
  <si>
    <t>Miễn thuế tiền ăn ca tối đa (đ/tháng)</t>
  </si>
  <si>
    <t>Quốc khánh</t>
  </si>
  <si>
    <t>Áp dụng miễn thuế làm đêm / tăng ca (1 = Có, 0 = Không)</t>
  </si>
  <si>
    <t>Lương tối thiểu vùng I — tham chiếu (đ/tháng)</t>
  </si>
  <si>
    <t>Tổng tỷ lệ bảo hiểm người lao động</t>
  </si>
  <si>
    <t>DANH SÁCH NHÂN VIÊN BẢO VỆ</t>
  </si>
  <si>
    <t>Khai báo bảo vệ và mức lương · tối đa 50 người</t>
  </si>
  <si>
    <t>Lương cơ bản (đ/tháng)</t>
  </si>
  <si>
    <t>Phụ cấp chức vụ (đ/tháng)</t>
  </si>
  <si>
    <t>Phụ cấp ăn ca (đ/ca)</t>
  </si>
  <si>
    <t>Lương đóng BH (đ/tháng)</t>
  </si>
  <si>
    <t>Số người phụ thuộc</t>
  </si>
  <si>
    <t>NV001</t>
  </si>
  <si>
    <t>Nguyễn Văn Hải</t>
  </si>
  <si>
    <t>Cổng chính</t>
  </si>
  <si>
    <t>Tổ trưởng</t>
  </si>
  <si>
    <t>NV002</t>
  </si>
  <si>
    <t>Trần Quốc Bảo</t>
  </si>
  <si>
    <t>Bảo vệ</t>
  </si>
  <si>
    <t>NV003</t>
  </si>
  <si>
    <t>Lê Văn Tuấn</t>
  </si>
  <si>
    <t>Cổng phụ</t>
  </si>
  <si>
    <t>NV004</t>
  </si>
  <si>
    <t>Phạm Minh Đức</t>
  </si>
  <si>
    <t>Kho hàng</t>
  </si>
  <si>
    <t>NV005</t>
  </si>
  <si>
    <t>Hoàng Văn Nam</t>
  </si>
  <si>
    <t>NV006</t>
  </si>
  <si>
    <t>Vũ Đình Khoa</t>
  </si>
  <si>
    <t>NV007</t>
  </si>
  <si>
    <t>Đặng Văn Long</t>
  </si>
  <si>
    <t>NV008</t>
  </si>
  <si>
    <t>Bùi Văn Thành</t>
  </si>
  <si>
    <t>Tuần tra</t>
  </si>
  <si>
    <t>Đội phó</t>
  </si>
  <si>
    <t>Ca ngày (N)</t>
  </si>
  <si>
    <t>Ca đêm (Đ)</t>
  </si>
  <si>
    <t>Nghỉ phép (P)</t>
  </si>
  <si>
    <t>Nghỉ lễ (L)</t>
  </si>
  <si>
    <t>Nghỉ ốm (O)</t>
  </si>
  <si>
    <t>Không lương (V)</t>
  </si>
  <si>
    <t>Vắng KP (K)</t>
  </si>
  <si>
    <t>Giờ làm đêm</t>
  </si>
  <si>
    <t>Lương cơ bản thấp hơn lương tối thiểu vùng (CẤU HÌNH) sẽ hiện chữ đỏ.</t>
  </si>
  <si>
    <t>SỐ NGƯỜI TRỰC / TỔNG CỘNG</t>
  </si>
  <si>
    <t>Trong đó ca đêm</t>
  </si>
  <si>
    <t>Chú giải:</t>
  </si>
  <si>
    <t>Ca ngày</t>
  </si>
  <si>
    <t>Ca đêm</t>
  </si>
  <si>
    <t>Phép</t>
  </si>
  <si>
    <t>Lễ</t>
  </si>
  <si>
    <t>Ốm</t>
  </si>
  <si>
    <t>Không lương</t>
  </si>
  <si>
    <t>Vắng KP</t>
  </si>
  <si>
    <t>Ô để trống = ngày nghỉ luân phiên (không tính công). Cột Chủ nhật tô xám, ngày lễ tô cam.</t>
  </si>
  <si>
    <t>TỔNG CỘNG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</si>
</sst>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#,##0;\-#,##0;\-"/>
    <numFmt numFmtId="165" formatCode="d"/>
    <numFmt numFmtId="166" formatCode="0.0"/>
    <numFmt numFmtId="167" formatCode="0.0%"/>
    <numFmt numFmtId="168" formatCode="dd/mm/yyyy"/>
    <numFmt numFmtId="169" formatCode="#,##0.0;\-#,##0.0;\-"/>
  </numFmts>
  <fonts count="17">
    <font>
      <sz val="10.0"/>
      <color rgb="FF374151"/>
      <name val="Inter Tight"/>
      <scheme val="minor"/>
    </font>
    <font>
      <b/>
      <sz val="18.0"/>
      <color rgb="FFFFFFFF"/>
      <name val="Inter Tight"/>
    </font>
    <font/>
    <font>
      <i/>
      <sz val="10.0"/>
      <color rgb="FFFFFFFF"/>
      <name val="Inter Tight"/>
    </font>
    <font>
      <b/>
      <sz val="11.0"/>
      <color rgb="FFFFFFFF"/>
      <name val="Inter Tight"/>
    </font>
    <font>
      <b/>
      <sz val="10.0"/>
      <color rgb="FF374151"/>
      <name val="Inter Tight"/>
    </font>
    <font>
      <sz val="11.0"/>
      <color theme="1"/>
      <name val="Calibri"/>
    </font>
    <font>
      <sz val="10.0"/>
      <color rgb="FF374151"/>
      <name val="Inter Tight"/>
    </font>
    <font>
      <b/>
      <sz val="11.0"/>
      <color rgb="FF374151"/>
      <name val="Inter Tight"/>
    </font>
    <font>
      <b/>
      <sz val="11.0"/>
      <color rgb="FFC2410C"/>
      <name val="Inter Tight"/>
    </font>
    <font>
      <i/>
      <sz val="9.0"/>
      <color rgb="FF9CA3AF"/>
      <name val="Inter Tight"/>
    </font>
    <font>
      <b/>
      <sz val="9.0"/>
      <color rgb="FFFFFFFF"/>
      <name val="Inter Tight"/>
    </font>
    <font>
      <b/>
      <sz val="10.0"/>
      <color rgb="FFC2410C"/>
      <name val="Inter Tight"/>
    </font>
    <font>
      <b/>
      <sz val="10.0"/>
      <color rgb="FFFFFFFF"/>
      <name val="Inter Tight"/>
    </font>
    <font>
      <b/>
      <sz val="16.0"/>
      <color rgb="FFC2410C"/>
      <name val="Inter Tight"/>
    </font>
    <font>
      <sz val="9.0"/>
      <color rgb="FF374151"/>
      <name val="Inter Tight"/>
    </font>
    <font>
      <b/>
      <sz val="10.0"/>
      <color rgb="FFDC2626"/>
      <name val="Inter Tight"/>
    </font>
  </fonts>
  <fills count="9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74151"/>
        <bgColor rgb="FF374151"/>
      </patternFill>
    </fill>
    <fill>
      <patternFill patternType="solid">
        <fgColor rgb="FFFFEDD5"/>
        <bgColor rgb="FFFFEDD5"/>
      </patternFill>
    </fill>
    <fill>
      <patternFill patternType="solid">
        <fgColor rgb="FFF3F4F6"/>
        <bgColor rgb="FFF3F4F6"/>
      </patternFill>
    </fill>
    <fill>
      <patternFill patternType="solid">
        <fgColor rgb="FFE5E7EB"/>
        <bgColor rgb="FFE5E7EB"/>
      </patternFill>
    </fill>
    <fill>
      <patternFill patternType="solid">
        <fgColor rgb="FFFFFFFF"/>
        <bgColor rgb="FFFFFFFF"/>
      </patternFill>
    </fill>
    <fill>
      <patternFill patternType="solid">
        <fgColor rgb="FFFEE2E2"/>
        <bgColor rgb="FFFEE2E2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right/>
      <top style="thin">
        <color rgb="FFE5E7EB"/>
      </top>
      <bottom style="thin">
        <color rgb="FFE5E7EB"/>
      </bottom>
    </border>
    <border>
      <left/>
      <right/>
      <top/>
    </border>
    <border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  <border>
      <left/>
      <right/>
      <bottom/>
    </border>
  </borders>
  <cellStyleXfs count="1">
    <xf borderId="0" fillId="0" fontId="0" numFmtId="0" applyAlignment="1" applyFont="1"/>
  </cellStyleXfs>
  <cellXfs count="7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2" fontId="1" numFmtId="0" xfId="0" applyAlignment="1" applyBorder="1" applyFill="1" applyFont="1">
      <alignment horizontal="left" shrinkToFit="0" vertical="center" wrapText="0"/>
    </xf>
    <xf borderId="2" fillId="2" fontId="1" numFmtId="0" xfId="0" applyAlignment="1" applyBorder="1" applyFill="1" applyFont="1">
      <alignment horizontal="center" readingOrder="0" shrinkToFit="0" vertical="center" wrapText="0"/>
    </xf>
    <xf borderId="2" fillId="0" fontId="2" numFmtId="0" xfId="0" applyBorder="1" applyFont="1"/>
    <xf borderId="3" fillId="0" fontId="2" numFmtId="0" xfId="0" applyBorder="1" applyFont="1"/>
    <xf borderId="3" fillId="2" fontId="1" numFmtId="0" xfId="0" applyAlignment="1" applyBorder="1" applyFill="1" applyFont="1">
      <alignment horizontal="left" shrinkToFit="0" vertical="center" wrapText="0"/>
    </xf>
    <xf borderId="1" fillId="3" fontId="3" numFmtId="0" xfId="0" applyAlignment="1" applyBorder="1" applyFill="1" applyFont="1">
      <alignment horizontal="left" shrinkToFit="0" vertical="center" wrapText="0"/>
    </xf>
    <xf borderId="4" fillId="2" fontId="4" numFmtId="0" xfId="0" applyAlignment="1" applyBorder="1" applyFill="1" applyFont="1">
      <alignment shrinkToFit="0" vertical="bottom" wrapText="0"/>
    </xf>
    <xf borderId="0" fillId="0" fontId="5" numFmtId="0" xfId="0" applyAlignment="1" applyFont="1">
      <alignment horizontal="right" shrinkToFit="0" vertical="center" wrapText="0"/>
    </xf>
    <xf borderId="4" fillId="2" fontId="6" numFmtId="0" xfId="0" applyAlignment="1" applyBorder="1" applyFill="1" applyFont="1">
      <alignment shrinkToFit="0" vertical="bottom" wrapText="0"/>
    </xf>
    <xf borderId="5" fillId="4" fontId="5" numFmtId="0" xfId="0" applyAlignment="1" applyBorder="1" applyFill="1" applyFont="1">
      <alignment shrinkToFit="0" vertical="top" wrapText="1"/>
    </xf>
    <xf borderId="5" fillId="0" fontId="7" numFmtId="0" xfId="0" applyAlignment="1" applyBorder="1" applyFont="1">
      <alignment shrinkToFit="0" vertical="top" wrapText="1"/>
    </xf>
    <xf borderId="5" fillId="5" fontId="5" numFmtId="0" xfId="0" applyAlignment="1" applyBorder="1" applyFill="1" applyFont="1">
      <alignment shrinkToFit="0" vertical="top" wrapText="1"/>
    </xf>
    <xf borderId="5" fillId="6" fontId="8" numFmtId="1" xfId="0" applyAlignment="1" applyBorder="1" applyFill="1" applyFont="1" applyNumberFormat="1">
      <alignment horizontal="center" shrinkToFit="0" vertical="center" wrapText="1"/>
    </xf>
    <xf borderId="5" fillId="4" fontId="9" numFmtId="1" xfId="0" applyAlignment="1" applyBorder="1" applyFill="1" applyFont="1" applyNumberFormat="1">
      <alignment horizontal="center" shrinkToFit="0" vertical="center" wrapText="1"/>
    </xf>
    <xf borderId="5" fillId="0" fontId="5" numFmtId="0" xfId="0" applyAlignment="1" applyBorder="1" applyFont="1">
      <alignment shrinkToFit="0" vertical="top" wrapText="1"/>
    </xf>
    <xf borderId="6" fillId="4" fontId="9" numFmtId="1" xfId="0" applyAlignment="1" applyBorder="1" applyFill="1" applyFont="1" applyNumberFormat="1">
      <alignment horizontal="center" shrinkToFit="0" vertical="center" wrapText="1"/>
    </xf>
    <xf borderId="0" fillId="0" fontId="10" numFmtId="0" xfId="0" applyAlignment="1" applyFont="1">
      <alignment shrinkToFit="0" vertical="bottom" wrapText="0"/>
    </xf>
    <xf borderId="7" fillId="0" fontId="2" numFmtId="0" xfId="0" applyBorder="1" applyFont="1"/>
    <xf borderId="1" fillId="2" fontId="11" numFmtId="0" xfId="0" applyAlignment="1" applyBorder="1" applyFill="1" applyFont="1">
      <alignment horizontal="center" shrinkToFit="0" vertical="center" wrapText="1"/>
    </xf>
    <xf borderId="0" fillId="0" fontId="12" numFmtId="0" xfId="0" applyAlignment="1" applyFont="1">
      <alignment shrinkToFit="0" vertical="bottom" wrapText="0"/>
    </xf>
    <xf borderId="5" fillId="3" fontId="13" numFmtId="0" xfId="0" applyAlignment="1" applyBorder="1" applyFill="1" applyFont="1">
      <alignment horizontal="center" shrinkToFit="0" vertical="center" wrapText="1"/>
    </xf>
    <xf borderId="1" fillId="6" fontId="8" numFmtId="0" xfId="0" applyAlignment="1" applyBorder="1" applyFill="1" applyFont="1">
      <alignment horizontal="center" shrinkToFit="0" vertical="center" wrapText="1"/>
    </xf>
    <xf borderId="1" fillId="4" fontId="14" numFmtId="3" xfId="0" applyAlignment="1" applyBorder="1" applyFill="1" applyFont="1" applyNumberFormat="1">
      <alignment horizontal="center" shrinkToFit="0" vertical="center" wrapText="1"/>
    </xf>
    <xf borderId="5" fillId="0" fontId="5" numFmtId="0" xfId="0" applyAlignment="1" applyBorder="1" applyFont="1">
      <alignment horizontal="left" shrinkToFit="0" vertical="center" wrapText="0"/>
    </xf>
    <xf borderId="8" fillId="3" fontId="13" numFmtId="0" xfId="0" applyAlignment="1" applyBorder="1" applyFill="1" applyFont="1">
      <alignment horizontal="center" shrinkToFit="0" vertical="center" wrapText="1"/>
    </xf>
    <xf borderId="5" fillId="4" fontId="12" numFmtId="1" xfId="0" applyAlignment="1" applyBorder="1" applyFill="1" applyFont="1" applyNumberFormat="1">
      <alignment horizontal="center" shrinkToFit="0" vertical="center" wrapText="1"/>
    </xf>
    <xf borderId="5" fillId="5" fontId="7" numFmtId="0" xfId="0" applyAlignment="1" applyBorder="1" applyFill="1" applyFont="1">
      <alignment horizontal="center" shrinkToFit="0" vertical="center" wrapText="1"/>
    </xf>
    <xf borderId="1" fillId="4" fontId="14" numFmtId="164" xfId="0" applyAlignment="1" applyBorder="1" applyFill="1" applyFont="1" applyNumberFormat="1">
      <alignment horizontal="center" shrinkToFit="0" vertical="center" wrapText="1"/>
    </xf>
    <xf borderId="5" fillId="4" fontId="7" numFmtId="164" xfId="0" applyAlignment="1" applyBorder="1" applyFill="1" applyFont="1" applyNumberFormat="1">
      <alignment horizontal="center" shrinkToFit="0" vertical="center" wrapText="1"/>
    </xf>
    <xf borderId="5" fillId="4" fontId="7" numFmtId="9" xfId="0" applyAlignment="1" applyBorder="1" applyFill="1" applyFont="1" applyNumberFormat="1">
      <alignment horizontal="center" shrinkToFit="0" vertical="center" wrapText="1"/>
    </xf>
    <xf borderId="4" fillId="3" fontId="13" numFmtId="165" xfId="0" applyAlignment="1" applyBorder="1" applyFill="1" applyFont="1" applyNumberFormat="1">
      <alignment horizontal="center" shrinkToFit="0" vertical="center" wrapText="1"/>
    </xf>
    <xf borderId="5" fillId="5" fontId="7" numFmtId="9" xfId="0" applyAlignment="1" applyBorder="1" applyFill="1" applyFont="1" applyNumberFormat="1">
      <alignment horizontal="center" shrinkToFit="0" vertical="center" wrapText="1"/>
    </xf>
    <xf borderId="5" fillId="4" fontId="12" numFmtId="166" xfId="0" applyAlignment="1" applyBorder="1" applyFill="1" applyFont="1" applyNumberFormat="1">
      <alignment horizontal="center" shrinkToFit="0" vertical="center" wrapText="1"/>
    </xf>
    <xf borderId="5" fillId="4" fontId="12" numFmtId="9" xfId="0" applyAlignment="1" applyBorder="1" applyFill="1" applyFont="1" applyNumberFormat="1">
      <alignment horizontal="center" shrinkToFit="0" vertical="center" wrapText="1"/>
    </xf>
    <xf borderId="5" fillId="5" fontId="7" numFmtId="0" xfId="0" applyAlignment="1" applyBorder="1" applyFill="1" applyFont="1">
      <alignment horizontal="left" shrinkToFit="0" vertical="center" wrapText="0"/>
    </xf>
    <xf borderId="5" fillId="4" fontId="12" numFmtId="167" xfId="0" applyAlignment="1" applyBorder="1" applyFill="1" applyFont="1" applyNumberFormat="1">
      <alignment horizontal="center" shrinkToFit="0" vertical="center" wrapText="1"/>
    </xf>
    <xf borderId="6" fillId="3" fontId="13" numFmtId="0" xfId="0" applyAlignment="1" applyBorder="1" applyFill="1" applyFont="1">
      <alignment horizontal="center" shrinkToFit="0" vertical="center" wrapText="1"/>
    </xf>
    <xf borderId="9" fillId="0" fontId="2" numFmtId="0" xfId="0" applyBorder="1" applyFont="1"/>
    <xf borderId="5" fillId="5" fontId="7" numFmtId="164" xfId="0" applyAlignment="1" applyBorder="1" applyFill="1" applyFont="1" applyNumberFormat="1">
      <alignment shrinkToFit="0" vertical="bottom" wrapText="0"/>
    </xf>
    <xf borderId="5" fillId="4" fontId="7" numFmtId="168" xfId="0" applyAlignment="1" applyBorder="1" applyFill="1" applyFont="1" applyNumberFormat="1">
      <alignment horizontal="center" shrinkToFit="0" vertical="center" wrapText="1"/>
    </xf>
    <xf borderId="6" fillId="4" fontId="7" numFmtId="0" xfId="0" applyAlignment="1" applyBorder="1" applyFill="1" applyFont="1">
      <alignment horizontal="left" shrinkToFit="0" vertical="center" wrapText="0"/>
    </xf>
    <xf borderId="10" fillId="0" fontId="2" numFmtId="0" xfId="0" applyBorder="1" applyFont="1"/>
    <xf borderId="5" fillId="4" fontId="12" numFmtId="164" xfId="0" applyAlignment="1" applyBorder="1" applyFill="1" applyFont="1" applyNumberFormat="1">
      <alignment horizontal="center" shrinkToFit="0" vertical="center" wrapText="1"/>
    </xf>
    <xf borderId="5" fillId="5" fontId="7" numFmtId="169" xfId="0" applyAlignment="1" applyBorder="1" applyFill="1" applyFont="1" applyNumberFormat="1">
      <alignment horizontal="center" shrinkToFit="0" vertical="center" wrapText="1"/>
    </xf>
    <xf borderId="5" fillId="5" fontId="7" numFmtId="164" xfId="0" applyAlignment="1" applyBorder="1" applyFill="1" applyFont="1" applyNumberFormat="1">
      <alignment horizontal="center" shrinkToFit="0" vertical="center" wrapText="1"/>
    </xf>
    <xf borderId="5" fillId="5" fontId="5" numFmtId="167" xfId="0" applyAlignment="1" applyBorder="1" applyFill="1" applyFont="1" applyNumberFormat="1">
      <alignment horizontal="center" shrinkToFit="0" vertical="center" wrapText="1"/>
    </xf>
    <xf borderId="5" fillId="4" fontId="7" numFmtId="164" xfId="0" applyAlignment="1" applyBorder="1" applyFill="1" applyFont="1" applyNumberFormat="1">
      <alignment shrinkToFit="0" vertical="bottom" wrapText="0"/>
    </xf>
    <xf borderId="5" fillId="4" fontId="7" numFmtId="169" xfId="0" applyAlignment="1" applyBorder="1" applyFill="1" applyFont="1" applyNumberFormat="1">
      <alignment horizontal="center" shrinkToFit="0" vertical="center" wrapText="1"/>
    </xf>
    <xf borderId="5" fillId="5" fontId="12" numFmtId="164" xfId="0" applyAlignment="1" applyBorder="1" applyFill="1" applyFont="1" applyNumberFormat="1">
      <alignment shrinkToFit="0" vertical="bottom" wrapText="0"/>
    </xf>
    <xf borderId="5" fillId="7" fontId="7" numFmtId="0" xfId="0" applyAlignment="1" applyBorder="1" applyFill="1" applyFont="1">
      <alignment shrinkToFit="0" vertical="bottom" wrapText="0"/>
    </xf>
    <xf borderId="5" fillId="4" fontId="7" numFmtId="0" xfId="0" applyAlignment="1" applyBorder="1" applyFill="1" applyFont="1">
      <alignment horizontal="left" shrinkToFit="0" vertical="center" wrapText="0"/>
    </xf>
    <xf borderId="5" fillId="4" fontId="7" numFmtId="1" xfId="0" applyAlignment="1" applyBorder="1" applyFill="1" applyFont="1" applyNumberFormat="1">
      <alignment horizontal="center" shrinkToFit="0" vertical="center" wrapText="1"/>
    </xf>
    <xf borderId="8" fillId="3" fontId="11" numFmtId="0" xfId="0" applyAlignment="1" applyBorder="1" applyFill="1" applyFont="1">
      <alignment horizontal="center" shrinkToFit="0" vertical="center" wrapText="1"/>
    </xf>
    <xf borderId="8" fillId="2" fontId="11" numFmtId="0" xfId="0" applyAlignment="1" applyBorder="1" applyFill="1" applyFont="1">
      <alignment horizontal="center" shrinkToFit="0" vertical="center" wrapText="1"/>
    </xf>
    <xf borderId="11" fillId="0" fontId="2" numFmtId="0" xfId="0" applyBorder="1" applyFont="1"/>
    <xf borderId="4" fillId="2" fontId="11" numFmtId="0" xfId="0" applyAlignment="1" applyBorder="1" applyFill="1" applyFont="1">
      <alignment horizontal="center" shrinkToFit="0" vertical="center" wrapText="1"/>
    </xf>
    <xf borderId="5" fillId="4" fontId="7" numFmtId="0" xfId="0" applyAlignment="1" applyBorder="1" applyFill="1" applyFont="1">
      <alignment horizontal="center" shrinkToFit="0" vertical="center" wrapText="1"/>
    </xf>
    <xf borderId="5" fillId="5" fontId="12" numFmtId="164" xfId="0" applyAlignment="1" applyBorder="1" applyFill="1" applyFont="1" applyNumberFormat="1">
      <alignment horizontal="center" shrinkToFit="0" vertical="center" wrapText="1"/>
    </xf>
    <xf borderId="6" fillId="2" fontId="13" numFmtId="164" xfId="0" applyAlignment="1" applyBorder="1" applyFill="1" applyFont="1" applyNumberFormat="1">
      <alignment horizontal="center" shrinkToFit="0" vertical="center" wrapText="1"/>
    </xf>
    <xf borderId="5" fillId="2" fontId="13" numFmtId="164" xfId="0" applyAlignment="1" applyBorder="1" applyFill="1" applyFont="1" applyNumberFormat="1">
      <alignment horizontal="center" shrinkToFit="0" vertical="center" wrapText="1"/>
    </xf>
    <xf borderId="5" fillId="2" fontId="13" numFmtId="169" xfId="0" applyAlignment="1" applyBorder="1" applyFill="1" applyFont="1" applyNumberFormat="1">
      <alignment horizontal="center" shrinkToFit="0" vertical="center" wrapText="1"/>
    </xf>
    <xf borderId="6" fillId="6" fontId="5" numFmtId="164" xfId="0" applyAlignment="1" applyBorder="1" applyFill="1" applyFont="1" applyNumberFormat="1">
      <alignment horizontal="center" shrinkToFit="0" vertical="center" wrapText="1"/>
    </xf>
    <xf borderId="5" fillId="6" fontId="5" numFmtId="164" xfId="0" applyAlignment="1" applyBorder="1" applyFill="1" applyFont="1" applyNumberFormat="1">
      <alignment horizontal="center" shrinkToFit="0" vertical="center" wrapText="1"/>
    </xf>
    <xf borderId="0" fillId="0" fontId="5" numFmtId="0" xfId="0" applyAlignment="1" applyFont="1">
      <alignment shrinkToFit="0" vertical="bottom" wrapText="0"/>
    </xf>
    <xf borderId="5" fillId="7" fontId="12" numFmtId="0" xfId="0" applyAlignment="1" applyBorder="1" applyFill="1" applyFont="1">
      <alignment horizontal="center" shrinkToFit="0" vertical="center" wrapText="1"/>
    </xf>
    <xf borderId="0" fillId="0" fontId="15" numFmtId="0" xfId="0" applyAlignment="1" applyFont="1">
      <alignment horizontal="left" shrinkToFit="0" vertical="center" wrapText="0"/>
    </xf>
    <xf borderId="5" fillId="6" fontId="5" numFmtId="0" xfId="0" applyAlignment="1" applyBorder="1" applyFill="1" applyFont="1">
      <alignment horizontal="center" shrinkToFit="0" vertical="center" wrapText="1"/>
    </xf>
    <xf borderId="5" fillId="8" fontId="16" numFmtId="0" xfId="0" applyAlignment="1" applyBorder="1" applyFill="1" applyFont="1">
      <alignment horizontal="center" shrinkToFit="0" vertical="center" wrapText="1"/>
    </xf>
    <xf borderId="5" fillId="2" fontId="13" numFmtId="164" xfId="0" applyAlignment="1" applyBorder="1" applyFill="1" applyFont="1" applyNumberFormat="1">
      <alignment horizontal="right" shrinkToFit="0" vertical="center" wrapText="0"/>
    </xf>
    <xf borderId="5" fillId="2" fontId="13" numFmtId="169" xfId="0" applyAlignment="1" applyBorder="1" applyFill="1" applyFont="1" applyNumberFormat="1">
      <alignment horizontal="right" shrinkToFit="0" vertical="center" wrapText="0"/>
    </xf>
  </cellXfs>
  <cellStyles count="1">
    <cellStyle xfId="0" name="Normal" builtinId="0"/>
  </cellStyles>
  <dxfs count="6">
    <dxf>
      <font>
        <b/>
        <color rgb="FFDC2626"/>
        <name val="Inter Tight"/>
      </font>
      <fill>
        <patternFill patternType="solid">
          <fgColor rgb="FFFEE2E2"/>
          <bgColor rgb="FFFEE2E2"/>
        </patternFill>
      </fill>
      <border/>
    </dxf>
    <dxf>
      <font>
        <b/>
        <color rgb="FFFFFFFF"/>
        <name val="Inter Tight"/>
      </font>
      <fill>
        <patternFill patternType="solid">
          <fgColor rgb="FF374151"/>
          <bgColor rgb="FF374151"/>
        </patternFill>
      </fill>
      <border/>
    </dxf>
    <dxf>
      <font>
        <b/>
        <color rgb="FFC2410C"/>
        <name val="Inter Tight"/>
      </font>
      <fill>
        <patternFill patternType="solid">
          <fgColor rgb="FFFFFFFF"/>
          <bgColor rgb="FFFFFFFF"/>
        </patternFill>
      </fill>
      <border/>
    </dxf>
    <dxf>
      <font>
        <b/>
        <color rgb="FF374151"/>
        <name val="Inter Tight"/>
      </font>
      <fill>
        <patternFill patternType="solid">
          <fgColor rgb="FFE5E7EB"/>
          <bgColor rgb="FFE5E7EB"/>
        </patternFill>
      </fill>
      <border/>
    </dxf>
    <dxf>
      <font/>
      <fill>
        <patternFill patternType="solid">
          <fgColor rgb="FFE5E7EB"/>
          <bgColor rgb="FFE5E7EB"/>
        </patternFill>
      </fill>
      <border/>
    </dxf>
    <dxf>
      <font>
        <b/>
        <color rgb="FFDC2626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8.0"/>
    <col customWidth="1" min="3" max="3" width="78.0"/>
    <col customWidth="1" min="4" max="4" width="4.0"/>
    <col customWidth="1" min="5" max="26" width="8.57"/>
  </cols>
  <sheetData>
    <row r="1" ht="33.75" customHeight="1">
      <c r="A1" s="1" t="s">
        <v>0</v>
      </c>
      <c r="B1" s="4"/>
      <c r="C1" s="4"/>
      <c r="D1" s="5"/>
    </row>
    <row r="2" ht="19.5" customHeight="1">
      <c r="A2" s="7" t="s">
        <v>3</v>
      </c>
      <c r="B2" s="4"/>
      <c r="C2" s="4"/>
      <c r="D2" s="5"/>
    </row>
    <row r="4" ht="21.75" customHeight="1">
      <c r="B4" s="8" t="s">
        <v>5</v>
      </c>
      <c r="C4" s="10"/>
    </row>
    <row r="5" ht="19.5" customHeight="1">
      <c r="B5" s="11" t="s">
        <v>8</v>
      </c>
      <c r="C5" s="12" t="s">
        <v>9</v>
      </c>
    </row>
    <row r="6" ht="19.5" customHeight="1">
      <c r="B6" s="13" t="s">
        <v>11</v>
      </c>
      <c r="C6" s="12" t="s">
        <v>12</v>
      </c>
    </row>
    <row r="8" ht="21.75" customHeight="1">
      <c r="B8" s="8" t="s">
        <v>13</v>
      </c>
      <c r="C8" s="10"/>
    </row>
    <row r="9" ht="36.0" customHeight="1">
      <c r="B9" s="16" t="s">
        <v>15</v>
      </c>
      <c r="C9" s="12" t="s">
        <v>16</v>
      </c>
    </row>
    <row r="10" ht="36.0" customHeight="1">
      <c r="B10" s="16" t="s">
        <v>17</v>
      </c>
      <c r="C10" s="12" t="s">
        <v>18</v>
      </c>
    </row>
    <row r="11" ht="36.0" customHeight="1">
      <c r="B11" s="16" t="s">
        <v>19</v>
      </c>
      <c r="C11" s="12" t="s">
        <v>21</v>
      </c>
    </row>
    <row r="12" ht="36.0" customHeight="1">
      <c r="B12" s="16" t="s">
        <v>22</v>
      </c>
      <c r="C12" s="12" t="s">
        <v>23</v>
      </c>
    </row>
    <row r="14" ht="21.75" customHeight="1">
      <c r="B14" s="8" t="s">
        <v>24</v>
      </c>
      <c r="C14" s="10"/>
    </row>
    <row r="15" ht="19.5" customHeight="1">
      <c r="B15" s="16" t="s">
        <v>28</v>
      </c>
      <c r="C15" s="12" t="s">
        <v>29</v>
      </c>
    </row>
    <row r="16" ht="36.0" customHeight="1">
      <c r="B16" s="16" t="s">
        <v>30</v>
      </c>
      <c r="C16" s="12" t="s">
        <v>31</v>
      </c>
    </row>
    <row r="17" ht="19.5" customHeight="1">
      <c r="B17" s="16" t="s">
        <v>32</v>
      </c>
      <c r="C17" s="12" t="s">
        <v>33</v>
      </c>
    </row>
    <row r="18" ht="19.5" customHeight="1">
      <c r="B18" s="16" t="s">
        <v>34</v>
      </c>
      <c r="C18" s="12" t="s">
        <v>36</v>
      </c>
    </row>
    <row r="19" ht="19.5" customHeight="1">
      <c r="B19" s="16" t="s">
        <v>37</v>
      </c>
      <c r="C19" s="12" t="s">
        <v>38</v>
      </c>
    </row>
    <row r="20" ht="19.5" customHeight="1">
      <c r="B20" s="16" t="s">
        <v>39</v>
      </c>
      <c r="C20" s="12" t="s">
        <v>40</v>
      </c>
    </row>
    <row r="21" ht="19.5" customHeight="1">
      <c r="B21" s="16" t="s">
        <v>41</v>
      </c>
      <c r="C21" s="12" t="s">
        <v>42</v>
      </c>
    </row>
    <row r="22" ht="15.75" customHeight="1"/>
    <row r="23" ht="21.75" customHeight="1">
      <c r="B23" s="8" t="s">
        <v>45</v>
      </c>
      <c r="C23" s="10"/>
    </row>
    <row r="24" ht="19.5" customHeight="1">
      <c r="B24" s="16" t="s">
        <v>46</v>
      </c>
      <c r="C24" s="12" t="s">
        <v>47</v>
      </c>
    </row>
    <row r="25" ht="36.0" customHeight="1">
      <c r="B25" s="16" t="s">
        <v>49</v>
      </c>
      <c r="C25" s="12" t="s">
        <v>50</v>
      </c>
    </row>
    <row r="26" ht="19.5" customHeight="1">
      <c r="B26" s="16" t="s">
        <v>51</v>
      </c>
      <c r="C26" s="12" t="s">
        <v>52</v>
      </c>
    </row>
    <row r="27" ht="19.5" customHeight="1">
      <c r="B27" s="16" t="s">
        <v>54</v>
      </c>
      <c r="C27" s="12" t="s">
        <v>55</v>
      </c>
    </row>
    <row r="28" ht="36.0" customHeight="1">
      <c r="B28" s="16" t="s">
        <v>57</v>
      </c>
      <c r="C28" s="12" t="s">
        <v>58</v>
      </c>
    </row>
    <row r="29" ht="19.5" customHeight="1">
      <c r="B29" s="16" t="s">
        <v>59</v>
      </c>
      <c r="C29" s="12" t="s">
        <v>60</v>
      </c>
    </row>
    <row r="30" ht="36.0" customHeight="1">
      <c r="B30" s="16" t="s">
        <v>61</v>
      </c>
      <c r="C30" s="12" t="s">
        <v>62</v>
      </c>
    </row>
    <row r="31" ht="19.5" customHeight="1">
      <c r="B31" s="16" t="s">
        <v>63</v>
      </c>
      <c r="C31" s="12" t="s">
        <v>65</v>
      </c>
    </row>
    <row r="32" ht="15.75" customHeight="1"/>
    <row r="33" ht="21.75" customHeight="1">
      <c r="B33" s="8" t="s">
        <v>68</v>
      </c>
      <c r="C33" s="10"/>
    </row>
    <row r="34" ht="36.0" customHeight="1">
      <c r="B34" s="16" t="s">
        <v>70</v>
      </c>
      <c r="C34" s="12" t="s">
        <v>72</v>
      </c>
    </row>
    <row r="35" ht="51.75" customHeight="1">
      <c r="B35" s="16" t="s">
        <v>73</v>
      </c>
      <c r="C35" s="12" t="s">
        <v>74</v>
      </c>
    </row>
    <row r="36" ht="51.75" customHeight="1">
      <c r="B36" s="16" t="s">
        <v>61</v>
      </c>
      <c r="C36" s="12" t="s">
        <v>77</v>
      </c>
    </row>
    <row r="37" ht="36.0" customHeight="1">
      <c r="B37" s="16" t="s">
        <v>78</v>
      </c>
      <c r="C37" s="12" t="s">
        <v>79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3.0" ySplit="9.0" topLeftCell="D10" activePane="bottomRight" state="frozen"/>
      <selection activeCell="D1" sqref="D1" pane="topRight"/>
      <selection activeCell="A10" sqref="A10" pane="bottomLeft"/>
      <selection activeCell="D10" sqref="D10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13.0"/>
    <col customWidth="1" min="5" max="5" width="14.0"/>
    <col customWidth="1" min="6" max="7" width="11.0"/>
    <col customWidth="1" min="8" max="8" width="8.0"/>
    <col customWidth="1" min="9" max="9" width="14.0"/>
    <col customWidth="1" min="10" max="13" width="13.0"/>
    <col customWidth="1" min="14" max="16" width="9.0"/>
    <col customWidth="1" min="17" max="17" width="13.0"/>
    <col customWidth="1" min="18" max="18" width="12.0"/>
    <col customWidth="1" min="19" max="19" width="15.0"/>
    <col customWidth="1" min="20" max="20" width="13.0"/>
    <col customWidth="1" min="21" max="22" width="14.0"/>
    <col customWidth="1" min="23" max="25" width="12.0"/>
    <col customWidth="1" min="26" max="26" width="16.0"/>
    <col customWidth="1" min="27" max="27" width="14.0"/>
  </cols>
  <sheetData>
    <row r="1" ht="33.75" customHeight="1">
      <c r="A1" s="1"/>
      <c r="B1" s="2"/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2"/>
      <c r="U1" s="2"/>
      <c r="V1" s="2"/>
      <c r="W1" s="2"/>
      <c r="X1" s="2"/>
      <c r="Y1" s="2"/>
      <c r="Z1" s="2"/>
      <c r="AA1" s="6"/>
    </row>
    <row r="2" ht="19.5" customHeight="1">
      <c r="A2" s="7" t="s">
        <v>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4">
      <c r="B4" s="9" t="s">
        <v>7</v>
      </c>
      <c r="C4" s="14">
        <f>'BẢNG CHẤM CA'!C4</f>
        <v>10</v>
      </c>
      <c r="D4" s="9" t="s">
        <v>14</v>
      </c>
      <c r="E4" s="14">
        <f>'BẢNG CHẤM CA'!E4</f>
        <v>2026</v>
      </c>
      <c r="G4" s="18" t="s">
        <v>20</v>
      </c>
    </row>
    <row r="6" ht="19.5" customHeight="1">
      <c r="A6" s="20" t="s">
        <v>26</v>
      </c>
      <c r="B6" s="4"/>
      <c r="C6" s="5"/>
      <c r="D6" s="20" t="s">
        <v>35</v>
      </c>
      <c r="E6" s="4"/>
      <c r="F6" s="4"/>
      <c r="G6" s="5"/>
      <c r="H6" s="20" t="s">
        <v>44</v>
      </c>
      <c r="I6" s="4"/>
      <c r="J6" s="4"/>
      <c r="K6" s="5"/>
      <c r="L6" s="20" t="s">
        <v>48</v>
      </c>
      <c r="M6" s="4"/>
      <c r="N6" s="4"/>
      <c r="O6" s="4"/>
      <c r="P6" s="5"/>
      <c r="Q6" s="20" t="s">
        <v>53</v>
      </c>
      <c r="R6" s="4"/>
      <c r="S6" s="5"/>
    </row>
    <row r="7" ht="31.5" customHeight="1">
      <c r="A7" s="24">
        <f>COUNTIF(B10:B59,"?*")</f>
        <v>8</v>
      </c>
      <c r="B7" s="4"/>
      <c r="C7" s="5"/>
      <c r="D7" s="29">
        <f>S60</f>
        <v>79494038</v>
      </c>
      <c r="E7" s="4"/>
      <c r="F7" s="4"/>
      <c r="G7" s="5"/>
      <c r="H7" s="29">
        <f>T60</f>
        <v>5964000</v>
      </c>
      <c r="I7" s="4"/>
      <c r="J7" s="4"/>
      <c r="K7" s="5"/>
      <c r="L7" s="29">
        <f>W60</f>
        <v>0</v>
      </c>
      <c r="M7" s="4"/>
      <c r="N7" s="4"/>
      <c r="O7" s="4"/>
      <c r="P7" s="5"/>
      <c r="Q7" s="29">
        <f>Z60</f>
        <v>71880038</v>
      </c>
      <c r="R7" s="4"/>
      <c r="S7" s="5"/>
    </row>
    <row r="9" ht="48.0" customHeight="1">
      <c r="A9" s="22" t="s">
        <v>76</v>
      </c>
      <c r="B9" s="22" t="s">
        <v>80</v>
      </c>
      <c r="C9" s="22" t="s">
        <v>81</v>
      </c>
      <c r="D9" s="22" t="s">
        <v>83</v>
      </c>
      <c r="E9" s="22" t="s">
        <v>84</v>
      </c>
      <c r="F9" s="22" t="s">
        <v>85</v>
      </c>
      <c r="G9" s="22" t="s">
        <v>86</v>
      </c>
      <c r="H9" s="22" t="s">
        <v>87</v>
      </c>
      <c r="I9" s="22" t="s">
        <v>89</v>
      </c>
      <c r="J9" s="22" t="s">
        <v>90</v>
      </c>
      <c r="K9" s="22" t="s">
        <v>91</v>
      </c>
      <c r="L9" s="22" t="s">
        <v>92</v>
      </c>
      <c r="M9" s="22" t="s">
        <v>93</v>
      </c>
      <c r="N9" s="22" t="s">
        <v>94</v>
      </c>
      <c r="O9" s="22" t="s">
        <v>95</v>
      </c>
      <c r="P9" s="22" t="s">
        <v>96</v>
      </c>
      <c r="Q9" s="22" t="s">
        <v>97</v>
      </c>
      <c r="R9" s="22" t="s">
        <v>98</v>
      </c>
      <c r="S9" s="22" t="s">
        <v>35</v>
      </c>
      <c r="T9" s="22" t="s">
        <v>99</v>
      </c>
      <c r="U9" s="22" t="s">
        <v>100</v>
      </c>
      <c r="V9" s="22" t="s">
        <v>101</v>
      </c>
      <c r="W9" s="22" t="s">
        <v>102</v>
      </c>
      <c r="X9" s="22" t="s">
        <v>103</v>
      </c>
      <c r="Y9" s="22" t="s">
        <v>104</v>
      </c>
      <c r="Z9" s="22" t="s">
        <v>105</v>
      </c>
      <c r="AA9" s="22" t="s">
        <v>106</v>
      </c>
    </row>
    <row r="10" ht="19.5" customHeight="1">
      <c r="A10" s="28">
        <f t="shared" ref="A10:A59" si="1">IF(B10="","",ROW()-9)</f>
        <v>1</v>
      </c>
      <c r="B10" s="36" t="str">
        <f>IF('NHÂN VIÊN'!B5="","",'NHÂN VIÊN'!B5)</f>
        <v>NV001</v>
      </c>
      <c r="C10" s="36" t="str">
        <f>IF($B10="","",'NHÂN VIÊN'!C5)</f>
        <v>Nguyễn Văn Hải</v>
      </c>
      <c r="D10" s="36" t="str">
        <f>IF($B10="","",'NHÂN VIÊN'!E5)</f>
        <v>Tổ trưởng</v>
      </c>
      <c r="E10" s="40">
        <f>IF($B10="","",'NHÂN VIÊN'!F5)</f>
        <v>7500000</v>
      </c>
      <c r="F10" s="40">
        <f>IF($B10="","",E10/'CẤU HÌNH'!$C$5/'CẤU HÌNH'!$C$6)</f>
        <v>36057.69231</v>
      </c>
      <c r="G10" s="45">
        <f>IF($B10="","",'BẢNG CHẤM CA'!AQ8)</f>
        <v>27</v>
      </c>
      <c r="H10" s="46">
        <f>IF($B10="","",'BẢNG CHẤM CA'!AK8)</f>
        <v>0</v>
      </c>
      <c r="I10" s="40">
        <f>IF($B10="","",ROUND(E10/'CẤU HÌNH'!$C$5*G10,0))</f>
        <v>7788462</v>
      </c>
      <c r="J10" s="40">
        <f>IF($B10="","",ROUND('BẢNG CHẤM CA'!AR8*F10*'CẤU HÌNH'!$C$8,0))</f>
        <v>0</v>
      </c>
      <c r="K10" s="40">
        <f>IF($B10="","",'NHÂN VIÊN'!G5)</f>
        <v>800000</v>
      </c>
      <c r="L10" s="40">
        <f>IF($B10="","",ROUND('NHÂN VIÊN'!H5*('BẢNG CHẤM CA'!AJ8+'BẢNG CHẤM CA'!AK8),0))</f>
        <v>810000</v>
      </c>
      <c r="M10" s="48">
        <v>0.0</v>
      </c>
      <c r="N10" s="49">
        <v>12.0</v>
      </c>
      <c r="O10" s="49">
        <v>0.0</v>
      </c>
      <c r="P10" s="49">
        <v>0.0</v>
      </c>
      <c r="Q10" s="40">
        <f>IF($B10="","",ROUND(F10*(N10*'CẤU HÌNH'!$C$9+O10*'CẤU HÌNH'!$C$10+P10*'CẤU HÌNH'!$C$11),0))</f>
        <v>649038</v>
      </c>
      <c r="R10" s="48">
        <v>300000.0</v>
      </c>
      <c r="S10" s="40">
        <f t="shared" ref="S10:S59" si="2">IF($B10="","",I10+J10+K10+L10+M10+Q10+R10)</f>
        <v>10347500</v>
      </c>
      <c r="T10" s="40">
        <f>IF($B10="","",ROUND(MIN('NHÂN VIÊN'!I5,'CẤU HÌNH'!$C$15)*'CẤU HÌNH'!$C$22,0))</f>
        <v>871500</v>
      </c>
      <c r="U10" s="40">
        <f>IF($B10="","",IF('CẤU HÌNH'!$C$19=1,J10+ROUND(F10*(N10*('CẤU HÌNH'!$C$9-1)+O10*('CẤU HÌNH'!$C$10-1)+P10*('CẤU HÌNH'!$C$11-1)),0),0)+MIN(L10,'CẤU HÌNH'!$C$18))</f>
        <v>946346</v>
      </c>
      <c r="V10" s="40">
        <f>IF($B10="","",MAX(0,S10-U10-T10-'CẤU HÌNH'!$C$16-'NHÂN VIÊN'!J5*'CẤU HÌNH'!$C$17))</f>
        <v>0</v>
      </c>
      <c r="W10" s="40">
        <f>IF($B10="","",ROUND(SUMPRODUCT((V10&gt;'CẤU HÌNH'!$F$5:$F$9)*(V10-'CẤU HÌNH'!$F$5:$F$9)*'CẤU HÌNH'!$H$5:$H$9),0))</f>
        <v>0</v>
      </c>
      <c r="X10" s="48">
        <v>0.0</v>
      </c>
      <c r="Y10" s="48">
        <v>0.0</v>
      </c>
      <c r="Z10" s="50">
        <f t="shared" ref="Z10:Z59" si="3">IF($B10="","",S10-T10-W10-X10-Y10)</f>
        <v>9476000</v>
      </c>
      <c r="AA10" s="51"/>
    </row>
    <row r="11" ht="19.5" customHeight="1">
      <c r="A11" s="28">
        <f t="shared" si="1"/>
        <v>2</v>
      </c>
      <c r="B11" s="36" t="str">
        <f>IF('NHÂN VIÊN'!B6="","",'NHÂN VIÊN'!B6)</f>
        <v>NV002</v>
      </c>
      <c r="C11" s="36" t="str">
        <f>IF($B11="","",'NHÂN VIÊN'!C6)</f>
        <v>Trần Quốc Bảo</v>
      </c>
      <c r="D11" s="36" t="str">
        <f>IF($B11="","",'NHÂN VIÊN'!E6)</f>
        <v>Bảo vệ</v>
      </c>
      <c r="E11" s="40">
        <f>IF($B11="","",'NHÂN VIÊN'!F6)</f>
        <v>6800000</v>
      </c>
      <c r="F11" s="40">
        <f>IF($B11="","",E11/'CẤU HÌNH'!$C$5/'CẤU HÌNH'!$C$6)</f>
        <v>32692.30769</v>
      </c>
      <c r="G11" s="45">
        <f>IF($B11="","",'BẢNG CHẤM CA'!AQ9)</f>
        <v>27</v>
      </c>
      <c r="H11" s="46">
        <f>IF($B11="","",'BẢNG CHẤM CA'!AK9)</f>
        <v>0</v>
      </c>
      <c r="I11" s="40">
        <f>IF($B11="","",ROUND(E11/'CẤU HÌNH'!$C$5*G11,0))</f>
        <v>7061538</v>
      </c>
      <c r="J11" s="40">
        <f>IF($B11="","",ROUND('BẢNG CHẤM CA'!AR9*F11*'CẤU HÌNH'!$C$8,0))</f>
        <v>0</v>
      </c>
      <c r="K11" s="40">
        <f>IF($B11="","",'NHÂN VIÊN'!G6)</f>
        <v>0</v>
      </c>
      <c r="L11" s="40">
        <f>IF($B11="","",ROUND('NHÂN VIÊN'!H6*('BẢNG CHẤM CA'!AJ9+'BẢNG CHẤM CA'!AK9),0))</f>
        <v>780000</v>
      </c>
      <c r="M11" s="48">
        <v>0.0</v>
      </c>
      <c r="N11" s="49">
        <v>0.0</v>
      </c>
      <c r="O11" s="49">
        <v>0.0</v>
      </c>
      <c r="P11" s="49">
        <v>0.0</v>
      </c>
      <c r="Q11" s="40">
        <f>IF($B11="","",ROUND(F11*(N11*'CẤU HÌNH'!$C$9+O11*'CẤU HÌNH'!$C$10+P11*'CẤU HÌNH'!$C$11),0))</f>
        <v>0</v>
      </c>
      <c r="R11" s="48">
        <v>0.0</v>
      </c>
      <c r="S11" s="40">
        <f t="shared" si="2"/>
        <v>7841538</v>
      </c>
      <c r="T11" s="40">
        <f>IF($B11="","",ROUND(MIN('NHÂN VIÊN'!I6,'CẤU HÌNH'!$C$15)*'CẤU HÌNH'!$C$22,0))</f>
        <v>714000</v>
      </c>
      <c r="U11" s="40">
        <f>IF($B11="","",IF('CẤU HÌNH'!$C$19=1,J11+ROUND(F11*(N11*('CẤU HÌNH'!$C$9-1)+O11*('CẤU HÌNH'!$C$10-1)+P11*('CẤU HÌNH'!$C$11-1)),0),0)+MIN(L11,'CẤU HÌNH'!$C$18))</f>
        <v>730000</v>
      </c>
      <c r="V11" s="40">
        <f>IF($B11="","",MAX(0,S11-U11-T11-'CẤU HÌNH'!$C$16-'NHÂN VIÊN'!J6*'CẤU HÌNH'!$C$17))</f>
        <v>0</v>
      </c>
      <c r="W11" s="40">
        <f>IF($B11="","",ROUND(SUMPRODUCT((V11&gt;'CẤU HÌNH'!$F$5:$F$9)*(V11-'CẤU HÌNH'!$F$5:$F$9)*'CẤU HÌNH'!$H$5:$H$9),0))</f>
        <v>0</v>
      </c>
      <c r="X11" s="48">
        <v>1000000.0</v>
      </c>
      <c r="Y11" s="48">
        <v>0.0</v>
      </c>
      <c r="Z11" s="50">
        <f t="shared" si="3"/>
        <v>6127538</v>
      </c>
      <c r="AA11" s="51"/>
    </row>
    <row r="12" ht="19.5" customHeight="1">
      <c r="A12" s="28">
        <f t="shared" si="1"/>
        <v>3</v>
      </c>
      <c r="B12" s="36" t="str">
        <f>IF('NHÂN VIÊN'!B7="","",'NHÂN VIÊN'!B7)</f>
        <v>NV003</v>
      </c>
      <c r="C12" s="36" t="str">
        <f>IF($B12="","",'NHÂN VIÊN'!C7)</f>
        <v>Lê Văn Tuấn</v>
      </c>
      <c r="D12" s="36" t="str">
        <f>IF($B12="","",'NHÂN VIÊN'!E7)</f>
        <v>Bảo vệ</v>
      </c>
      <c r="E12" s="40">
        <f>IF($B12="","",'NHÂN VIÊN'!F7)</f>
        <v>6800000</v>
      </c>
      <c r="F12" s="40">
        <f>IF($B12="","",E12/'CẤU HÌNH'!$C$5/'CẤU HÌNH'!$C$6)</f>
        <v>32692.30769</v>
      </c>
      <c r="G12" s="45">
        <f>IF($B12="","",'BẢNG CHẤM CA'!AQ10)</f>
        <v>27</v>
      </c>
      <c r="H12" s="46">
        <f>IF($B12="","",'BẢNG CHẤM CA'!AK10)</f>
        <v>0</v>
      </c>
      <c r="I12" s="40">
        <f>IF($B12="","",ROUND(E12/'CẤU HÌNH'!$C$5*G12,0))</f>
        <v>7061538</v>
      </c>
      <c r="J12" s="40">
        <f>IF($B12="","",ROUND('BẢNG CHẤM CA'!AR10*F12*'CẤU HÌNH'!$C$8,0))</f>
        <v>0</v>
      </c>
      <c r="K12" s="40">
        <f>IF($B12="","",'NHÂN VIÊN'!G7)</f>
        <v>0</v>
      </c>
      <c r="L12" s="40">
        <f>IF($B12="","",ROUND('NHÂN VIÊN'!H7*('BẢNG CHẤM CA'!AJ10+'BẢNG CHẤM CA'!AK10),0))</f>
        <v>780000</v>
      </c>
      <c r="M12" s="48">
        <v>100000.0</v>
      </c>
      <c r="N12" s="49">
        <v>8.0</v>
      </c>
      <c r="O12" s="49">
        <v>8.0</v>
      </c>
      <c r="P12" s="49">
        <v>0.0</v>
      </c>
      <c r="Q12" s="40">
        <f>IF($B12="","",ROUND(F12*(N12*'CẤU HÌNH'!$C$9+O12*'CẤU HÌNH'!$C$10+P12*'CẤU HÌNH'!$C$11),0))</f>
        <v>915385</v>
      </c>
      <c r="R12" s="48">
        <v>0.0</v>
      </c>
      <c r="S12" s="40">
        <f t="shared" si="2"/>
        <v>8856923</v>
      </c>
      <c r="T12" s="40">
        <f>IF($B12="","",ROUND(MIN('NHÂN VIÊN'!I7,'CẤU HÌNH'!$C$15)*'CẤU HÌNH'!$C$22,0))</f>
        <v>714000</v>
      </c>
      <c r="U12" s="40">
        <f>IF($B12="","",IF('CẤU HÌNH'!$C$19=1,J12+ROUND(F12*(N12*('CẤU HÌNH'!$C$9-1)+O12*('CẤU HÌNH'!$C$10-1)+P12*('CẤU HÌNH'!$C$11-1)),0),0)+MIN(L12,'CẤU HÌNH'!$C$18))</f>
        <v>1122308</v>
      </c>
      <c r="V12" s="40">
        <f>IF($B12="","",MAX(0,S12-U12-T12-'CẤU HÌNH'!$C$16-'NHÂN VIÊN'!J7*'CẤU HÌNH'!$C$17))</f>
        <v>0</v>
      </c>
      <c r="W12" s="40">
        <f>IF($B12="","",ROUND(SUMPRODUCT((V12&gt;'CẤU HÌNH'!$F$5:$F$9)*(V12-'CẤU HÌNH'!$F$5:$F$9)*'CẤU HÌNH'!$H$5:$H$9),0))</f>
        <v>0</v>
      </c>
      <c r="X12" s="48">
        <v>0.0</v>
      </c>
      <c r="Y12" s="48">
        <v>0.0</v>
      </c>
      <c r="Z12" s="50">
        <f t="shared" si="3"/>
        <v>8142923</v>
      </c>
      <c r="AA12" s="51"/>
    </row>
    <row r="13" ht="19.5" customHeight="1">
      <c r="A13" s="28">
        <f t="shared" si="1"/>
        <v>4</v>
      </c>
      <c r="B13" s="36" t="str">
        <f>IF('NHÂN VIÊN'!B8="","",'NHÂN VIÊN'!B8)</f>
        <v>NV004</v>
      </c>
      <c r="C13" s="36" t="str">
        <f>IF($B13="","",'NHÂN VIÊN'!C8)</f>
        <v>Phạm Minh Đức</v>
      </c>
      <c r="D13" s="36" t="str">
        <f>IF($B13="","",'NHÂN VIÊN'!E8)</f>
        <v>Bảo vệ</v>
      </c>
      <c r="E13" s="40">
        <f>IF($B13="","",'NHÂN VIÊN'!F8)</f>
        <v>6800000</v>
      </c>
      <c r="F13" s="40">
        <f>IF($B13="","",E13/'CẤU HÌNH'!$C$5/'CẤU HÌNH'!$C$6)</f>
        <v>32692.30769</v>
      </c>
      <c r="G13" s="45">
        <f>IF($B13="","",'BẢNG CHẤM CA'!AQ11)</f>
        <v>26</v>
      </c>
      <c r="H13" s="46">
        <f>IF($B13="","",'BẢNG CHẤM CA'!AK11)</f>
        <v>0</v>
      </c>
      <c r="I13" s="40">
        <f>IF($B13="","",ROUND(E13/'CẤU HÌNH'!$C$5*G13,0))</f>
        <v>6800000</v>
      </c>
      <c r="J13" s="40">
        <f>IF($B13="","",ROUND('BẢNG CHẤM CA'!AR11*F13*'CẤU HÌNH'!$C$8,0))</f>
        <v>0</v>
      </c>
      <c r="K13" s="40">
        <f>IF($B13="","",'NHÂN VIÊN'!G8)</f>
        <v>0</v>
      </c>
      <c r="L13" s="40">
        <f>IF($B13="","",ROUND('NHÂN VIÊN'!H8*('BẢNG CHẤM CA'!AJ11+'BẢNG CHẤM CA'!AK11),0))</f>
        <v>780000</v>
      </c>
      <c r="M13" s="48">
        <v>0.0</v>
      </c>
      <c r="N13" s="49">
        <v>20.0</v>
      </c>
      <c r="O13" s="49">
        <v>0.0</v>
      </c>
      <c r="P13" s="49">
        <v>0.0</v>
      </c>
      <c r="Q13" s="40">
        <f>IF($B13="","",ROUND(F13*(N13*'CẤU HÌNH'!$C$9+O13*'CẤU HÌNH'!$C$10+P13*'CẤU HÌNH'!$C$11),0))</f>
        <v>980769</v>
      </c>
      <c r="R13" s="48">
        <v>0.0</v>
      </c>
      <c r="S13" s="40">
        <f t="shared" si="2"/>
        <v>8560769</v>
      </c>
      <c r="T13" s="40">
        <f>IF($B13="","",ROUND(MIN('NHÂN VIÊN'!I8,'CẤU HÌNH'!$C$15)*'CẤU HÌNH'!$C$22,0))</f>
        <v>714000</v>
      </c>
      <c r="U13" s="40">
        <f>IF($B13="","",IF('CẤU HÌNH'!$C$19=1,J13+ROUND(F13*(N13*('CẤU HÌNH'!$C$9-1)+O13*('CẤU HÌNH'!$C$10-1)+P13*('CẤU HÌNH'!$C$11-1)),0),0)+MIN(L13,'CẤU HÌNH'!$C$18))</f>
        <v>1056923</v>
      </c>
      <c r="V13" s="40">
        <f>IF($B13="","",MAX(0,S13-U13-T13-'CẤU HÌNH'!$C$16-'NHÂN VIÊN'!J8*'CẤU HÌNH'!$C$17))</f>
        <v>0</v>
      </c>
      <c r="W13" s="40">
        <f>IF($B13="","",ROUND(SUMPRODUCT((V13&gt;'CẤU HÌNH'!$F$5:$F$9)*(V13-'CẤU HÌNH'!$F$5:$F$9)*'CẤU HÌNH'!$H$5:$H$9),0))</f>
        <v>0</v>
      </c>
      <c r="X13" s="48">
        <v>0.0</v>
      </c>
      <c r="Y13" s="48">
        <v>150000.0</v>
      </c>
      <c r="Z13" s="50">
        <f t="shared" si="3"/>
        <v>7696769</v>
      </c>
      <c r="AA13" s="51"/>
    </row>
    <row r="14" ht="19.5" customHeight="1">
      <c r="A14" s="28">
        <f t="shared" si="1"/>
        <v>5</v>
      </c>
      <c r="B14" s="36" t="str">
        <f>IF('NHÂN VIÊN'!B9="","",'NHÂN VIÊN'!B9)</f>
        <v>NV005</v>
      </c>
      <c r="C14" s="36" t="str">
        <f>IF($B14="","",'NHÂN VIÊN'!C9)</f>
        <v>Hoàng Văn Nam</v>
      </c>
      <c r="D14" s="36" t="str">
        <f>IF($B14="","",'NHÂN VIÊN'!E9)</f>
        <v>Bảo vệ</v>
      </c>
      <c r="E14" s="40">
        <f>IF($B14="","",'NHÂN VIÊN'!F9)</f>
        <v>6800000</v>
      </c>
      <c r="F14" s="40">
        <f>IF($B14="","",E14/'CẤU HÌNH'!$C$5/'CẤU HÌNH'!$C$6)</f>
        <v>32692.30769</v>
      </c>
      <c r="G14" s="45">
        <f>IF($B14="","",'BẢNG CHẤM CA'!AQ12)</f>
        <v>26</v>
      </c>
      <c r="H14" s="46">
        <f>IF($B14="","",'BẢNG CHẤM CA'!AK12)</f>
        <v>26</v>
      </c>
      <c r="I14" s="40">
        <f>IF($B14="","",ROUND(E14/'CẤU HÌNH'!$C$5*G14,0))</f>
        <v>6800000</v>
      </c>
      <c r="J14" s="40">
        <f>IF($B14="","",ROUND('BẢNG CHẤM CA'!AR12*F14*'CẤU HÌNH'!$C$8,0))</f>
        <v>2040000</v>
      </c>
      <c r="K14" s="40">
        <f>IF($B14="","",'NHÂN VIÊN'!G9)</f>
        <v>0</v>
      </c>
      <c r="L14" s="40">
        <f>IF($B14="","",ROUND('NHÂN VIÊN'!H9*('BẢNG CHẤM CA'!AJ12+'BẢNG CHẤM CA'!AK12),0))</f>
        <v>780000</v>
      </c>
      <c r="M14" s="48">
        <v>0.0</v>
      </c>
      <c r="N14" s="49">
        <v>16.0</v>
      </c>
      <c r="O14" s="49">
        <v>8.0</v>
      </c>
      <c r="P14" s="49">
        <v>0.0</v>
      </c>
      <c r="Q14" s="40">
        <f>IF($B14="","",ROUND(F14*(N14*'CẤU HÌNH'!$C$9+O14*'CẤU HÌNH'!$C$10+P14*'CẤU HÌNH'!$C$11),0))</f>
        <v>1307692</v>
      </c>
      <c r="R14" s="48">
        <v>300000.0</v>
      </c>
      <c r="S14" s="40">
        <f t="shared" si="2"/>
        <v>11227692</v>
      </c>
      <c r="T14" s="40">
        <f>IF($B14="","",ROUND(MIN('NHÂN VIÊN'!I9,'CẤU HÌNH'!$C$15)*'CẤU HÌNH'!$C$22,0))</f>
        <v>714000</v>
      </c>
      <c r="U14" s="40">
        <f>IF($B14="","",IF('CẤU HÌNH'!$C$19=1,J14+ROUND(F14*(N14*('CẤU HÌNH'!$C$9-1)+O14*('CẤU HÌNH'!$C$10-1)+P14*('CẤU HÌNH'!$C$11-1)),0),0)+MIN(L14,'CẤU HÌNH'!$C$18))</f>
        <v>3293077</v>
      </c>
      <c r="V14" s="40">
        <f>IF($B14="","",MAX(0,S14-U14-T14-'CẤU HÌNH'!$C$16-'NHÂN VIÊN'!J9*'CẤU HÌNH'!$C$17))</f>
        <v>0</v>
      </c>
      <c r="W14" s="40">
        <f>IF($B14="","",ROUND(SUMPRODUCT((V14&gt;'CẤU HÌNH'!$F$5:$F$9)*(V14-'CẤU HÌNH'!$F$5:$F$9)*'CẤU HÌNH'!$H$5:$H$9),0))</f>
        <v>0</v>
      </c>
      <c r="X14" s="48">
        <v>500000.0</v>
      </c>
      <c r="Y14" s="48">
        <v>0.0</v>
      </c>
      <c r="Z14" s="50">
        <f t="shared" si="3"/>
        <v>10013692</v>
      </c>
      <c r="AA14" s="51"/>
    </row>
    <row r="15" ht="19.5" customHeight="1">
      <c r="A15" s="28">
        <f t="shared" si="1"/>
        <v>6</v>
      </c>
      <c r="B15" s="36" t="str">
        <f>IF('NHÂN VIÊN'!B10="","",'NHÂN VIÊN'!B10)</f>
        <v>NV006</v>
      </c>
      <c r="C15" s="36" t="str">
        <f>IF($B15="","",'NHÂN VIÊN'!C10)</f>
        <v>Vũ Đình Khoa</v>
      </c>
      <c r="D15" s="36" t="str">
        <f>IF($B15="","",'NHÂN VIÊN'!E10)</f>
        <v>Bảo vệ</v>
      </c>
      <c r="E15" s="40">
        <f>IF($B15="","",'NHÂN VIÊN'!F10)</f>
        <v>6800000</v>
      </c>
      <c r="F15" s="40">
        <f>IF($B15="","",E15/'CẤU HÌNH'!$C$5/'CẤU HÌNH'!$C$6)</f>
        <v>32692.30769</v>
      </c>
      <c r="G15" s="45">
        <f>IF($B15="","",'BẢNG CHẤM CA'!AQ13)</f>
        <v>25</v>
      </c>
      <c r="H15" s="46">
        <f>IF($B15="","",'BẢNG CHẤM CA'!AK13)</f>
        <v>25</v>
      </c>
      <c r="I15" s="40">
        <f>IF($B15="","",ROUND(E15/'CẤU HÌNH'!$C$5*G15,0))</f>
        <v>6538462</v>
      </c>
      <c r="J15" s="40">
        <f>IF($B15="","",ROUND('BẢNG CHẤM CA'!AR13*F15*'CẤU HÌNH'!$C$8,0))</f>
        <v>1961538</v>
      </c>
      <c r="K15" s="40">
        <f>IF($B15="","",'NHÂN VIÊN'!G10)</f>
        <v>0</v>
      </c>
      <c r="L15" s="40">
        <f>IF($B15="","",ROUND('NHÂN VIÊN'!H10*('BẢNG CHẤM CA'!AJ13+'BẢNG CHẤM CA'!AK13),0))</f>
        <v>750000</v>
      </c>
      <c r="M15" s="48">
        <v>0.0</v>
      </c>
      <c r="N15" s="49">
        <v>10.0</v>
      </c>
      <c r="O15" s="49">
        <v>0.0</v>
      </c>
      <c r="P15" s="49">
        <v>0.0</v>
      </c>
      <c r="Q15" s="40">
        <f>IF($B15="","",ROUND(F15*(N15*'CẤU HÌNH'!$C$9+O15*'CẤU HÌNH'!$C$10+P15*'CẤU HÌNH'!$C$11),0))</f>
        <v>490385</v>
      </c>
      <c r="R15" s="48">
        <v>0.0</v>
      </c>
      <c r="S15" s="40">
        <f t="shared" si="2"/>
        <v>9740385</v>
      </c>
      <c r="T15" s="40">
        <f>IF($B15="","",ROUND(MIN('NHÂN VIÊN'!I10,'CẤU HÌNH'!$C$15)*'CẤU HÌNH'!$C$22,0))</f>
        <v>714000</v>
      </c>
      <c r="U15" s="40">
        <f>IF($B15="","",IF('CẤU HÌNH'!$C$19=1,J15+ROUND(F15*(N15*('CẤU HÌNH'!$C$9-1)+O15*('CẤU HÌNH'!$C$10-1)+P15*('CẤU HÌNH'!$C$11-1)),0),0)+MIN(L15,'CẤU HÌNH'!$C$18))</f>
        <v>2855000</v>
      </c>
      <c r="V15" s="40">
        <f>IF($B15="","",MAX(0,S15-U15-T15-'CẤU HÌNH'!$C$16-'NHÂN VIÊN'!J10*'CẤU HÌNH'!$C$17))</f>
        <v>0</v>
      </c>
      <c r="W15" s="40">
        <f>IF($B15="","",ROUND(SUMPRODUCT((V15&gt;'CẤU HÌNH'!$F$5:$F$9)*(V15-'CẤU HÌNH'!$F$5:$F$9)*'CẤU HÌNH'!$H$5:$H$9),0))</f>
        <v>0</v>
      </c>
      <c r="X15" s="48">
        <v>0.0</v>
      </c>
      <c r="Y15" s="48">
        <v>0.0</v>
      </c>
      <c r="Z15" s="50">
        <f t="shared" si="3"/>
        <v>9026385</v>
      </c>
      <c r="AA15" s="51"/>
    </row>
    <row r="16" ht="19.5" customHeight="1">
      <c r="A16" s="28">
        <f t="shared" si="1"/>
        <v>7</v>
      </c>
      <c r="B16" s="36" t="str">
        <f>IF('NHÂN VIÊN'!B11="","",'NHÂN VIÊN'!B11)</f>
        <v>NV007</v>
      </c>
      <c r="C16" s="36" t="str">
        <f>IF($B16="","",'NHÂN VIÊN'!C11)</f>
        <v>Đặng Văn Long</v>
      </c>
      <c r="D16" s="36" t="str">
        <f>IF($B16="","",'NHÂN VIÊN'!E11)</f>
        <v>Bảo vệ</v>
      </c>
      <c r="E16" s="40">
        <f>IF($B16="","",'NHÂN VIÊN'!F11)</f>
        <v>6800000</v>
      </c>
      <c r="F16" s="40">
        <f>IF($B16="","",E16/'CẤU HÌNH'!$C$5/'CẤU HÌNH'!$C$6)</f>
        <v>32692.30769</v>
      </c>
      <c r="G16" s="45">
        <f>IF($B16="","",'BẢNG CHẤM CA'!AQ14)</f>
        <v>26</v>
      </c>
      <c r="H16" s="46">
        <f>IF($B16="","",'BẢNG CHẤM CA'!AK14)</f>
        <v>26</v>
      </c>
      <c r="I16" s="40">
        <f>IF($B16="","",ROUND(E16/'CẤU HÌNH'!$C$5*G16,0))</f>
        <v>6800000</v>
      </c>
      <c r="J16" s="40">
        <f>IF($B16="","",ROUND('BẢNG CHẤM CA'!AR14*F16*'CẤU HÌNH'!$C$8,0))</f>
        <v>2040000</v>
      </c>
      <c r="K16" s="40">
        <f>IF($B16="","",'NHÂN VIÊN'!G11)</f>
        <v>0</v>
      </c>
      <c r="L16" s="40">
        <f>IF($B16="","",ROUND('NHÂN VIÊN'!H11*('BẢNG CHẤM CA'!AJ14+'BẢNG CHẤM CA'!AK14),0))</f>
        <v>780000</v>
      </c>
      <c r="M16" s="48">
        <v>0.0</v>
      </c>
      <c r="N16" s="49">
        <v>8.0</v>
      </c>
      <c r="O16" s="49">
        <v>0.0</v>
      </c>
      <c r="P16" s="49">
        <v>0.0</v>
      </c>
      <c r="Q16" s="40">
        <f>IF($B16="","",ROUND(F16*(N16*'CẤU HÌNH'!$C$9+O16*'CẤU HÌNH'!$C$10+P16*'CẤU HÌNH'!$C$11),0))</f>
        <v>392308</v>
      </c>
      <c r="R16" s="48">
        <v>0.0</v>
      </c>
      <c r="S16" s="40">
        <f t="shared" si="2"/>
        <v>10012308</v>
      </c>
      <c r="T16" s="40">
        <f>IF($B16="","",ROUND(MIN('NHÂN VIÊN'!I11,'CẤU HÌNH'!$C$15)*'CẤU HÌNH'!$C$22,0))</f>
        <v>714000</v>
      </c>
      <c r="U16" s="40">
        <f>IF($B16="","",IF('CẤU HÌNH'!$C$19=1,J16+ROUND(F16*(N16*('CẤU HÌNH'!$C$9-1)+O16*('CẤU HÌNH'!$C$10-1)+P16*('CẤU HÌNH'!$C$11-1)),0),0)+MIN(L16,'CẤU HÌNH'!$C$18))</f>
        <v>2900769</v>
      </c>
      <c r="V16" s="40">
        <f>IF($B16="","",MAX(0,S16-U16-T16-'CẤU HÌNH'!$C$16-'NHÂN VIÊN'!J11*'CẤU HÌNH'!$C$17))</f>
        <v>0</v>
      </c>
      <c r="W16" s="40">
        <f>IF($B16="","",ROUND(SUMPRODUCT((V16&gt;'CẤU HÌNH'!$F$5:$F$9)*(V16-'CẤU HÌNH'!$F$5:$F$9)*'CẤU HÌNH'!$H$5:$H$9),0))</f>
        <v>0</v>
      </c>
      <c r="X16" s="48">
        <v>0.0</v>
      </c>
      <c r="Y16" s="48">
        <v>0.0</v>
      </c>
      <c r="Z16" s="50">
        <f t="shared" si="3"/>
        <v>9298308</v>
      </c>
      <c r="AA16" s="51"/>
    </row>
    <row r="17" ht="19.5" customHeight="1">
      <c r="A17" s="28">
        <f t="shared" si="1"/>
        <v>8</v>
      </c>
      <c r="B17" s="36" t="str">
        <f>IF('NHÂN VIÊN'!B12="","",'NHÂN VIÊN'!B12)</f>
        <v>NV008</v>
      </c>
      <c r="C17" s="36" t="str">
        <f>IF($B17="","",'NHÂN VIÊN'!C12)</f>
        <v>Bùi Văn Thành</v>
      </c>
      <c r="D17" s="36" t="str">
        <f>IF($B17="","",'NHÂN VIÊN'!E12)</f>
        <v>Đội phó</v>
      </c>
      <c r="E17" s="40">
        <f>IF($B17="","",'NHÂN VIÊN'!F12)</f>
        <v>7200000</v>
      </c>
      <c r="F17" s="40">
        <f>IF($B17="","",E17/'CẤU HÌNH'!$C$5/'CẤU HÌNH'!$C$6)</f>
        <v>34615.38462</v>
      </c>
      <c r="G17" s="45">
        <f>IF($B17="","",'BẢNG CHẤM CA'!AQ15)</f>
        <v>27</v>
      </c>
      <c r="H17" s="46">
        <f>IF($B17="","",'BẢNG CHẤM CA'!AK15)</f>
        <v>27</v>
      </c>
      <c r="I17" s="40">
        <f>IF($B17="","",ROUND(E17/'CẤU HÌNH'!$C$5*G17,0))</f>
        <v>7476923</v>
      </c>
      <c r="J17" s="40">
        <f>IF($B17="","",ROUND('BẢNG CHẤM CA'!AR15*F17*'CẤU HÌNH'!$C$8,0))</f>
        <v>2243077</v>
      </c>
      <c r="K17" s="40">
        <f>IF($B17="","",'NHÂN VIÊN'!G12)</f>
        <v>500000</v>
      </c>
      <c r="L17" s="40">
        <f>IF($B17="","",ROUND('NHÂN VIÊN'!H12*('BẢNG CHẤM CA'!AJ15+'BẢNG CHẤM CA'!AK15),0))</f>
        <v>810000</v>
      </c>
      <c r="M17" s="48">
        <v>200000.0</v>
      </c>
      <c r="N17" s="49">
        <v>12.0</v>
      </c>
      <c r="O17" s="49">
        <v>8.0</v>
      </c>
      <c r="P17" s="49">
        <v>0.0</v>
      </c>
      <c r="Q17" s="40">
        <f>IF($B17="","",ROUND(F17*(N17*'CẤU HÌNH'!$C$9+O17*'CẤU HÌNH'!$C$10+P17*'CẤU HÌNH'!$C$11),0))</f>
        <v>1176923</v>
      </c>
      <c r="R17" s="48">
        <v>500000.0</v>
      </c>
      <c r="S17" s="40">
        <f t="shared" si="2"/>
        <v>12906923</v>
      </c>
      <c r="T17" s="40">
        <f>IF($B17="","",ROUND(MIN('NHÂN VIÊN'!I12,'CẤU HÌNH'!$C$15)*'CẤU HÌNH'!$C$22,0))</f>
        <v>808500</v>
      </c>
      <c r="U17" s="40">
        <f>IF($B17="","",IF('CẤU HÌNH'!$C$19=1,J17+ROUND(F17*(N17*('CẤU HÌNH'!$C$9-1)+O17*('CẤU HÌNH'!$C$10-1)+P17*('CẤU HÌNH'!$C$11-1)),0),0)+MIN(L17,'CẤU HÌNH'!$C$18))</f>
        <v>3457692</v>
      </c>
      <c r="V17" s="40">
        <f>IF($B17="","",MAX(0,S17-U17-T17-'CẤU HÌNH'!$C$16-'NHÂN VIÊN'!J12*'CẤU HÌNH'!$C$17))</f>
        <v>0</v>
      </c>
      <c r="W17" s="40">
        <f>IF($B17="","",ROUND(SUMPRODUCT((V17&gt;'CẤU HÌNH'!$F$5:$F$9)*(V17-'CẤU HÌNH'!$F$5:$F$9)*'CẤU HÌNH'!$H$5:$H$9),0))</f>
        <v>0</v>
      </c>
      <c r="X17" s="48">
        <v>0.0</v>
      </c>
      <c r="Y17" s="48">
        <v>0.0</v>
      </c>
      <c r="Z17" s="50">
        <f t="shared" si="3"/>
        <v>12098423</v>
      </c>
      <c r="AA17" s="51"/>
    </row>
    <row r="18" ht="19.5" customHeight="1">
      <c r="A18" s="28" t="str">
        <f t="shared" si="1"/>
        <v/>
      </c>
      <c r="B18" s="36" t="str">
        <f>IF('NHÂN VIÊN'!B13="","",'NHÂN VIÊN'!B13)</f>
        <v/>
      </c>
      <c r="C18" s="36" t="str">
        <f>IF($B18="","",'NHÂN VIÊN'!C13)</f>
        <v/>
      </c>
      <c r="D18" s="36" t="str">
        <f>IF($B18="","",'NHÂN VIÊN'!E13)</f>
        <v/>
      </c>
      <c r="E18" s="40" t="str">
        <f>IF($B18="","",'NHÂN VIÊN'!F13)</f>
        <v/>
      </c>
      <c r="F18" s="40" t="str">
        <f>IF($B18="","",E18/'CẤU HÌNH'!$C$5/'CẤU HÌNH'!$C$6)</f>
        <v/>
      </c>
      <c r="G18" s="45" t="str">
        <f>IF($B18="","",'BẢNG CHẤM CA'!AQ16)</f>
        <v/>
      </c>
      <c r="H18" s="46" t="str">
        <f>IF($B18="","",'BẢNG CHẤM CA'!AK16)</f>
        <v/>
      </c>
      <c r="I18" s="40" t="str">
        <f>IF($B18="","",ROUND(E18/'CẤU HÌNH'!$C$5*G18,0))</f>
        <v/>
      </c>
      <c r="J18" s="40" t="str">
        <f>IF($B18="","",ROUND('BẢNG CHẤM CA'!AR16*F18*'CẤU HÌNH'!$C$8,0))</f>
        <v/>
      </c>
      <c r="K18" s="40" t="str">
        <f>IF($B18="","",'NHÂN VIÊN'!G13)</f>
        <v/>
      </c>
      <c r="L18" s="40" t="str">
        <f>IF($B18="","",ROUND('NHÂN VIÊN'!H13*('BẢNG CHẤM CA'!AJ16+'BẢNG CHẤM CA'!AK16),0))</f>
        <v/>
      </c>
      <c r="M18" s="48"/>
      <c r="N18" s="49"/>
      <c r="O18" s="49"/>
      <c r="P18" s="49"/>
      <c r="Q18" s="40" t="str">
        <f>IF($B18="","",ROUND(F18*(N18*'CẤU HÌNH'!$C$9+O18*'CẤU HÌNH'!$C$10+P18*'CẤU HÌNH'!$C$11),0))</f>
        <v/>
      </c>
      <c r="R18" s="48"/>
      <c r="S18" s="40" t="str">
        <f t="shared" si="2"/>
        <v/>
      </c>
      <c r="T18" s="40" t="str">
        <f>IF($B18="","",ROUND(MIN('NHÂN VIÊN'!I13,'CẤU HÌNH'!$C$15)*'CẤU HÌNH'!$C$22,0))</f>
        <v/>
      </c>
      <c r="U18" s="40" t="str">
        <f>IF($B18="","",IF('CẤU HÌNH'!$C$19=1,J18+ROUND(F18*(N18*('CẤU HÌNH'!$C$9-1)+O18*('CẤU HÌNH'!$C$10-1)+P18*('CẤU HÌNH'!$C$11-1)),0),0)+MIN(L18,'CẤU HÌNH'!$C$18))</f>
        <v/>
      </c>
      <c r="V18" s="40" t="str">
        <f>IF($B18="","",MAX(0,S18-U18-T18-'CẤU HÌNH'!$C$16-'NHÂN VIÊN'!J13*'CẤU HÌNH'!$C$17))</f>
        <v/>
      </c>
      <c r="W18" s="40" t="str">
        <f>IF($B18="","",ROUND(SUMPRODUCT((V18&gt;'CẤU HÌNH'!$F$5:$F$9)*(V18-'CẤU HÌNH'!$F$5:$F$9)*'CẤU HÌNH'!$H$5:$H$9),0))</f>
        <v/>
      </c>
      <c r="X18" s="48"/>
      <c r="Y18" s="48"/>
      <c r="Z18" s="50" t="str">
        <f t="shared" si="3"/>
        <v/>
      </c>
      <c r="AA18" s="51"/>
    </row>
    <row r="19" ht="19.5" customHeight="1">
      <c r="A19" s="28" t="str">
        <f t="shared" si="1"/>
        <v/>
      </c>
      <c r="B19" s="36" t="str">
        <f>IF('NHÂN VIÊN'!B14="","",'NHÂN VIÊN'!B14)</f>
        <v/>
      </c>
      <c r="C19" s="36" t="str">
        <f>IF($B19="","",'NHÂN VIÊN'!C14)</f>
        <v/>
      </c>
      <c r="D19" s="36" t="str">
        <f>IF($B19="","",'NHÂN VIÊN'!E14)</f>
        <v/>
      </c>
      <c r="E19" s="40" t="str">
        <f>IF($B19="","",'NHÂN VIÊN'!F14)</f>
        <v/>
      </c>
      <c r="F19" s="40" t="str">
        <f>IF($B19="","",E19/'CẤU HÌNH'!$C$5/'CẤU HÌNH'!$C$6)</f>
        <v/>
      </c>
      <c r="G19" s="45" t="str">
        <f>IF($B19="","",'BẢNG CHẤM CA'!AQ17)</f>
        <v/>
      </c>
      <c r="H19" s="46" t="str">
        <f>IF($B19="","",'BẢNG CHẤM CA'!AK17)</f>
        <v/>
      </c>
      <c r="I19" s="40" t="str">
        <f>IF($B19="","",ROUND(E19/'CẤU HÌNH'!$C$5*G19,0))</f>
        <v/>
      </c>
      <c r="J19" s="40" t="str">
        <f>IF($B19="","",ROUND('BẢNG CHẤM CA'!AR17*F19*'CẤU HÌNH'!$C$8,0))</f>
        <v/>
      </c>
      <c r="K19" s="40" t="str">
        <f>IF($B19="","",'NHÂN VIÊN'!G14)</f>
        <v/>
      </c>
      <c r="L19" s="40" t="str">
        <f>IF($B19="","",ROUND('NHÂN VIÊN'!H14*('BẢNG CHẤM CA'!AJ17+'BẢNG CHẤM CA'!AK17),0))</f>
        <v/>
      </c>
      <c r="M19" s="48"/>
      <c r="N19" s="49"/>
      <c r="O19" s="49"/>
      <c r="P19" s="49"/>
      <c r="Q19" s="40" t="str">
        <f>IF($B19="","",ROUND(F19*(N19*'CẤU HÌNH'!$C$9+O19*'CẤU HÌNH'!$C$10+P19*'CẤU HÌNH'!$C$11),0))</f>
        <v/>
      </c>
      <c r="R19" s="48"/>
      <c r="S19" s="40" t="str">
        <f t="shared" si="2"/>
        <v/>
      </c>
      <c r="T19" s="40" t="str">
        <f>IF($B19="","",ROUND(MIN('NHÂN VIÊN'!I14,'CẤU HÌNH'!$C$15)*'CẤU HÌNH'!$C$22,0))</f>
        <v/>
      </c>
      <c r="U19" s="40" t="str">
        <f>IF($B19="","",IF('CẤU HÌNH'!$C$19=1,J19+ROUND(F19*(N19*('CẤU HÌNH'!$C$9-1)+O19*('CẤU HÌNH'!$C$10-1)+P19*('CẤU HÌNH'!$C$11-1)),0),0)+MIN(L19,'CẤU HÌNH'!$C$18))</f>
        <v/>
      </c>
      <c r="V19" s="40" t="str">
        <f>IF($B19="","",MAX(0,S19-U19-T19-'CẤU HÌNH'!$C$16-'NHÂN VIÊN'!J14*'CẤU HÌNH'!$C$17))</f>
        <v/>
      </c>
      <c r="W19" s="40" t="str">
        <f>IF($B19="","",ROUND(SUMPRODUCT((V19&gt;'CẤU HÌNH'!$F$5:$F$9)*(V19-'CẤU HÌNH'!$F$5:$F$9)*'CẤU HÌNH'!$H$5:$H$9),0))</f>
        <v/>
      </c>
      <c r="X19" s="48"/>
      <c r="Y19" s="48"/>
      <c r="Z19" s="50" t="str">
        <f t="shared" si="3"/>
        <v/>
      </c>
      <c r="AA19" s="51"/>
    </row>
    <row r="20" ht="19.5" customHeight="1">
      <c r="A20" s="28" t="str">
        <f t="shared" si="1"/>
        <v/>
      </c>
      <c r="B20" s="36" t="str">
        <f>IF('NHÂN VIÊN'!B15="","",'NHÂN VIÊN'!B15)</f>
        <v/>
      </c>
      <c r="C20" s="36" t="str">
        <f>IF($B20="","",'NHÂN VIÊN'!C15)</f>
        <v/>
      </c>
      <c r="D20" s="36" t="str">
        <f>IF($B20="","",'NHÂN VIÊN'!E15)</f>
        <v/>
      </c>
      <c r="E20" s="40" t="str">
        <f>IF($B20="","",'NHÂN VIÊN'!F15)</f>
        <v/>
      </c>
      <c r="F20" s="40" t="str">
        <f>IF($B20="","",E20/'CẤU HÌNH'!$C$5/'CẤU HÌNH'!$C$6)</f>
        <v/>
      </c>
      <c r="G20" s="45" t="str">
        <f>IF($B20="","",'BẢNG CHẤM CA'!AQ18)</f>
        <v/>
      </c>
      <c r="H20" s="46" t="str">
        <f>IF($B20="","",'BẢNG CHẤM CA'!AK18)</f>
        <v/>
      </c>
      <c r="I20" s="40" t="str">
        <f>IF($B20="","",ROUND(E20/'CẤU HÌNH'!$C$5*G20,0))</f>
        <v/>
      </c>
      <c r="J20" s="40" t="str">
        <f>IF($B20="","",ROUND('BẢNG CHẤM CA'!AR18*F20*'CẤU HÌNH'!$C$8,0))</f>
        <v/>
      </c>
      <c r="K20" s="40" t="str">
        <f>IF($B20="","",'NHÂN VIÊN'!G15)</f>
        <v/>
      </c>
      <c r="L20" s="40" t="str">
        <f>IF($B20="","",ROUND('NHÂN VIÊN'!H15*('BẢNG CHẤM CA'!AJ18+'BẢNG CHẤM CA'!AK18),0))</f>
        <v/>
      </c>
      <c r="M20" s="48"/>
      <c r="N20" s="49"/>
      <c r="O20" s="49"/>
      <c r="P20" s="49"/>
      <c r="Q20" s="40" t="str">
        <f>IF($B20="","",ROUND(F20*(N20*'CẤU HÌNH'!$C$9+O20*'CẤU HÌNH'!$C$10+P20*'CẤU HÌNH'!$C$11),0))</f>
        <v/>
      </c>
      <c r="R20" s="48"/>
      <c r="S20" s="40" t="str">
        <f t="shared" si="2"/>
        <v/>
      </c>
      <c r="T20" s="40" t="str">
        <f>IF($B20="","",ROUND(MIN('NHÂN VIÊN'!I15,'CẤU HÌNH'!$C$15)*'CẤU HÌNH'!$C$22,0))</f>
        <v/>
      </c>
      <c r="U20" s="40" t="str">
        <f>IF($B20="","",IF('CẤU HÌNH'!$C$19=1,J20+ROUND(F20*(N20*('CẤU HÌNH'!$C$9-1)+O20*('CẤU HÌNH'!$C$10-1)+P20*('CẤU HÌNH'!$C$11-1)),0),0)+MIN(L20,'CẤU HÌNH'!$C$18))</f>
        <v/>
      </c>
      <c r="V20" s="40" t="str">
        <f>IF($B20="","",MAX(0,S20-U20-T20-'CẤU HÌNH'!$C$16-'NHÂN VIÊN'!J15*'CẤU HÌNH'!$C$17))</f>
        <v/>
      </c>
      <c r="W20" s="40" t="str">
        <f>IF($B20="","",ROUND(SUMPRODUCT((V20&gt;'CẤU HÌNH'!$F$5:$F$9)*(V20-'CẤU HÌNH'!$F$5:$F$9)*'CẤU HÌNH'!$H$5:$H$9),0))</f>
        <v/>
      </c>
      <c r="X20" s="48"/>
      <c r="Y20" s="48"/>
      <c r="Z20" s="50" t="str">
        <f t="shared" si="3"/>
        <v/>
      </c>
      <c r="AA20" s="51"/>
    </row>
    <row r="21" ht="19.5" customHeight="1">
      <c r="A21" s="28" t="str">
        <f t="shared" si="1"/>
        <v/>
      </c>
      <c r="B21" s="36" t="str">
        <f>IF('NHÂN VIÊN'!B16="","",'NHÂN VIÊN'!B16)</f>
        <v/>
      </c>
      <c r="C21" s="36" t="str">
        <f>IF($B21="","",'NHÂN VIÊN'!C16)</f>
        <v/>
      </c>
      <c r="D21" s="36" t="str">
        <f>IF($B21="","",'NHÂN VIÊN'!E16)</f>
        <v/>
      </c>
      <c r="E21" s="40" t="str">
        <f>IF($B21="","",'NHÂN VIÊN'!F16)</f>
        <v/>
      </c>
      <c r="F21" s="40" t="str">
        <f>IF($B21="","",E21/'CẤU HÌNH'!$C$5/'CẤU HÌNH'!$C$6)</f>
        <v/>
      </c>
      <c r="G21" s="45" t="str">
        <f>IF($B21="","",'BẢNG CHẤM CA'!AQ19)</f>
        <v/>
      </c>
      <c r="H21" s="46" t="str">
        <f>IF($B21="","",'BẢNG CHẤM CA'!AK19)</f>
        <v/>
      </c>
      <c r="I21" s="40" t="str">
        <f>IF($B21="","",ROUND(E21/'CẤU HÌNH'!$C$5*G21,0))</f>
        <v/>
      </c>
      <c r="J21" s="40" t="str">
        <f>IF($B21="","",ROUND('BẢNG CHẤM CA'!AR19*F21*'CẤU HÌNH'!$C$8,0))</f>
        <v/>
      </c>
      <c r="K21" s="40" t="str">
        <f>IF($B21="","",'NHÂN VIÊN'!G16)</f>
        <v/>
      </c>
      <c r="L21" s="40" t="str">
        <f>IF($B21="","",ROUND('NHÂN VIÊN'!H16*('BẢNG CHẤM CA'!AJ19+'BẢNG CHẤM CA'!AK19),0))</f>
        <v/>
      </c>
      <c r="M21" s="48"/>
      <c r="N21" s="49"/>
      <c r="O21" s="49"/>
      <c r="P21" s="49"/>
      <c r="Q21" s="40" t="str">
        <f>IF($B21="","",ROUND(F21*(N21*'CẤU HÌNH'!$C$9+O21*'CẤU HÌNH'!$C$10+P21*'CẤU HÌNH'!$C$11),0))</f>
        <v/>
      </c>
      <c r="R21" s="48"/>
      <c r="S21" s="40" t="str">
        <f t="shared" si="2"/>
        <v/>
      </c>
      <c r="T21" s="40" t="str">
        <f>IF($B21="","",ROUND(MIN('NHÂN VIÊN'!I16,'CẤU HÌNH'!$C$15)*'CẤU HÌNH'!$C$22,0))</f>
        <v/>
      </c>
      <c r="U21" s="40" t="str">
        <f>IF($B21="","",IF('CẤU HÌNH'!$C$19=1,J21+ROUND(F21*(N21*('CẤU HÌNH'!$C$9-1)+O21*('CẤU HÌNH'!$C$10-1)+P21*('CẤU HÌNH'!$C$11-1)),0),0)+MIN(L21,'CẤU HÌNH'!$C$18))</f>
        <v/>
      </c>
      <c r="V21" s="40" t="str">
        <f>IF($B21="","",MAX(0,S21-U21-T21-'CẤU HÌNH'!$C$16-'NHÂN VIÊN'!J16*'CẤU HÌNH'!$C$17))</f>
        <v/>
      </c>
      <c r="W21" s="40" t="str">
        <f>IF($B21="","",ROUND(SUMPRODUCT((V21&gt;'CẤU HÌNH'!$F$5:$F$9)*(V21-'CẤU HÌNH'!$F$5:$F$9)*'CẤU HÌNH'!$H$5:$H$9),0))</f>
        <v/>
      </c>
      <c r="X21" s="48"/>
      <c r="Y21" s="48"/>
      <c r="Z21" s="50" t="str">
        <f t="shared" si="3"/>
        <v/>
      </c>
      <c r="AA21" s="51"/>
    </row>
    <row r="22" ht="19.5" customHeight="1">
      <c r="A22" s="28" t="str">
        <f t="shared" si="1"/>
        <v/>
      </c>
      <c r="B22" s="36" t="str">
        <f>IF('NHÂN VIÊN'!B17="","",'NHÂN VIÊN'!B17)</f>
        <v/>
      </c>
      <c r="C22" s="36" t="str">
        <f>IF($B22="","",'NHÂN VIÊN'!C17)</f>
        <v/>
      </c>
      <c r="D22" s="36" t="str">
        <f>IF($B22="","",'NHÂN VIÊN'!E17)</f>
        <v/>
      </c>
      <c r="E22" s="40" t="str">
        <f>IF($B22="","",'NHÂN VIÊN'!F17)</f>
        <v/>
      </c>
      <c r="F22" s="40" t="str">
        <f>IF($B22="","",E22/'CẤU HÌNH'!$C$5/'CẤU HÌNH'!$C$6)</f>
        <v/>
      </c>
      <c r="G22" s="45" t="str">
        <f>IF($B22="","",'BẢNG CHẤM CA'!AQ20)</f>
        <v/>
      </c>
      <c r="H22" s="46" t="str">
        <f>IF($B22="","",'BẢNG CHẤM CA'!AK20)</f>
        <v/>
      </c>
      <c r="I22" s="40" t="str">
        <f>IF($B22="","",ROUND(E22/'CẤU HÌNH'!$C$5*G22,0))</f>
        <v/>
      </c>
      <c r="J22" s="40" t="str">
        <f>IF($B22="","",ROUND('BẢNG CHẤM CA'!AR20*F22*'CẤU HÌNH'!$C$8,0))</f>
        <v/>
      </c>
      <c r="K22" s="40" t="str">
        <f>IF($B22="","",'NHÂN VIÊN'!G17)</f>
        <v/>
      </c>
      <c r="L22" s="40" t="str">
        <f>IF($B22="","",ROUND('NHÂN VIÊN'!H17*('BẢNG CHẤM CA'!AJ20+'BẢNG CHẤM CA'!AK20),0))</f>
        <v/>
      </c>
      <c r="M22" s="48"/>
      <c r="N22" s="49"/>
      <c r="O22" s="49"/>
      <c r="P22" s="49"/>
      <c r="Q22" s="40" t="str">
        <f>IF($B22="","",ROUND(F22*(N22*'CẤU HÌNH'!$C$9+O22*'CẤU HÌNH'!$C$10+P22*'CẤU HÌNH'!$C$11),0))</f>
        <v/>
      </c>
      <c r="R22" s="48"/>
      <c r="S22" s="40" t="str">
        <f t="shared" si="2"/>
        <v/>
      </c>
      <c r="T22" s="40" t="str">
        <f>IF($B22="","",ROUND(MIN('NHÂN VIÊN'!I17,'CẤU HÌNH'!$C$15)*'CẤU HÌNH'!$C$22,0))</f>
        <v/>
      </c>
      <c r="U22" s="40" t="str">
        <f>IF($B22="","",IF('CẤU HÌNH'!$C$19=1,J22+ROUND(F22*(N22*('CẤU HÌNH'!$C$9-1)+O22*('CẤU HÌNH'!$C$10-1)+P22*('CẤU HÌNH'!$C$11-1)),0),0)+MIN(L22,'CẤU HÌNH'!$C$18))</f>
        <v/>
      </c>
      <c r="V22" s="40" t="str">
        <f>IF($B22="","",MAX(0,S22-U22-T22-'CẤU HÌNH'!$C$16-'NHÂN VIÊN'!J17*'CẤU HÌNH'!$C$17))</f>
        <v/>
      </c>
      <c r="W22" s="40" t="str">
        <f>IF($B22="","",ROUND(SUMPRODUCT((V22&gt;'CẤU HÌNH'!$F$5:$F$9)*(V22-'CẤU HÌNH'!$F$5:$F$9)*'CẤU HÌNH'!$H$5:$H$9),0))</f>
        <v/>
      </c>
      <c r="X22" s="48"/>
      <c r="Y22" s="48"/>
      <c r="Z22" s="50" t="str">
        <f t="shared" si="3"/>
        <v/>
      </c>
      <c r="AA22" s="51"/>
    </row>
    <row r="23" ht="19.5" customHeight="1">
      <c r="A23" s="28" t="str">
        <f t="shared" si="1"/>
        <v/>
      </c>
      <c r="B23" s="36" t="str">
        <f>IF('NHÂN VIÊN'!B18="","",'NHÂN VIÊN'!B18)</f>
        <v/>
      </c>
      <c r="C23" s="36" t="str">
        <f>IF($B23="","",'NHÂN VIÊN'!C18)</f>
        <v/>
      </c>
      <c r="D23" s="36" t="str">
        <f>IF($B23="","",'NHÂN VIÊN'!E18)</f>
        <v/>
      </c>
      <c r="E23" s="40" t="str">
        <f>IF($B23="","",'NHÂN VIÊN'!F18)</f>
        <v/>
      </c>
      <c r="F23" s="40" t="str">
        <f>IF($B23="","",E23/'CẤU HÌNH'!$C$5/'CẤU HÌNH'!$C$6)</f>
        <v/>
      </c>
      <c r="G23" s="45" t="str">
        <f>IF($B23="","",'BẢNG CHẤM CA'!AQ21)</f>
        <v/>
      </c>
      <c r="H23" s="46" t="str">
        <f>IF($B23="","",'BẢNG CHẤM CA'!AK21)</f>
        <v/>
      </c>
      <c r="I23" s="40" t="str">
        <f>IF($B23="","",ROUND(E23/'CẤU HÌNH'!$C$5*G23,0))</f>
        <v/>
      </c>
      <c r="J23" s="40" t="str">
        <f>IF($B23="","",ROUND('BẢNG CHẤM CA'!AR21*F23*'CẤU HÌNH'!$C$8,0))</f>
        <v/>
      </c>
      <c r="K23" s="40" t="str">
        <f>IF($B23="","",'NHÂN VIÊN'!G18)</f>
        <v/>
      </c>
      <c r="L23" s="40" t="str">
        <f>IF($B23="","",ROUND('NHÂN VIÊN'!H18*('BẢNG CHẤM CA'!AJ21+'BẢNG CHẤM CA'!AK21),0))</f>
        <v/>
      </c>
      <c r="M23" s="48"/>
      <c r="N23" s="49"/>
      <c r="O23" s="49"/>
      <c r="P23" s="49"/>
      <c r="Q23" s="40" t="str">
        <f>IF($B23="","",ROUND(F23*(N23*'CẤU HÌNH'!$C$9+O23*'CẤU HÌNH'!$C$10+P23*'CẤU HÌNH'!$C$11),0))</f>
        <v/>
      </c>
      <c r="R23" s="48"/>
      <c r="S23" s="40" t="str">
        <f t="shared" si="2"/>
        <v/>
      </c>
      <c r="T23" s="40" t="str">
        <f>IF($B23="","",ROUND(MIN('NHÂN VIÊN'!I18,'CẤU HÌNH'!$C$15)*'CẤU HÌNH'!$C$22,0))</f>
        <v/>
      </c>
      <c r="U23" s="40" t="str">
        <f>IF($B23="","",IF('CẤU HÌNH'!$C$19=1,J23+ROUND(F23*(N23*('CẤU HÌNH'!$C$9-1)+O23*('CẤU HÌNH'!$C$10-1)+P23*('CẤU HÌNH'!$C$11-1)),0),0)+MIN(L23,'CẤU HÌNH'!$C$18))</f>
        <v/>
      </c>
      <c r="V23" s="40" t="str">
        <f>IF($B23="","",MAX(0,S23-U23-T23-'CẤU HÌNH'!$C$16-'NHÂN VIÊN'!J18*'CẤU HÌNH'!$C$17))</f>
        <v/>
      </c>
      <c r="W23" s="40" t="str">
        <f>IF($B23="","",ROUND(SUMPRODUCT((V23&gt;'CẤU HÌNH'!$F$5:$F$9)*(V23-'CẤU HÌNH'!$F$5:$F$9)*'CẤU HÌNH'!$H$5:$H$9),0))</f>
        <v/>
      </c>
      <c r="X23" s="48"/>
      <c r="Y23" s="48"/>
      <c r="Z23" s="50" t="str">
        <f t="shared" si="3"/>
        <v/>
      </c>
      <c r="AA23" s="51"/>
    </row>
    <row r="24" ht="19.5" customHeight="1">
      <c r="A24" s="28" t="str">
        <f t="shared" si="1"/>
        <v/>
      </c>
      <c r="B24" s="36" t="str">
        <f>IF('NHÂN VIÊN'!B19="","",'NHÂN VIÊN'!B19)</f>
        <v/>
      </c>
      <c r="C24" s="36" t="str">
        <f>IF($B24="","",'NHÂN VIÊN'!C19)</f>
        <v/>
      </c>
      <c r="D24" s="36" t="str">
        <f>IF($B24="","",'NHÂN VIÊN'!E19)</f>
        <v/>
      </c>
      <c r="E24" s="40" t="str">
        <f>IF($B24="","",'NHÂN VIÊN'!F19)</f>
        <v/>
      </c>
      <c r="F24" s="40" t="str">
        <f>IF($B24="","",E24/'CẤU HÌNH'!$C$5/'CẤU HÌNH'!$C$6)</f>
        <v/>
      </c>
      <c r="G24" s="45" t="str">
        <f>IF($B24="","",'BẢNG CHẤM CA'!AQ22)</f>
        <v/>
      </c>
      <c r="H24" s="46" t="str">
        <f>IF($B24="","",'BẢNG CHẤM CA'!AK22)</f>
        <v/>
      </c>
      <c r="I24" s="40" t="str">
        <f>IF($B24="","",ROUND(E24/'CẤU HÌNH'!$C$5*G24,0))</f>
        <v/>
      </c>
      <c r="J24" s="40" t="str">
        <f>IF($B24="","",ROUND('BẢNG CHẤM CA'!AR22*F24*'CẤU HÌNH'!$C$8,0))</f>
        <v/>
      </c>
      <c r="K24" s="40" t="str">
        <f>IF($B24="","",'NHÂN VIÊN'!G19)</f>
        <v/>
      </c>
      <c r="L24" s="40" t="str">
        <f>IF($B24="","",ROUND('NHÂN VIÊN'!H19*('BẢNG CHẤM CA'!AJ22+'BẢNG CHẤM CA'!AK22),0))</f>
        <v/>
      </c>
      <c r="M24" s="48"/>
      <c r="N24" s="49"/>
      <c r="O24" s="49"/>
      <c r="P24" s="49"/>
      <c r="Q24" s="40" t="str">
        <f>IF($B24="","",ROUND(F24*(N24*'CẤU HÌNH'!$C$9+O24*'CẤU HÌNH'!$C$10+P24*'CẤU HÌNH'!$C$11),0))</f>
        <v/>
      </c>
      <c r="R24" s="48"/>
      <c r="S24" s="40" t="str">
        <f t="shared" si="2"/>
        <v/>
      </c>
      <c r="T24" s="40" t="str">
        <f>IF($B24="","",ROUND(MIN('NHÂN VIÊN'!I19,'CẤU HÌNH'!$C$15)*'CẤU HÌNH'!$C$22,0))</f>
        <v/>
      </c>
      <c r="U24" s="40" t="str">
        <f>IF($B24="","",IF('CẤU HÌNH'!$C$19=1,J24+ROUND(F24*(N24*('CẤU HÌNH'!$C$9-1)+O24*('CẤU HÌNH'!$C$10-1)+P24*('CẤU HÌNH'!$C$11-1)),0),0)+MIN(L24,'CẤU HÌNH'!$C$18))</f>
        <v/>
      </c>
      <c r="V24" s="40" t="str">
        <f>IF($B24="","",MAX(0,S24-U24-T24-'CẤU HÌNH'!$C$16-'NHÂN VIÊN'!J19*'CẤU HÌNH'!$C$17))</f>
        <v/>
      </c>
      <c r="W24" s="40" t="str">
        <f>IF($B24="","",ROUND(SUMPRODUCT((V24&gt;'CẤU HÌNH'!$F$5:$F$9)*(V24-'CẤU HÌNH'!$F$5:$F$9)*'CẤU HÌNH'!$H$5:$H$9),0))</f>
        <v/>
      </c>
      <c r="X24" s="48"/>
      <c r="Y24" s="48"/>
      <c r="Z24" s="50" t="str">
        <f t="shared" si="3"/>
        <v/>
      </c>
      <c r="AA24" s="51"/>
    </row>
    <row r="25" ht="19.5" customHeight="1">
      <c r="A25" s="28" t="str">
        <f t="shared" si="1"/>
        <v/>
      </c>
      <c r="B25" s="36" t="str">
        <f>IF('NHÂN VIÊN'!B20="","",'NHÂN VIÊN'!B20)</f>
        <v/>
      </c>
      <c r="C25" s="36" t="str">
        <f>IF($B25="","",'NHÂN VIÊN'!C20)</f>
        <v/>
      </c>
      <c r="D25" s="36" t="str">
        <f>IF($B25="","",'NHÂN VIÊN'!E20)</f>
        <v/>
      </c>
      <c r="E25" s="40" t="str">
        <f>IF($B25="","",'NHÂN VIÊN'!F20)</f>
        <v/>
      </c>
      <c r="F25" s="40" t="str">
        <f>IF($B25="","",E25/'CẤU HÌNH'!$C$5/'CẤU HÌNH'!$C$6)</f>
        <v/>
      </c>
      <c r="G25" s="45" t="str">
        <f>IF($B25="","",'BẢNG CHẤM CA'!AQ23)</f>
        <v/>
      </c>
      <c r="H25" s="46" t="str">
        <f>IF($B25="","",'BẢNG CHẤM CA'!AK23)</f>
        <v/>
      </c>
      <c r="I25" s="40" t="str">
        <f>IF($B25="","",ROUND(E25/'CẤU HÌNH'!$C$5*G25,0))</f>
        <v/>
      </c>
      <c r="J25" s="40" t="str">
        <f>IF($B25="","",ROUND('BẢNG CHẤM CA'!AR23*F25*'CẤU HÌNH'!$C$8,0))</f>
        <v/>
      </c>
      <c r="K25" s="40" t="str">
        <f>IF($B25="","",'NHÂN VIÊN'!G20)</f>
        <v/>
      </c>
      <c r="L25" s="40" t="str">
        <f>IF($B25="","",ROUND('NHÂN VIÊN'!H20*('BẢNG CHẤM CA'!AJ23+'BẢNG CHẤM CA'!AK23),0))</f>
        <v/>
      </c>
      <c r="M25" s="48"/>
      <c r="N25" s="49"/>
      <c r="O25" s="49"/>
      <c r="P25" s="49"/>
      <c r="Q25" s="40" t="str">
        <f>IF($B25="","",ROUND(F25*(N25*'CẤU HÌNH'!$C$9+O25*'CẤU HÌNH'!$C$10+P25*'CẤU HÌNH'!$C$11),0))</f>
        <v/>
      </c>
      <c r="R25" s="48"/>
      <c r="S25" s="40" t="str">
        <f t="shared" si="2"/>
        <v/>
      </c>
      <c r="T25" s="40" t="str">
        <f>IF($B25="","",ROUND(MIN('NHÂN VIÊN'!I20,'CẤU HÌNH'!$C$15)*'CẤU HÌNH'!$C$22,0))</f>
        <v/>
      </c>
      <c r="U25" s="40" t="str">
        <f>IF($B25="","",IF('CẤU HÌNH'!$C$19=1,J25+ROUND(F25*(N25*('CẤU HÌNH'!$C$9-1)+O25*('CẤU HÌNH'!$C$10-1)+P25*('CẤU HÌNH'!$C$11-1)),0),0)+MIN(L25,'CẤU HÌNH'!$C$18))</f>
        <v/>
      </c>
      <c r="V25" s="40" t="str">
        <f>IF($B25="","",MAX(0,S25-U25-T25-'CẤU HÌNH'!$C$16-'NHÂN VIÊN'!J20*'CẤU HÌNH'!$C$17))</f>
        <v/>
      </c>
      <c r="W25" s="40" t="str">
        <f>IF($B25="","",ROUND(SUMPRODUCT((V25&gt;'CẤU HÌNH'!$F$5:$F$9)*(V25-'CẤU HÌNH'!$F$5:$F$9)*'CẤU HÌNH'!$H$5:$H$9),0))</f>
        <v/>
      </c>
      <c r="X25" s="48"/>
      <c r="Y25" s="48"/>
      <c r="Z25" s="50" t="str">
        <f t="shared" si="3"/>
        <v/>
      </c>
      <c r="AA25" s="51"/>
    </row>
    <row r="26" ht="19.5" customHeight="1">
      <c r="A26" s="28" t="str">
        <f t="shared" si="1"/>
        <v/>
      </c>
      <c r="B26" s="36" t="str">
        <f>IF('NHÂN VIÊN'!B21="","",'NHÂN VIÊN'!B21)</f>
        <v/>
      </c>
      <c r="C26" s="36" t="str">
        <f>IF($B26="","",'NHÂN VIÊN'!C21)</f>
        <v/>
      </c>
      <c r="D26" s="36" t="str">
        <f>IF($B26="","",'NHÂN VIÊN'!E21)</f>
        <v/>
      </c>
      <c r="E26" s="40" t="str">
        <f>IF($B26="","",'NHÂN VIÊN'!F21)</f>
        <v/>
      </c>
      <c r="F26" s="40" t="str">
        <f>IF($B26="","",E26/'CẤU HÌNH'!$C$5/'CẤU HÌNH'!$C$6)</f>
        <v/>
      </c>
      <c r="G26" s="45" t="str">
        <f>IF($B26="","",'BẢNG CHẤM CA'!AQ24)</f>
        <v/>
      </c>
      <c r="H26" s="46" t="str">
        <f>IF($B26="","",'BẢNG CHẤM CA'!AK24)</f>
        <v/>
      </c>
      <c r="I26" s="40" t="str">
        <f>IF($B26="","",ROUND(E26/'CẤU HÌNH'!$C$5*G26,0))</f>
        <v/>
      </c>
      <c r="J26" s="40" t="str">
        <f>IF($B26="","",ROUND('BẢNG CHẤM CA'!AR24*F26*'CẤU HÌNH'!$C$8,0))</f>
        <v/>
      </c>
      <c r="K26" s="40" t="str">
        <f>IF($B26="","",'NHÂN VIÊN'!G21)</f>
        <v/>
      </c>
      <c r="L26" s="40" t="str">
        <f>IF($B26="","",ROUND('NHÂN VIÊN'!H21*('BẢNG CHẤM CA'!AJ24+'BẢNG CHẤM CA'!AK24),0))</f>
        <v/>
      </c>
      <c r="M26" s="48"/>
      <c r="N26" s="49"/>
      <c r="O26" s="49"/>
      <c r="P26" s="49"/>
      <c r="Q26" s="40" t="str">
        <f>IF($B26="","",ROUND(F26*(N26*'CẤU HÌNH'!$C$9+O26*'CẤU HÌNH'!$C$10+P26*'CẤU HÌNH'!$C$11),0))</f>
        <v/>
      </c>
      <c r="R26" s="48"/>
      <c r="S26" s="40" t="str">
        <f t="shared" si="2"/>
        <v/>
      </c>
      <c r="T26" s="40" t="str">
        <f>IF($B26="","",ROUND(MIN('NHÂN VIÊN'!I21,'CẤU HÌNH'!$C$15)*'CẤU HÌNH'!$C$22,0))</f>
        <v/>
      </c>
      <c r="U26" s="40" t="str">
        <f>IF($B26="","",IF('CẤU HÌNH'!$C$19=1,J26+ROUND(F26*(N26*('CẤU HÌNH'!$C$9-1)+O26*('CẤU HÌNH'!$C$10-1)+P26*('CẤU HÌNH'!$C$11-1)),0),0)+MIN(L26,'CẤU HÌNH'!$C$18))</f>
        <v/>
      </c>
      <c r="V26" s="40" t="str">
        <f>IF($B26="","",MAX(0,S26-U26-T26-'CẤU HÌNH'!$C$16-'NHÂN VIÊN'!J21*'CẤU HÌNH'!$C$17))</f>
        <v/>
      </c>
      <c r="W26" s="40" t="str">
        <f>IF($B26="","",ROUND(SUMPRODUCT((V26&gt;'CẤU HÌNH'!$F$5:$F$9)*(V26-'CẤU HÌNH'!$F$5:$F$9)*'CẤU HÌNH'!$H$5:$H$9),0))</f>
        <v/>
      </c>
      <c r="X26" s="48"/>
      <c r="Y26" s="48"/>
      <c r="Z26" s="50" t="str">
        <f t="shared" si="3"/>
        <v/>
      </c>
      <c r="AA26" s="51"/>
    </row>
    <row r="27" ht="19.5" customHeight="1">
      <c r="A27" s="28" t="str">
        <f t="shared" si="1"/>
        <v/>
      </c>
      <c r="B27" s="36" t="str">
        <f>IF('NHÂN VIÊN'!B22="","",'NHÂN VIÊN'!B22)</f>
        <v/>
      </c>
      <c r="C27" s="36" t="str">
        <f>IF($B27="","",'NHÂN VIÊN'!C22)</f>
        <v/>
      </c>
      <c r="D27" s="36" t="str">
        <f>IF($B27="","",'NHÂN VIÊN'!E22)</f>
        <v/>
      </c>
      <c r="E27" s="40" t="str">
        <f>IF($B27="","",'NHÂN VIÊN'!F22)</f>
        <v/>
      </c>
      <c r="F27" s="40" t="str">
        <f>IF($B27="","",E27/'CẤU HÌNH'!$C$5/'CẤU HÌNH'!$C$6)</f>
        <v/>
      </c>
      <c r="G27" s="45" t="str">
        <f>IF($B27="","",'BẢNG CHẤM CA'!AQ25)</f>
        <v/>
      </c>
      <c r="H27" s="46" t="str">
        <f>IF($B27="","",'BẢNG CHẤM CA'!AK25)</f>
        <v/>
      </c>
      <c r="I27" s="40" t="str">
        <f>IF($B27="","",ROUND(E27/'CẤU HÌNH'!$C$5*G27,0))</f>
        <v/>
      </c>
      <c r="J27" s="40" t="str">
        <f>IF($B27="","",ROUND('BẢNG CHẤM CA'!AR25*F27*'CẤU HÌNH'!$C$8,0))</f>
        <v/>
      </c>
      <c r="K27" s="40" t="str">
        <f>IF($B27="","",'NHÂN VIÊN'!G22)</f>
        <v/>
      </c>
      <c r="L27" s="40" t="str">
        <f>IF($B27="","",ROUND('NHÂN VIÊN'!H22*('BẢNG CHẤM CA'!AJ25+'BẢNG CHẤM CA'!AK25),0))</f>
        <v/>
      </c>
      <c r="M27" s="48"/>
      <c r="N27" s="49"/>
      <c r="O27" s="49"/>
      <c r="P27" s="49"/>
      <c r="Q27" s="40" t="str">
        <f>IF($B27="","",ROUND(F27*(N27*'CẤU HÌNH'!$C$9+O27*'CẤU HÌNH'!$C$10+P27*'CẤU HÌNH'!$C$11),0))</f>
        <v/>
      </c>
      <c r="R27" s="48"/>
      <c r="S27" s="40" t="str">
        <f t="shared" si="2"/>
        <v/>
      </c>
      <c r="T27" s="40" t="str">
        <f>IF($B27="","",ROUND(MIN('NHÂN VIÊN'!I22,'CẤU HÌNH'!$C$15)*'CẤU HÌNH'!$C$22,0))</f>
        <v/>
      </c>
      <c r="U27" s="40" t="str">
        <f>IF($B27="","",IF('CẤU HÌNH'!$C$19=1,J27+ROUND(F27*(N27*('CẤU HÌNH'!$C$9-1)+O27*('CẤU HÌNH'!$C$10-1)+P27*('CẤU HÌNH'!$C$11-1)),0),0)+MIN(L27,'CẤU HÌNH'!$C$18))</f>
        <v/>
      </c>
      <c r="V27" s="40" t="str">
        <f>IF($B27="","",MAX(0,S27-U27-T27-'CẤU HÌNH'!$C$16-'NHÂN VIÊN'!J22*'CẤU HÌNH'!$C$17))</f>
        <v/>
      </c>
      <c r="W27" s="40" t="str">
        <f>IF($B27="","",ROUND(SUMPRODUCT((V27&gt;'CẤU HÌNH'!$F$5:$F$9)*(V27-'CẤU HÌNH'!$F$5:$F$9)*'CẤU HÌNH'!$H$5:$H$9),0))</f>
        <v/>
      </c>
      <c r="X27" s="48"/>
      <c r="Y27" s="48"/>
      <c r="Z27" s="50" t="str">
        <f t="shared" si="3"/>
        <v/>
      </c>
      <c r="AA27" s="51"/>
    </row>
    <row r="28" ht="19.5" customHeight="1">
      <c r="A28" s="28" t="str">
        <f t="shared" si="1"/>
        <v/>
      </c>
      <c r="B28" s="36" t="str">
        <f>IF('NHÂN VIÊN'!B23="","",'NHÂN VIÊN'!B23)</f>
        <v/>
      </c>
      <c r="C28" s="36" t="str">
        <f>IF($B28="","",'NHÂN VIÊN'!C23)</f>
        <v/>
      </c>
      <c r="D28" s="36" t="str">
        <f>IF($B28="","",'NHÂN VIÊN'!E23)</f>
        <v/>
      </c>
      <c r="E28" s="40" t="str">
        <f>IF($B28="","",'NHÂN VIÊN'!F23)</f>
        <v/>
      </c>
      <c r="F28" s="40" t="str">
        <f>IF($B28="","",E28/'CẤU HÌNH'!$C$5/'CẤU HÌNH'!$C$6)</f>
        <v/>
      </c>
      <c r="G28" s="45" t="str">
        <f>IF($B28="","",'BẢNG CHẤM CA'!AQ26)</f>
        <v/>
      </c>
      <c r="H28" s="46" t="str">
        <f>IF($B28="","",'BẢNG CHẤM CA'!AK26)</f>
        <v/>
      </c>
      <c r="I28" s="40" t="str">
        <f>IF($B28="","",ROUND(E28/'CẤU HÌNH'!$C$5*G28,0))</f>
        <v/>
      </c>
      <c r="J28" s="40" t="str">
        <f>IF($B28="","",ROUND('BẢNG CHẤM CA'!AR26*F28*'CẤU HÌNH'!$C$8,0))</f>
        <v/>
      </c>
      <c r="K28" s="40" t="str">
        <f>IF($B28="","",'NHÂN VIÊN'!G23)</f>
        <v/>
      </c>
      <c r="L28" s="40" t="str">
        <f>IF($B28="","",ROUND('NHÂN VIÊN'!H23*('BẢNG CHẤM CA'!AJ26+'BẢNG CHẤM CA'!AK26),0))</f>
        <v/>
      </c>
      <c r="M28" s="48"/>
      <c r="N28" s="49"/>
      <c r="O28" s="49"/>
      <c r="P28" s="49"/>
      <c r="Q28" s="40" t="str">
        <f>IF($B28="","",ROUND(F28*(N28*'CẤU HÌNH'!$C$9+O28*'CẤU HÌNH'!$C$10+P28*'CẤU HÌNH'!$C$11),0))</f>
        <v/>
      </c>
      <c r="R28" s="48"/>
      <c r="S28" s="40" t="str">
        <f t="shared" si="2"/>
        <v/>
      </c>
      <c r="T28" s="40" t="str">
        <f>IF($B28="","",ROUND(MIN('NHÂN VIÊN'!I23,'CẤU HÌNH'!$C$15)*'CẤU HÌNH'!$C$22,0))</f>
        <v/>
      </c>
      <c r="U28" s="40" t="str">
        <f>IF($B28="","",IF('CẤU HÌNH'!$C$19=1,J28+ROUND(F28*(N28*('CẤU HÌNH'!$C$9-1)+O28*('CẤU HÌNH'!$C$10-1)+P28*('CẤU HÌNH'!$C$11-1)),0),0)+MIN(L28,'CẤU HÌNH'!$C$18))</f>
        <v/>
      </c>
      <c r="V28" s="40" t="str">
        <f>IF($B28="","",MAX(0,S28-U28-T28-'CẤU HÌNH'!$C$16-'NHÂN VIÊN'!J23*'CẤU HÌNH'!$C$17))</f>
        <v/>
      </c>
      <c r="W28" s="40" t="str">
        <f>IF($B28="","",ROUND(SUMPRODUCT((V28&gt;'CẤU HÌNH'!$F$5:$F$9)*(V28-'CẤU HÌNH'!$F$5:$F$9)*'CẤU HÌNH'!$H$5:$H$9),0))</f>
        <v/>
      </c>
      <c r="X28" s="48"/>
      <c r="Y28" s="48"/>
      <c r="Z28" s="50" t="str">
        <f t="shared" si="3"/>
        <v/>
      </c>
      <c r="AA28" s="51"/>
    </row>
    <row r="29" ht="19.5" customHeight="1">
      <c r="A29" s="28" t="str">
        <f t="shared" si="1"/>
        <v/>
      </c>
      <c r="B29" s="36" t="str">
        <f>IF('NHÂN VIÊN'!B24="","",'NHÂN VIÊN'!B24)</f>
        <v/>
      </c>
      <c r="C29" s="36" t="str">
        <f>IF($B29="","",'NHÂN VIÊN'!C24)</f>
        <v/>
      </c>
      <c r="D29" s="36" t="str">
        <f>IF($B29="","",'NHÂN VIÊN'!E24)</f>
        <v/>
      </c>
      <c r="E29" s="40" t="str">
        <f>IF($B29="","",'NHÂN VIÊN'!F24)</f>
        <v/>
      </c>
      <c r="F29" s="40" t="str">
        <f>IF($B29="","",E29/'CẤU HÌNH'!$C$5/'CẤU HÌNH'!$C$6)</f>
        <v/>
      </c>
      <c r="G29" s="45" t="str">
        <f>IF($B29="","",'BẢNG CHẤM CA'!AQ27)</f>
        <v/>
      </c>
      <c r="H29" s="46" t="str">
        <f>IF($B29="","",'BẢNG CHẤM CA'!AK27)</f>
        <v/>
      </c>
      <c r="I29" s="40" t="str">
        <f>IF($B29="","",ROUND(E29/'CẤU HÌNH'!$C$5*G29,0))</f>
        <v/>
      </c>
      <c r="J29" s="40" t="str">
        <f>IF($B29="","",ROUND('BẢNG CHẤM CA'!AR27*F29*'CẤU HÌNH'!$C$8,0))</f>
        <v/>
      </c>
      <c r="K29" s="40" t="str">
        <f>IF($B29="","",'NHÂN VIÊN'!G24)</f>
        <v/>
      </c>
      <c r="L29" s="40" t="str">
        <f>IF($B29="","",ROUND('NHÂN VIÊN'!H24*('BẢNG CHẤM CA'!AJ27+'BẢNG CHẤM CA'!AK27),0))</f>
        <v/>
      </c>
      <c r="M29" s="48"/>
      <c r="N29" s="49"/>
      <c r="O29" s="49"/>
      <c r="P29" s="49"/>
      <c r="Q29" s="40" t="str">
        <f>IF($B29="","",ROUND(F29*(N29*'CẤU HÌNH'!$C$9+O29*'CẤU HÌNH'!$C$10+P29*'CẤU HÌNH'!$C$11),0))</f>
        <v/>
      </c>
      <c r="R29" s="48"/>
      <c r="S29" s="40" t="str">
        <f t="shared" si="2"/>
        <v/>
      </c>
      <c r="T29" s="40" t="str">
        <f>IF($B29="","",ROUND(MIN('NHÂN VIÊN'!I24,'CẤU HÌNH'!$C$15)*'CẤU HÌNH'!$C$22,0))</f>
        <v/>
      </c>
      <c r="U29" s="40" t="str">
        <f>IF($B29="","",IF('CẤU HÌNH'!$C$19=1,J29+ROUND(F29*(N29*('CẤU HÌNH'!$C$9-1)+O29*('CẤU HÌNH'!$C$10-1)+P29*('CẤU HÌNH'!$C$11-1)),0),0)+MIN(L29,'CẤU HÌNH'!$C$18))</f>
        <v/>
      </c>
      <c r="V29" s="40" t="str">
        <f>IF($B29="","",MAX(0,S29-U29-T29-'CẤU HÌNH'!$C$16-'NHÂN VIÊN'!J24*'CẤU HÌNH'!$C$17))</f>
        <v/>
      </c>
      <c r="W29" s="40" t="str">
        <f>IF($B29="","",ROUND(SUMPRODUCT((V29&gt;'CẤU HÌNH'!$F$5:$F$9)*(V29-'CẤU HÌNH'!$F$5:$F$9)*'CẤU HÌNH'!$H$5:$H$9),0))</f>
        <v/>
      </c>
      <c r="X29" s="48"/>
      <c r="Y29" s="48"/>
      <c r="Z29" s="50" t="str">
        <f t="shared" si="3"/>
        <v/>
      </c>
      <c r="AA29" s="51"/>
    </row>
    <row r="30" ht="19.5" customHeight="1">
      <c r="A30" s="28" t="str">
        <f t="shared" si="1"/>
        <v/>
      </c>
      <c r="B30" s="36" t="str">
        <f>IF('NHÂN VIÊN'!B25="","",'NHÂN VIÊN'!B25)</f>
        <v/>
      </c>
      <c r="C30" s="36" t="str">
        <f>IF($B30="","",'NHÂN VIÊN'!C25)</f>
        <v/>
      </c>
      <c r="D30" s="36" t="str">
        <f>IF($B30="","",'NHÂN VIÊN'!E25)</f>
        <v/>
      </c>
      <c r="E30" s="40" t="str">
        <f>IF($B30="","",'NHÂN VIÊN'!F25)</f>
        <v/>
      </c>
      <c r="F30" s="40" t="str">
        <f>IF($B30="","",E30/'CẤU HÌNH'!$C$5/'CẤU HÌNH'!$C$6)</f>
        <v/>
      </c>
      <c r="G30" s="45" t="str">
        <f>IF($B30="","",'BẢNG CHẤM CA'!AQ28)</f>
        <v/>
      </c>
      <c r="H30" s="46" t="str">
        <f>IF($B30="","",'BẢNG CHẤM CA'!AK28)</f>
        <v/>
      </c>
      <c r="I30" s="40" t="str">
        <f>IF($B30="","",ROUND(E30/'CẤU HÌNH'!$C$5*G30,0))</f>
        <v/>
      </c>
      <c r="J30" s="40" t="str">
        <f>IF($B30="","",ROUND('BẢNG CHẤM CA'!AR28*F30*'CẤU HÌNH'!$C$8,0))</f>
        <v/>
      </c>
      <c r="K30" s="40" t="str">
        <f>IF($B30="","",'NHÂN VIÊN'!G25)</f>
        <v/>
      </c>
      <c r="L30" s="40" t="str">
        <f>IF($B30="","",ROUND('NHÂN VIÊN'!H25*('BẢNG CHẤM CA'!AJ28+'BẢNG CHẤM CA'!AK28),0))</f>
        <v/>
      </c>
      <c r="M30" s="48"/>
      <c r="N30" s="49"/>
      <c r="O30" s="49"/>
      <c r="P30" s="49"/>
      <c r="Q30" s="40" t="str">
        <f>IF($B30="","",ROUND(F30*(N30*'CẤU HÌNH'!$C$9+O30*'CẤU HÌNH'!$C$10+P30*'CẤU HÌNH'!$C$11),0))</f>
        <v/>
      </c>
      <c r="R30" s="48"/>
      <c r="S30" s="40" t="str">
        <f t="shared" si="2"/>
        <v/>
      </c>
      <c r="T30" s="40" t="str">
        <f>IF($B30="","",ROUND(MIN('NHÂN VIÊN'!I25,'CẤU HÌNH'!$C$15)*'CẤU HÌNH'!$C$22,0))</f>
        <v/>
      </c>
      <c r="U30" s="40" t="str">
        <f>IF($B30="","",IF('CẤU HÌNH'!$C$19=1,J30+ROUND(F30*(N30*('CẤU HÌNH'!$C$9-1)+O30*('CẤU HÌNH'!$C$10-1)+P30*('CẤU HÌNH'!$C$11-1)),0),0)+MIN(L30,'CẤU HÌNH'!$C$18))</f>
        <v/>
      </c>
      <c r="V30" s="40" t="str">
        <f>IF($B30="","",MAX(0,S30-U30-T30-'CẤU HÌNH'!$C$16-'NHÂN VIÊN'!J25*'CẤU HÌNH'!$C$17))</f>
        <v/>
      </c>
      <c r="W30" s="40" t="str">
        <f>IF($B30="","",ROUND(SUMPRODUCT((V30&gt;'CẤU HÌNH'!$F$5:$F$9)*(V30-'CẤU HÌNH'!$F$5:$F$9)*'CẤU HÌNH'!$H$5:$H$9),0))</f>
        <v/>
      </c>
      <c r="X30" s="48"/>
      <c r="Y30" s="48"/>
      <c r="Z30" s="50" t="str">
        <f t="shared" si="3"/>
        <v/>
      </c>
      <c r="AA30" s="51"/>
    </row>
    <row r="31" ht="19.5" customHeight="1">
      <c r="A31" s="28" t="str">
        <f t="shared" si="1"/>
        <v/>
      </c>
      <c r="B31" s="36" t="str">
        <f>IF('NHÂN VIÊN'!B26="","",'NHÂN VIÊN'!B26)</f>
        <v/>
      </c>
      <c r="C31" s="36" t="str">
        <f>IF($B31="","",'NHÂN VIÊN'!C26)</f>
        <v/>
      </c>
      <c r="D31" s="36" t="str">
        <f>IF($B31="","",'NHÂN VIÊN'!E26)</f>
        <v/>
      </c>
      <c r="E31" s="40" t="str">
        <f>IF($B31="","",'NHÂN VIÊN'!F26)</f>
        <v/>
      </c>
      <c r="F31" s="40" t="str">
        <f>IF($B31="","",E31/'CẤU HÌNH'!$C$5/'CẤU HÌNH'!$C$6)</f>
        <v/>
      </c>
      <c r="G31" s="45" t="str">
        <f>IF($B31="","",'BẢNG CHẤM CA'!AQ29)</f>
        <v/>
      </c>
      <c r="H31" s="46" t="str">
        <f>IF($B31="","",'BẢNG CHẤM CA'!AK29)</f>
        <v/>
      </c>
      <c r="I31" s="40" t="str">
        <f>IF($B31="","",ROUND(E31/'CẤU HÌNH'!$C$5*G31,0))</f>
        <v/>
      </c>
      <c r="J31" s="40" t="str">
        <f>IF($B31="","",ROUND('BẢNG CHẤM CA'!AR29*F31*'CẤU HÌNH'!$C$8,0))</f>
        <v/>
      </c>
      <c r="K31" s="40" t="str">
        <f>IF($B31="","",'NHÂN VIÊN'!G26)</f>
        <v/>
      </c>
      <c r="L31" s="40" t="str">
        <f>IF($B31="","",ROUND('NHÂN VIÊN'!H26*('BẢNG CHẤM CA'!AJ29+'BẢNG CHẤM CA'!AK29),0))</f>
        <v/>
      </c>
      <c r="M31" s="48"/>
      <c r="N31" s="49"/>
      <c r="O31" s="49"/>
      <c r="P31" s="49"/>
      <c r="Q31" s="40" t="str">
        <f>IF($B31="","",ROUND(F31*(N31*'CẤU HÌNH'!$C$9+O31*'CẤU HÌNH'!$C$10+P31*'CẤU HÌNH'!$C$11),0))</f>
        <v/>
      </c>
      <c r="R31" s="48"/>
      <c r="S31" s="40" t="str">
        <f t="shared" si="2"/>
        <v/>
      </c>
      <c r="T31" s="40" t="str">
        <f>IF($B31="","",ROUND(MIN('NHÂN VIÊN'!I26,'CẤU HÌNH'!$C$15)*'CẤU HÌNH'!$C$22,0))</f>
        <v/>
      </c>
      <c r="U31" s="40" t="str">
        <f>IF($B31="","",IF('CẤU HÌNH'!$C$19=1,J31+ROUND(F31*(N31*('CẤU HÌNH'!$C$9-1)+O31*('CẤU HÌNH'!$C$10-1)+P31*('CẤU HÌNH'!$C$11-1)),0),0)+MIN(L31,'CẤU HÌNH'!$C$18))</f>
        <v/>
      </c>
      <c r="V31" s="40" t="str">
        <f>IF($B31="","",MAX(0,S31-U31-T31-'CẤU HÌNH'!$C$16-'NHÂN VIÊN'!J26*'CẤU HÌNH'!$C$17))</f>
        <v/>
      </c>
      <c r="W31" s="40" t="str">
        <f>IF($B31="","",ROUND(SUMPRODUCT((V31&gt;'CẤU HÌNH'!$F$5:$F$9)*(V31-'CẤU HÌNH'!$F$5:$F$9)*'CẤU HÌNH'!$H$5:$H$9),0))</f>
        <v/>
      </c>
      <c r="X31" s="48"/>
      <c r="Y31" s="48"/>
      <c r="Z31" s="50" t="str">
        <f t="shared" si="3"/>
        <v/>
      </c>
      <c r="AA31" s="51"/>
    </row>
    <row r="32" ht="19.5" customHeight="1">
      <c r="A32" s="28" t="str">
        <f t="shared" si="1"/>
        <v/>
      </c>
      <c r="B32" s="36" t="str">
        <f>IF('NHÂN VIÊN'!B27="","",'NHÂN VIÊN'!B27)</f>
        <v/>
      </c>
      <c r="C32" s="36" t="str">
        <f>IF($B32="","",'NHÂN VIÊN'!C27)</f>
        <v/>
      </c>
      <c r="D32" s="36" t="str">
        <f>IF($B32="","",'NHÂN VIÊN'!E27)</f>
        <v/>
      </c>
      <c r="E32" s="40" t="str">
        <f>IF($B32="","",'NHÂN VIÊN'!F27)</f>
        <v/>
      </c>
      <c r="F32" s="40" t="str">
        <f>IF($B32="","",E32/'CẤU HÌNH'!$C$5/'CẤU HÌNH'!$C$6)</f>
        <v/>
      </c>
      <c r="G32" s="45" t="str">
        <f>IF($B32="","",'BẢNG CHẤM CA'!AQ30)</f>
        <v/>
      </c>
      <c r="H32" s="46" t="str">
        <f>IF($B32="","",'BẢNG CHẤM CA'!AK30)</f>
        <v/>
      </c>
      <c r="I32" s="40" t="str">
        <f>IF($B32="","",ROUND(E32/'CẤU HÌNH'!$C$5*G32,0))</f>
        <v/>
      </c>
      <c r="J32" s="40" t="str">
        <f>IF($B32="","",ROUND('BẢNG CHẤM CA'!AR30*F32*'CẤU HÌNH'!$C$8,0))</f>
        <v/>
      </c>
      <c r="K32" s="40" t="str">
        <f>IF($B32="","",'NHÂN VIÊN'!G27)</f>
        <v/>
      </c>
      <c r="L32" s="40" t="str">
        <f>IF($B32="","",ROUND('NHÂN VIÊN'!H27*('BẢNG CHẤM CA'!AJ30+'BẢNG CHẤM CA'!AK30),0))</f>
        <v/>
      </c>
      <c r="M32" s="48"/>
      <c r="N32" s="49"/>
      <c r="O32" s="49"/>
      <c r="P32" s="49"/>
      <c r="Q32" s="40" t="str">
        <f>IF($B32="","",ROUND(F32*(N32*'CẤU HÌNH'!$C$9+O32*'CẤU HÌNH'!$C$10+P32*'CẤU HÌNH'!$C$11),0))</f>
        <v/>
      </c>
      <c r="R32" s="48"/>
      <c r="S32" s="40" t="str">
        <f t="shared" si="2"/>
        <v/>
      </c>
      <c r="T32" s="40" t="str">
        <f>IF($B32="","",ROUND(MIN('NHÂN VIÊN'!I27,'CẤU HÌNH'!$C$15)*'CẤU HÌNH'!$C$22,0))</f>
        <v/>
      </c>
      <c r="U32" s="40" t="str">
        <f>IF($B32="","",IF('CẤU HÌNH'!$C$19=1,J32+ROUND(F32*(N32*('CẤU HÌNH'!$C$9-1)+O32*('CẤU HÌNH'!$C$10-1)+P32*('CẤU HÌNH'!$C$11-1)),0),0)+MIN(L32,'CẤU HÌNH'!$C$18))</f>
        <v/>
      </c>
      <c r="V32" s="40" t="str">
        <f>IF($B32="","",MAX(0,S32-U32-T32-'CẤU HÌNH'!$C$16-'NHÂN VIÊN'!J27*'CẤU HÌNH'!$C$17))</f>
        <v/>
      </c>
      <c r="W32" s="40" t="str">
        <f>IF($B32="","",ROUND(SUMPRODUCT((V32&gt;'CẤU HÌNH'!$F$5:$F$9)*(V32-'CẤU HÌNH'!$F$5:$F$9)*'CẤU HÌNH'!$H$5:$H$9),0))</f>
        <v/>
      </c>
      <c r="X32" s="48"/>
      <c r="Y32" s="48"/>
      <c r="Z32" s="50" t="str">
        <f t="shared" si="3"/>
        <v/>
      </c>
      <c r="AA32" s="51"/>
    </row>
    <row r="33" ht="19.5" customHeight="1">
      <c r="A33" s="28" t="str">
        <f t="shared" si="1"/>
        <v/>
      </c>
      <c r="B33" s="36" t="str">
        <f>IF('NHÂN VIÊN'!B28="","",'NHÂN VIÊN'!B28)</f>
        <v/>
      </c>
      <c r="C33" s="36" t="str">
        <f>IF($B33="","",'NHÂN VIÊN'!C28)</f>
        <v/>
      </c>
      <c r="D33" s="36" t="str">
        <f>IF($B33="","",'NHÂN VIÊN'!E28)</f>
        <v/>
      </c>
      <c r="E33" s="40" t="str">
        <f>IF($B33="","",'NHÂN VIÊN'!F28)</f>
        <v/>
      </c>
      <c r="F33" s="40" t="str">
        <f>IF($B33="","",E33/'CẤU HÌNH'!$C$5/'CẤU HÌNH'!$C$6)</f>
        <v/>
      </c>
      <c r="G33" s="45" t="str">
        <f>IF($B33="","",'BẢNG CHẤM CA'!AQ31)</f>
        <v/>
      </c>
      <c r="H33" s="46" t="str">
        <f>IF($B33="","",'BẢNG CHẤM CA'!AK31)</f>
        <v/>
      </c>
      <c r="I33" s="40" t="str">
        <f>IF($B33="","",ROUND(E33/'CẤU HÌNH'!$C$5*G33,0))</f>
        <v/>
      </c>
      <c r="J33" s="40" t="str">
        <f>IF($B33="","",ROUND('BẢNG CHẤM CA'!AR31*F33*'CẤU HÌNH'!$C$8,0))</f>
        <v/>
      </c>
      <c r="K33" s="40" t="str">
        <f>IF($B33="","",'NHÂN VIÊN'!G28)</f>
        <v/>
      </c>
      <c r="L33" s="40" t="str">
        <f>IF($B33="","",ROUND('NHÂN VIÊN'!H28*('BẢNG CHẤM CA'!AJ31+'BẢNG CHẤM CA'!AK31),0))</f>
        <v/>
      </c>
      <c r="M33" s="48"/>
      <c r="N33" s="49"/>
      <c r="O33" s="49"/>
      <c r="P33" s="49"/>
      <c r="Q33" s="40" t="str">
        <f>IF($B33="","",ROUND(F33*(N33*'CẤU HÌNH'!$C$9+O33*'CẤU HÌNH'!$C$10+P33*'CẤU HÌNH'!$C$11),0))</f>
        <v/>
      </c>
      <c r="R33" s="48"/>
      <c r="S33" s="40" t="str">
        <f t="shared" si="2"/>
        <v/>
      </c>
      <c r="T33" s="40" t="str">
        <f>IF($B33="","",ROUND(MIN('NHÂN VIÊN'!I28,'CẤU HÌNH'!$C$15)*'CẤU HÌNH'!$C$22,0))</f>
        <v/>
      </c>
      <c r="U33" s="40" t="str">
        <f>IF($B33="","",IF('CẤU HÌNH'!$C$19=1,J33+ROUND(F33*(N33*('CẤU HÌNH'!$C$9-1)+O33*('CẤU HÌNH'!$C$10-1)+P33*('CẤU HÌNH'!$C$11-1)),0),0)+MIN(L33,'CẤU HÌNH'!$C$18))</f>
        <v/>
      </c>
      <c r="V33" s="40" t="str">
        <f>IF($B33="","",MAX(0,S33-U33-T33-'CẤU HÌNH'!$C$16-'NHÂN VIÊN'!J28*'CẤU HÌNH'!$C$17))</f>
        <v/>
      </c>
      <c r="W33" s="40" t="str">
        <f>IF($B33="","",ROUND(SUMPRODUCT((V33&gt;'CẤU HÌNH'!$F$5:$F$9)*(V33-'CẤU HÌNH'!$F$5:$F$9)*'CẤU HÌNH'!$H$5:$H$9),0))</f>
        <v/>
      </c>
      <c r="X33" s="48"/>
      <c r="Y33" s="48"/>
      <c r="Z33" s="50" t="str">
        <f t="shared" si="3"/>
        <v/>
      </c>
      <c r="AA33" s="51"/>
    </row>
    <row r="34" ht="19.5" customHeight="1">
      <c r="A34" s="28" t="str">
        <f t="shared" si="1"/>
        <v/>
      </c>
      <c r="B34" s="36" t="str">
        <f>IF('NHÂN VIÊN'!B29="","",'NHÂN VIÊN'!B29)</f>
        <v/>
      </c>
      <c r="C34" s="36" t="str">
        <f>IF($B34="","",'NHÂN VIÊN'!C29)</f>
        <v/>
      </c>
      <c r="D34" s="36" t="str">
        <f>IF($B34="","",'NHÂN VIÊN'!E29)</f>
        <v/>
      </c>
      <c r="E34" s="40" t="str">
        <f>IF($B34="","",'NHÂN VIÊN'!F29)</f>
        <v/>
      </c>
      <c r="F34" s="40" t="str">
        <f>IF($B34="","",E34/'CẤU HÌNH'!$C$5/'CẤU HÌNH'!$C$6)</f>
        <v/>
      </c>
      <c r="G34" s="45" t="str">
        <f>IF($B34="","",'BẢNG CHẤM CA'!AQ32)</f>
        <v/>
      </c>
      <c r="H34" s="46" t="str">
        <f>IF($B34="","",'BẢNG CHẤM CA'!AK32)</f>
        <v/>
      </c>
      <c r="I34" s="40" t="str">
        <f>IF($B34="","",ROUND(E34/'CẤU HÌNH'!$C$5*G34,0))</f>
        <v/>
      </c>
      <c r="J34" s="40" t="str">
        <f>IF($B34="","",ROUND('BẢNG CHẤM CA'!AR32*F34*'CẤU HÌNH'!$C$8,0))</f>
        <v/>
      </c>
      <c r="K34" s="40" t="str">
        <f>IF($B34="","",'NHÂN VIÊN'!G29)</f>
        <v/>
      </c>
      <c r="L34" s="40" t="str">
        <f>IF($B34="","",ROUND('NHÂN VIÊN'!H29*('BẢNG CHẤM CA'!AJ32+'BẢNG CHẤM CA'!AK32),0))</f>
        <v/>
      </c>
      <c r="M34" s="48"/>
      <c r="N34" s="49"/>
      <c r="O34" s="49"/>
      <c r="P34" s="49"/>
      <c r="Q34" s="40" t="str">
        <f>IF($B34="","",ROUND(F34*(N34*'CẤU HÌNH'!$C$9+O34*'CẤU HÌNH'!$C$10+P34*'CẤU HÌNH'!$C$11),0))</f>
        <v/>
      </c>
      <c r="R34" s="48"/>
      <c r="S34" s="40" t="str">
        <f t="shared" si="2"/>
        <v/>
      </c>
      <c r="T34" s="40" t="str">
        <f>IF($B34="","",ROUND(MIN('NHÂN VIÊN'!I29,'CẤU HÌNH'!$C$15)*'CẤU HÌNH'!$C$22,0))</f>
        <v/>
      </c>
      <c r="U34" s="40" t="str">
        <f>IF($B34="","",IF('CẤU HÌNH'!$C$19=1,J34+ROUND(F34*(N34*('CẤU HÌNH'!$C$9-1)+O34*('CẤU HÌNH'!$C$10-1)+P34*('CẤU HÌNH'!$C$11-1)),0),0)+MIN(L34,'CẤU HÌNH'!$C$18))</f>
        <v/>
      </c>
      <c r="V34" s="40" t="str">
        <f>IF($B34="","",MAX(0,S34-U34-T34-'CẤU HÌNH'!$C$16-'NHÂN VIÊN'!J29*'CẤU HÌNH'!$C$17))</f>
        <v/>
      </c>
      <c r="W34" s="40" t="str">
        <f>IF($B34="","",ROUND(SUMPRODUCT((V34&gt;'CẤU HÌNH'!$F$5:$F$9)*(V34-'CẤU HÌNH'!$F$5:$F$9)*'CẤU HÌNH'!$H$5:$H$9),0))</f>
        <v/>
      </c>
      <c r="X34" s="48"/>
      <c r="Y34" s="48"/>
      <c r="Z34" s="50" t="str">
        <f t="shared" si="3"/>
        <v/>
      </c>
      <c r="AA34" s="51"/>
    </row>
    <row r="35" ht="19.5" customHeight="1">
      <c r="A35" s="28" t="str">
        <f t="shared" si="1"/>
        <v/>
      </c>
      <c r="B35" s="36" t="str">
        <f>IF('NHÂN VIÊN'!B30="","",'NHÂN VIÊN'!B30)</f>
        <v/>
      </c>
      <c r="C35" s="36" t="str">
        <f>IF($B35="","",'NHÂN VIÊN'!C30)</f>
        <v/>
      </c>
      <c r="D35" s="36" t="str">
        <f>IF($B35="","",'NHÂN VIÊN'!E30)</f>
        <v/>
      </c>
      <c r="E35" s="40" t="str">
        <f>IF($B35="","",'NHÂN VIÊN'!F30)</f>
        <v/>
      </c>
      <c r="F35" s="40" t="str">
        <f>IF($B35="","",E35/'CẤU HÌNH'!$C$5/'CẤU HÌNH'!$C$6)</f>
        <v/>
      </c>
      <c r="G35" s="45" t="str">
        <f>IF($B35="","",'BẢNG CHẤM CA'!AQ33)</f>
        <v/>
      </c>
      <c r="H35" s="46" t="str">
        <f>IF($B35="","",'BẢNG CHẤM CA'!AK33)</f>
        <v/>
      </c>
      <c r="I35" s="40" t="str">
        <f>IF($B35="","",ROUND(E35/'CẤU HÌNH'!$C$5*G35,0))</f>
        <v/>
      </c>
      <c r="J35" s="40" t="str">
        <f>IF($B35="","",ROUND('BẢNG CHẤM CA'!AR33*F35*'CẤU HÌNH'!$C$8,0))</f>
        <v/>
      </c>
      <c r="K35" s="40" t="str">
        <f>IF($B35="","",'NHÂN VIÊN'!G30)</f>
        <v/>
      </c>
      <c r="L35" s="40" t="str">
        <f>IF($B35="","",ROUND('NHÂN VIÊN'!H30*('BẢNG CHẤM CA'!AJ33+'BẢNG CHẤM CA'!AK33),0))</f>
        <v/>
      </c>
      <c r="M35" s="48"/>
      <c r="N35" s="49"/>
      <c r="O35" s="49"/>
      <c r="P35" s="49"/>
      <c r="Q35" s="40" t="str">
        <f>IF($B35="","",ROUND(F35*(N35*'CẤU HÌNH'!$C$9+O35*'CẤU HÌNH'!$C$10+P35*'CẤU HÌNH'!$C$11),0))</f>
        <v/>
      </c>
      <c r="R35" s="48"/>
      <c r="S35" s="40" t="str">
        <f t="shared" si="2"/>
        <v/>
      </c>
      <c r="T35" s="40" t="str">
        <f>IF($B35="","",ROUND(MIN('NHÂN VIÊN'!I30,'CẤU HÌNH'!$C$15)*'CẤU HÌNH'!$C$22,0))</f>
        <v/>
      </c>
      <c r="U35" s="40" t="str">
        <f>IF($B35="","",IF('CẤU HÌNH'!$C$19=1,J35+ROUND(F35*(N35*('CẤU HÌNH'!$C$9-1)+O35*('CẤU HÌNH'!$C$10-1)+P35*('CẤU HÌNH'!$C$11-1)),0),0)+MIN(L35,'CẤU HÌNH'!$C$18))</f>
        <v/>
      </c>
      <c r="V35" s="40" t="str">
        <f>IF($B35="","",MAX(0,S35-U35-T35-'CẤU HÌNH'!$C$16-'NHÂN VIÊN'!J30*'CẤU HÌNH'!$C$17))</f>
        <v/>
      </c>
      <c r="W35" s="40" t="str">
        <f>IF($B35="","",ROUND(SUMPRODUCT((V35&gt;'CẤU HÌNH'!$F$5:$F$9)*(V35-'CẤU HÌNH'!$F$5:$F$9)*'CẤU HÌNH'!$H$5:$H$9),0))</f>
        <v/>
      </c>
      <c r="X35" s="48"/>
      <c r="Y35" s="48"/>
      <c r="Z35" s="50" t="str">
        <f t="shared" si="3"/>
        <v/>
      </c>
      <c r="AA35" s="51"/>
    </row>
    <row r="36" ht="19.5" customHeight="1">
      <c r="A36" s="28" t="str">
        <f t="shared" si="1"/>
        <v/>
      </c>
      <c r="B36" s="36" t="str">
        <f>IF('NHÂN VIÊN'!B31="","",'NHÂN VIÊN'!B31)</f>
        <v/>
      </c>
      <c r="C36" s="36" t="str">
        <f>IF($B36="","",'NHÂN VIÊN'!C31)</f>
        <v/>
      </c>
      <c r="D36" s="36" t="str">
        <f>IF($B36="","",'NHÂN VIÊN'!E31)</f>
        <v/>
      </c>
      <c r="E36" s="40" t="str">
        <f>IF($B36="","",'NHÂN VIÊN'!F31)</f>
        <v/>
      </c>
      <c r="F36" s="40" t="str">
        <f>IF($B36="","",E36/'CẤU HÌNH'!$C$5/'CẤU HÌNH'!$C$6)</f>
        <v/>
      </c>
      <c r="G36" s="45" t="str">
        <f>IF($B36="","",'BẢNG CHẤM CA'!AQ34)</f>
        <v/>
      </c>
      <c r="H36" s="46" t="str">
        <f>IF($B36="","",'BẢNG CHẤM CA'!AK34)</f>
        <v/>
      </c>
      <c r="I36" s="40" t="str">
        <f>IF($B36="","",ROUND(E36/'CẤU HÌNH'!$C$5*G36,0))</f>
        <v/>
      </c>
      <c r="J36" s="40" t="str">
        <f>IF($B36="","",ROUND('BẢNG CHẤM CA'!AR34*F36*'CẤU HÌNH'!$C$8,0))</f>
        <v/>
      </c>
      <c r="K36" s="40" t="str">
        <f>IF($B36="","",'NHÂN VIÊN'!G31)</f>
        <v/>
      </c>
      <c r="L36" s="40" t="str">
        <f>IF($B36="","",ROUND('NHÂN VIÊN'!H31*('BẢNG CHẤM CA'!AJ34+'BẢNG CHẤM CA'!AK34),0))</f>
        <v/>
      </c>
      <c r="M36" s="48"/>
      <c r="N36" s="49"/>
      <c r="O36" s="49"/>
      <c r="P36" s="49"/>
      <c r="Q36" s="40" t="str">
        <f>IF($B36="","",ROUND(F36*(N36*'CẤU HÌNH'!$C$9+O36*'CẤU HÌNH'!$C$10+P36*'CẤU HÌNH'!$C$11),0))</f>
        <v/>
      </c>
      <c r="R36" s="48"/>
      <c r="S36" s="40" t="str">
        <f t="shared" si="2"/>
        <v/>
      </c>
      <c r="T36" s="40" t="str">
        <f>IF($B36="","",ROUND(MIN('NHÂN VIÊN'!I31,'CẤU HÌNH'!$C$15)*'CẤU HÌNH'!$C$22,0))</f>
        <v/>
      </c>
      <c r="U36" s="40" t="str">
        <f>IF($B36="","",IF('CẤU HÌNH'!$C$19=1,J36+ROUND(F36*(N36*('CẤU HÌNH'!$C$9-1)+O36*('CẤU HÌNH'!$C$10-1)+P36*('CẤU HÌNH'!$C$11-1)),0),0)+MIN(L36,'CẤU HÌNH'!$C$18))</f>
        <v/>
      </c>
      <c r="V36" s="40" t="str">
        <f>IF($B36="","",MAX(0,S36-U36-T36-'CẤU HÌNH'!$C$16-'NHÂN VIÊN'!J31*'CẤU HÌNH'!$C$17))</f>
        <v/>
      </c>
      <c r="W36" s="40" t="str">
        <f>IF($B36="","",ROUND(SUMPRODUCT((V36&gt;'CẤU HÌNH'!$F$5:$F$9)*(V36-'CẤU HÌNH'!$F$5:$F$9)*'CẤU HÌNH'!$H$5:$H$9),0))</f>
        <v/>
      </c>
      <c r="X36" s="48"/>
      <c r="Y36" s="48"/>
      <c r="Z36" s="50" t="str">
        <f t="shared" si="3"/>
        <v/>
      </c>
      <c r="AA36" s="51"/>
    </row>
    <row r="37" ht="19.5" customHeight="1">
      <c r="A37" s="28" t="str">
        <f t="shared" si="1"/>
        <v/>
      </c>
      <c r="B37" s="36" t="str">
        <f>IF('NHÂN VIÊN'!B32="","",'NHÂN VIÊN'!B32)</f>
        <v/>
      </c>
      <c r="C37" s="36" t="str">
        <f>IF($B37="","",'NHÂN VIÊN'!C32)</f>
        <v/>
      </c>
      <c r="D37" s="36" t="str">
        <f>IF($B37="","",'NHÂN VIÊN'!E32)</f>
        <v/>
      </c>
      <c r="E37" s="40" t="str">
        <f>IF($B37="","",'NHÂN VIÊN'!F32)</f>
        <v/>
      </c>
      <c r="F37" s="40" t="str">
        <f>IF($B37="","",E37/'CẤU HÌNH'!$C$5/'CẤU HÌNH'!$C$6)</f>
        <v/>
      </c>
      <c r="G37" s="45" t="str">
        <f>IF($B37="","",'BẢNG CHẤM CA'!AQ35)</f>
        <v/>
      </c>
      <c r="H37" s="46" t="str">
        <f>IF($B37="","",'BẢNG CHẤM CA'!AK35)</f>
        <v/>
      </c>
      <c r="I37" s="40" t="str">
        <f>IF($B37="","",ROUND(E37/'CẤU HÌNH'!$C$5*G37,0))</f>
        <v/>
      </c>
      <c r="J37" s="40" t="str">
        <f>IF($B37="","",ROUND('BẢNG CHẤM CA'!AR35*F37*'CẤU HÌNH'!$C$8,0))</f>
        <v/>
      </c>
      <c r="K37" s="40" t="str">
        <f>IF($B37="","",'NHÂN VIÊN'!G32)</f>
        <v/>
      </c>
      <c r="L37" s="40" t="str">
        <f>IF($B37="","",ROUND('NHÂN VIÊN'!H32*('BẢNG CHẤM CA'!AJ35+'BẢNG CHẤM CA'!AK35),0))</f>
        <v/>
      </c>
      <c r="M37" s="48"/>
      <c r="N37" s="49"/>
      <c r="O37" s="49"/>
      <c r="P37" s="49"/>
      <c r="Q37" s="40" t="str">
        <f>IF($B37="","",ROUND(F37*(N37*'CẤU HÌNH'!$C$9+O37*'CẤU HÌNH'!$C$10+P37*'CẤU HÌNH'!$C$11),0))</f>
        <v/>
      </c>
      <c r="R37" s="48"/>
      <c r="S37" s="40" t="str">
        <f t="shared" si="2"/>
        <v/>
      </c>
      <c r="T37" s="40" t="str">
        <f>IF($B37="","",ROUND(MIN('NHÂN VIÊN'!I32,'CẤU HÌNH'!$C$15)*'CẤU HÌNH'!$C$22,0))</f>
        <v/>
      </c>
      <c r="U37" s="40" t="str">
        <f>IF($B37="","",IF('CẤU HÌNH'!$C$19=1,J37+ROUND(F37*(N37*('CẤU HÌNH'!$C$9-1)+O37*('CẤU HÌNH'!$C$10-1)+P37*('CẤU HÌNH'!$C$11-1)),0),0)+MIN(L37,'CẤU HÌNH'!$C$18))</f>
        <v/>
      </c>
      <c r="V37" s="40" t="str">
        <f>IF($B37="","",MAX(0,S37-U37-T37-'CẤU HÌNH'!$C$16-'NHÂN VIÊN'!J32*'CẤU HÌNH'!$C$17))</f>
        <v/>
      </c>
      <c r="W37" s="40" t="str">
        <f>IF($B37="","",ROUND(SUMPRODUCT((V37&gt;'CẤU HÌNH'!$F$5:$F$9)*(V37-'CẤU HÌNH'!$F$5:$F$9)*'CẤU HÌNH'!$H$5:$H$9),0))</f>
        <v/>
      </c>
      <c r="X37" s="48"/>
      <c r="Y37" s="48"/>
      <c r="Z37" s="50" t="str">
        <f t="shared" si="3"/>
        <v/>
      </c>
      <c r="AA37" s="51"/>
    </row>
    <row r="38" ht="19.5" customHeight="1">
      <c r="A38" s="28" t="str">
        <f t="shared" si="1"/>
        <v/>
      </c>
      <c r="B38" s="36" t="str">
        <f>IF('NHÂN VIÊN'!B33="","",'NHÂN VIÊN'!B33)</f>
        <v/>
      </c>
      <c r="C38" s="36" t="str">
        <f>IF($B38="","",'NHÂN VIÊN'!C33)</f>
        <v/>
      </c>
      <c r="D38" s="36" t="str">
        <f>IF($B38="","",'NHÂN VIÊN'!E33)</f>
        <v/>
      </c>
      <c r="E38" s="40" t="str">
        <f>IF($B38="","",'NHÂN VIÊN'!F33)</f>
        <v/>
      </c>
      <c r="F38" s="40" t="str">
        <f>IF($B38="","",E38/'CẤU HÌNH'!$C$5/'CẤU HÌNH'!$C$6)</f>
        <v/>
      </c>
      <c r="G38" s="45" t="str">
        <f>IF($B38="","",'BẢNG CHẤM CA'!AQ36)</f>
        <v/>
      </c>
      <c r="H38" s="46" t="str">
        <f>IF($B38="","",'BẢNG CHẤM CA'!AK36)</f>
        <v/>
      </c>
      <c r="I38" s="40" t="str">
        <f>IF($B38="","",ROUND(E38/'CẤU HÌNH'!$C$5*G38,0))</f>
        <v/>
      </c>
      <c r="J38" s="40" t="str">
        <f>IF($B38="","",ROUND('BẢNG CHẤM CA'!AR36*F38*'CẤU HÌNH'!$C$8,0))</f>
        <v/>
      </c>
      <c r="K38" s="40" t="str">
        <f>IF($B38="","",'NHÂN VIÊN'!G33)</f>
        <v/>
      </c>
      <c r="L38" s="40" t="str">
        <f>IF($B38="","",ROUND('NHÂN VIÊN'!H33*('BẢNG CHẤM CA'!AJ36+'BẢNG CHẤM CA'!AK36),0))</f>
        <v/>
      </c>
      <c r="M38" s="48"/>
      <c r="N38" s="49"/>
      <c r="O38" s="49"/>
      <c r="P38" s="49"/>
      <c r="Q38" s="40" t="str">
        <f>IF($B38="","",ROUND(F38*(N38*'CẤU HÌNH'!$C$9+O38*'CẤU HÌNH'!$C$10+P38*'CẤU HÌNH'!$C$11),0))</f>
        <v/>
      </c>
      <c r="R38" s="48"/>
      <c r="S38" s="40" t="str">
        <f t="shared" si="2"/>
        <v/>
      </c>
      <c r="T38" s="40" t="str">
        <f>IF($B38="","",ROUND(MIN('NHÂN VIÊN'!I33,'CẤU HÌNH'!$C$15)*'CẤU HÌNH'!$C$22,0))</f>
        <v/>
      </c>
      <c r="U38" s="40" t="str">
        <f>IF($B38="","",IF('CẤU HÌNH'!$C$19=1,J38+ROUND(F38*(N38*('CẤU HÌNH'!$C$9-1)+O38*('CẤU HÌNH'!$C$10-1)+P38*('CẤU HÌNH'!$C$11-1)),0),0)+MIN(L38,'CẤU HÌNH'!$C$18))</f>
        <v/>
      </c>
      <c r="V38" s="40" t="str">
        <f>IF($B38="","",MAX(0,S38-U38-T38-'CẤU HÌNH'!$C$16-'NHÂN VIÊN'!J33*'CẤU HÌNH'!$C$17))</f>
        <v/>
      </c>
      <c r="W38" s="40" t="str">
        <f>IF($B38="","",ROUND(SUMPRODUCT((V38&gt;'CẤU HÌNH'!$F$5:$F$9)*(V38-'CẤU HÌNH'!$F$5:$F$9)*'CẤU HÌNH'!$H$5:$H$9),0))</f>
        <v/>
      </c>
      <c r="X38" s="48"/>
      <c r="Y38" s="48"/>
      <c r="Z38" s="50" t="str">
        <f t="shared" si="3"/>
        <v/>
      </c>
      <c r="AA38" s="51"/>
    </row>
    <row r="39" ht="19.5" customHeight="1">
      <c r="A39" s="28" t="str">
        <f t="shared" si="1"/>
        <v/>
      </c>
      <c r="B39" s="36" t="str">
        <f>IF('NHÂN VIÊN'!B34="","",'NHÂN VIÊN'!B34)</f>
        <v/>
      </c>
      <c r="C39" s="36" t="str">
        <f>IF($B39="","",'NHÂN VIÊN'!C34)</f>
        <v/>
      </c>
      <c r="D39" s="36" t="str">
        <f>IF($B39="","",'NHÂN VIÊN'!E34)</f>
        <v/>
      </c>
      <c r="E39" s="40" t="str">
        <f>IF($B39="","",'NHÂN VIÊN'!F34)</f>
        <v/>
      </c>
      <c r="F39" s="40" t="str">
        <f>IF($B39="","",E39/'CẤU HÌNH'!$C$5/'CẤU HÌNH'!$C$6)</f>
        <v/>
      </c>
      <c r="G39" s="45" t="str">
        <f>IF($B39="","",'BẢNG CHẤM CA'!AQ37)</f>
        <v/>
      </c>
      <c r="H39" s="46" t="str">
        <f>IF($B39="","",'BẢNG CHẤM CA'!AK37)</f>
        <v/>
      </c>
      <c r="I39" s="40" t="str">
        <f>IF($B39="","",ROUND(E39/'CẤU HÌNH'!$C$5*G39,0))</f>
        <v/>
      </c>
      <c r="J39" s="40" t="str">
        <f>IF($B39="","",ROUND('BẢNG CHẤM CA'!AR37*F39*'CẤU HÌNH'!$C$8,0))</f>
        <v/>
      </c>
      <c r="K39" s="40" t="str">
        <f>IF($B39="","",'NHÂN VIÊN'!G34)</f>
        <v/>
      </c>
      <c r="L39" s="40" t="str">
        <f>IF($B39="","",ROUND('NHÂN VIÊN'!H34*('BẢNG CHẤM CA'!AJ37+'BẢNG CHẤM CA'!AK37),0))</f>
        <v/>
      </c>
      <c r="M39" s="48"/>
      <c r="N39" s="49"/>
      <c r="O39" s="49"/>
      <c r="P39" s="49"/>
      <c r="Q39" s="40" t="str">
        <f>IF($B39="","",ROUND(F39*(N39*'CẤU HÌNH'!$C$9+O39*'CẤU HÌNH'!$C$10+P39*'CẤU HÌNH'!$C$11),0))</f>
        <v/>
      </c>
      <c r="R39" s="48"/>
      <c r="S39" s="40" t="str">
        <f t="shared" si="2"/>
        <v/>
      </c>
      <c r="T39" s="40" t="str">
        <f>IF($B39="","",ROUND(MIN('NHÂN VIÊN'!I34,'CẤU HÌNH'!$C$15)*'CẤU HÌNH'!$C$22,0))</f>
        <v/>
      </c>
      <c r="U39" s="40" t="str">
        <f>IF($B39="","",IF('CẤU HÌNH'!$C$19=1,J39+ROUND(F39*(N39*('CẤU HÌNH'!$C$9-1)+O39*('CẤU HÌNH'!$C$10-1)+P39*('CẤU HÌNH'!$C$11-1)),0),0)+MIN(L39,'CẤU HÌNH'!$C$18))</f>
        <v/>
      </c>
      <c r="V39" s="40" t="str">
        <f>IF($B39="","",MAX(0,S39-U39-T39-'CẤU HÌNH'!$C$16-'NHÂN VIÊN'!J34*'CẤU HÌNH'!$C$17))</f>
        <v/>
      </c>
      <c r="W39" s="40" t="str">
        <f>IF($B39="","",ROUND(SUMPRODUCT((V39&gt;'CẤU HÌNH'!$F$5:$F$9)*(V39-'CẤU HÌNH'!$F$5:$F$9)*'CẤU HÌNH'!$H$5:$H$9),0))</f>
        <v/>
      </c>
      <c r="X39" s="48"/>
      <c r="Y39" s="48"/>
      <c r="Z39" s="50" t="str">
        <f t="shared" si="3"/>
        <v/>
      </c>
      <c r="AA39" s="51"/>
    </row>
    <row r="40" ht="19.5" customHeight="1">
      <c r="A40" s="28" t="str">
        <f t="shared" si="1"/>
        <v/>
      </c>
      <c r="B40" s="36" t="str">
        <f>IF('NHÂN VIÊN'!B35="","",'NHÂN VIÊN'!B35)</f>
        <v/>
      </c>
      <c r="C40" s="36" t="str">
        <f>IF($B40="","",'NHÂN VIÊN'!C35)</f>
        <v/>
      </c>
      <c r="D40" s="36" t="str">
        <f>IF($B40="","",'NHÂN VIÊN'!E35)</f>
        <v/>
      </c>
      <c r="E40" s="40" t="str">
        <f>IF($B40="","",'NHÂN VIÊN'!F35)</f>
        <v/>
      </c>
      <c r="F40" s="40" t="str">
        <f>IF($B40="","",E40/'CẤU HÌNH'!$C$5/'CẤU HÌNH'!$C$6)</f>
        <v/>
      </c>
      <c r="G40" s="45" t="str">
        <f>IF($B40="","",'BẢNG CHẤM CA'!AQ38)</f>
        <v/>
      </c>
      <c r="H40" s="46" t="str">
        <f>IF($B40="","",'BẢNG CHẤM CA'!AK38)</f>
        <v/>
      </c>
      <c r="I40" s="40" t="str">
        <f>IF($B40="","",ROUND(E40/'CẤU HÌNH'!$C$5*G40,0))</f>
        <v/>
      </c>
      <c r="J40" s="40" t="str">
        <f>IF($B40="","",ROUND('BẢNG CHẤM CA'!AR38*F40*'CẤU HÌNH'!$C$8,0))</f>
        <v/>
      </c>
      <c r="K40" s="40" t="str">
        <f>IF($B40="","",'NHÂN VIÊN'!G35)</f>
        <v/>
      </c>
      <c r="L40" s="40" t="str">
        <f>IF($B40="","",ROUND('NHÂN VIÊN'!H35*('BẢNG CHẤM CA'!AJ38+'BẢNG CHẤM CA'!AK38),0))</f>
        <v/>
      </c>
      <c r="M40" s="48"/>
      <c r="N40" s="49"/>
      <c r="O40" s="49"/>
      <c r="P40" s="49"/>
      <c r="Q40" s="40" t="str">
        <f>IF($B40="","",ROUND(F40*(N40*'CẤU HÌNH'!$C$9+O40*'CẤU HÌNH'!$C$10+P40*'CẤU HÌNH'!$C$11),0))</f>
        <v/>
      </c>
      <c r="R40" s="48"/>
      <c r="S40" s="40" t="str">
        <f t="shared" si="2"/>
        <v/>
      </c>
      <c r="T40" s="40" t="str">
        <f>IF($B40="","",ROUND(MIN('NHÂN VIÊN'!I35,'CẤU HÌNH'!$C$15)*'CẤU HÌNH'!$C$22,0))</f>
        <v/>
      </c>
      <c r="U40" s="40" t="str">
        <f>IF($B40="","",IF('CẤU HÌNH'!$C$19=1,J40+ROUND(F40*(N40*('CẤU HÌNH'!$C$9-1)+O40*('CẤU HÌNH'!$C$10-1)+P40*('CẤU HÌNH'!$C$11-1)),0),0)+MIN(L40,'CẤU HÌNH'!$C$18))</f>
        <v/>
      </c>
      <c r="V40" s="40" t="str">
        <f>IF($B40="","",MAX(0,S40-U40-T40-'CẤU HÌNH'!$C$16-'NHÂN VIÊN'!J35*'CẤU HÌNH'!$C$17))</f>
        <v/>
      </c>
      <c r="W40" s="40" t="str">
        <f>IF($B40="","",ROUND(SUMPRODUCT((V40&gt;'CẤU HÌNH'!$F$5:$F$9)*(V40-'CẤU HÌNH'!$F$5:$F$9)*'CẤU HÌNH'!$H$5:$H$9),0))</f>
        <v/>
      </c>
      <c r="X40" s="48"/>
      <c r="Y40" s="48"/>
      <c r="Z40" s="50" t="str">
        <f t="shared" si="3"/>
        <v/>
      </c>
      <c r="AA40" s="51"/>
    </row>
    <row r="41" ht="19.5" customHeight="1">
      <c r="A41" s="28" t="str">
        <f t="shared" si="1"/>
        <v/>
      </c>
      <c r="B41" s="36" t="str">
        <f>IF('NHÂN VIÊN'!B36="","",'NHÂN VIÊN'!B36)</f>
        <v/>
      </c>
      <c r="C41" s="36" t="str">
        <f>IF($B41="","",'NHÂN VIÊN'!C36)</f>
        <v/>
      </c>
      <c r="D41" s="36" t="str">
        <f>IF($B41="","",'NHÂN VIÊN'!E36)</f>
        <v/>
      </c>
      <c r="E41" s="40" t="str">
        <f>IF($B41="","",'NHÂN VIÊN'!F36)</f>
        <v/>
      </c>
      <c r="F41" s="40" t="str">
        <f>IF($B41="","",E41/'CẤU HÌNH'!$C$5/'CẤU HÌNH'!$C$6)</f>
        <v/>
      </c>
      <c r="G41" s="45" t="str">
        <f>IF($B41="","",'BẢNG CHẤM CA'!AQ39)</f>
        <v/>
      </c>
      <c r="H41" s="46" t="str">
        <f>IF($B41="","",'BẢNG CHẤM CA'!AK39)</f>
        <v/>
      </c>
      <c r="I41" s="40" t="str">
        <f>IF($B41="","",ROUND(E41/'CẤU HÌNH'!$C$5*G41,0))</f>
        <v/>
      </c>
      <c r="J41" s="40" t="str">
        <f>IF($B41="","",ROUND('BẢNG CHẤM CA'!AR39*F41*'CẤU HÌNH'!$C$8,0))</f>
        <v/>
      </c>
      <c r="K41" s="40" t="str">
        <f>IF($B41="","",'NHÂN VIÊN'!G36)</f>
        <v/>
      </c>
      <c r="L41" s="40" t="str">
        <f>IF($B41="","",ROUND('NHÂN VIÊN'!H36*('BẢNG CHẤM CA'!AJ39+'BẢNG CHẤM CA'!AK39),0))</f>
        <v/>
      </c>
      <c r="M41" s="48"/>
      <c r="N41" s="49"/>
      <c r="O41" s="49"/>
      <c r="P41" s="49"/>
      <c r="Q41" s="40" t="str">
        <f>IF($B41="","",ROUND(F41*(N41*'CẤU HÌNH'!$C$9+O41*'CẤU HÌNH'!$C$10+P41*'CẤU HÌNH'!$C$11),0))</f>
        <v/>
      </c>
      <c r="R41" s="48"/>
      <c r="S41" s="40" t="str">
        <f t="shared" si="2"/>
        <v/>
      </c>
      <c r="T41" s="40" t="str">
        <f>IF($B41="","",ROUND(MIN('NHÂN VIÊN'!I36,'CẤU HÌNH'!$C$15)*'CẤU HÌNH'!$C$22,0))</f>
        <v/>
      </c>
      <c r="U41" s="40" t="str">
        <f>IF($B41="","",IF('CẤU HÌNH'!$C$19=1,J41+ROUND(F41*(N41*('CẤU HÌNH'!$C$9-1)+O41*('CẤU HÌNH'!$C$10-1)+P41*('CẤU HÌNH'!$C$11-1)),0),0)+MIN(L41,'CẤU HÌNH'!$C$18))</f>
        <v/>
      </c>
      <c r="V41" s="40" t="str">
        <f>IF($B41="","",MAX(0,S41-U41-T41-'CẤU HÌNH'!$C$16-'NHÂN VIÊN'!J36*'CẤU HÌNH'!$C$17))</f>
        <v/>
      </c>
      <c r="W41" s="40" t="str">
        <f>IF($B41="","",ROUND(SUMPRODUCT((V41&gt;'CẤU HÌNH'!$F$5:$F$9)*(V41-'CẤU HÌNH'!$F$5:$F$9)*'CẤU HÌNH'!$H$5:$H$9),0))</f>
        <v/>
      </c>
      <c r="X41" s="48"/>
      <c r="Y41" s="48"/>
      <c r="Z41" s="50" t="str">
        <f t="shared" si="3"/>
        <v/>
      </c>
      <c r="AA41" s="51"/>
    </row>
    <row r="42" ht="19.5" customHeight="1">
      <c r="A42" s="28" t="str">
        <f t="shared" si="1"/>
        <v/>
      </c>
      <c r="B42" s="36" t="str">
        <f>IF('NHÂN VIÊN'!B37="","",'NHÂN VIÊN'!B37)</f>
        <v/>
      </c>
      <c r="C42" s="36" t="str">
        <f>IF($B42="","",'NHÂN VIÊN'!C37)</f>
        <v/>
      </c>
      <c r="D42" s="36" t="str">
        <f>IF($B42="","",'NHÂN VIÊN'!E37)</f>
        <v/>
      </c>
      <c r="E42" s="40" t="str">
        <f>IF($B42="","",'NHÂN VIÊN'!F37)</f>
        <v/>
      </c>
      <c r="F42" s="40" t="str">
        <f>IF($B42="","",E42/'CẤU HÌNH'!$C$5/'CẤU HÌNH'!$C$6)</f>
        <v/>
      </c>
      <c r="G42" s="45" t="str">
        <f>IF($B42="","",'BẢNG CHẤM CA'!AQ40)</f>
        <v/>
      </c>
      <c r="H42" s="46" t="str">
        <f>IF($B42="","",'BẢNG CHẤM CA'!AK40)</f>
        <v/>
      </c>
      <c r="I42" s="40" t="str">
        <f>IF($B42="","",ROUND(E42/'CẤU HÌNH'!$C$5*G42,0))</f>
        <v/>
      </c>
      <c r="J42" s="40" t="str">
        <f>IF($B42="","",ROUND('BẢNG CHẤM CA'!AR40*F42*'CẤU HÌNH'!$C$8,0))</f>
        <v/>
      </c>
      <c r="K42" s="40" t="str">
        <f>IF($B42="","",'NHÂN VIÊN'!G37)</f>
        <v/>
      </c>
      <c r="L42" s="40" t="str">
        <f>IF($B42="","",ROUND('NHÂN VIÊN'!H37*('BẢNG CHẤM CA'!AJ40+'BẢNG CHẤM CA'!AK40),0))</f>
        <v/>
      </c>
      <c r="M42" s="48"/>
      <c r="N42" s="49"/>
      <c r="O42" s="49"/>
      <c r="P42" s="49"/>
      <c r="Q42" s="40" t="str">
        <f>IF($B42="","",ROUND(F42*(N42*'CẤU HÌNH'!$C$9+O42*'CẤU HÌNH'!$C$10+P42*'CẤU HÌNH'!$C$11),0))</f>
        <v/>
      </c>
      <c r="R42" s="48"/>
      <c r="S42" s="40" t="str">
        <f t="shared" si="2"/>
        <v/>
      </c>
      <c r="T42" s="40" t="str">
        <f>IF($B42="","",ROUND(MIN('NHÂN VIÊN'!I37,'CẤU HÌNH'!$C$15)*'CẤU HÌNH'!$C$22,0))</f>
        <v/>
      </c>
      <c r="U42" s="40" t="str">
        <f>IF($B42="","",IF('CẤU HÌNH'!$C$19=1,J42+ROUND(F42*(N42*('CẤU HÌNH'!$C$9-1)+O42*('CẤU HÌNH'!$C$10-1)+P42*('CẤU HÌNH'!$C$11-1)),0),0)+MIN(L42,'CẤU HÌNH'!$C$18))</f>
        <v/>
      </c>
      <c r="V42" s="40" t="str">
        <f>IF($B42="","",MAX(0,S42-U42-T42-'CẤU HÌNH'!$C$16-'NHÂN VIÊN'!J37*'CẤU HÌNH'!$C$17))</f>
        <v/>
      </c>
      <c r="W42" s="40" t="str">
        <f>IF($B42="","",ROUND(SUMPRODUCT((V42&gt;'CẤU HÌNH'!$F$5:$F$9)*(V42-'CẤU HÌNH'!$F$5:$F$9)*'CẤU HÌNH'!$H$5:$H$9),0))</f>
        <v/>
      </c>
      <c r="X42" s="48"/>
      <c r="Y42" s="48"/>
      <c r="Z42" s="50" t="str">
        <f t="shared" si="3"/>
        <v/>
      </c>
      <c r="AA42" s="51"/>
    </row>
    <row r="43" ht="19.5" customHeight="1">
      <c r="A43" s="28" t="str">
        <f t="shared" si="1"/>
        <v/>
      </c>
      <c r="B43" s="36" t="str">
        <f>IF('NHÂN VIÊN'!B38="","",'NHÂN VIÊN'!B38)</f>
        <v/>
      </c>
      <c r="C43" s="36" t="str">
        <f>IF($B43="","",'NHÂN VIÊN'!C38)</f>
        <v/>
      </c>
      <c r="D43" s="36" t="str">
        <f>IF($B43="","",'NHÂN VIÊN'!E38)</f>
        <v/>
      </c>
      <c r="E43" s="40" t="str">
        <f>IF($B43="","",'NHÂN VIÊN'!F38)</f>
        <v/>
      </c>
      <c r="F43" s="40" t="str">
        <f>IF($B43="","",E43/'CẤU HÌNH'!$C$5/'CẤU HÌNH'!$C$6)</f>
        <v/>
      </c>
      <c r="G43" s="45" t="str">
        <f>IF($B43="","",'BẢNG CHẤM CA'!AQ41)</f>
        <v/>
      </c>
      <c r="H43" s="46" t="str">
        <f>IF($B43="","",'BẢNG CHẤM CA'!AK41)</f>
        <v/>
      </c>
      <c r="I43" s="40" t="str">
        <f>IF($B43="","",ROUND(E43/'CẤU HÌNH'!$C$5*G43,0))</f>
        <v/>
      </c>
      <c r="J43" s="40" t="str">
        <f>IF($B43="","",ROUND('BẢNG CHẤM CA'!AR41*F43*'CẤU HÌNH'!$C$8,0))</f>
        <v/>
      </c>
      <c r="K43" s="40" t="str">
        <f>IF($B43="","",'NHÂN VIÊN'!G38)</f>
        <v/>
      </c>
      <c r="L43" s="40" t="str">
        <f>IF($B43="","",ROUND('NHÂN VIÊN'!H38*('BẢNG CHẤM CA'!AJ41+'BẢNG CHẤM CA'!AK41),0))</f>
        <v/>
      </c>
      <c r="M43" s="48"/>
      <c r="N43" s="49"/>
      <c r="O43" s="49"/>
      <c r="P43" s="49"/>
      <c r="Q43" s="40" t="str">
        <f>IF($B43="","",ROUND(F43*(N43*'CẤU HÌNH'!$C$9+O43*'CẤU HÌNH'!$C$10+P43*'CẤU HÌNH'!$C$11),0))</f>
        <v/>
      </c>
      <c r="R43" s="48"/>
      <c r="S43" s="40" t="str">
        <f t="shared" si="2"/>
        <v/>
      </c>
      <c r="T43" s="40" t="str">
        <f>IF($B43="","",ROUND(MIN('NHÂN VIÊN'!I38,'CẤU HÌNH'!$C$15)*'CẤU HÌNH'!$C$22,0))</f>
        <v/>
      </c>
      <c r="U43" s="40" t="str">
        <f>IF($B43="","",IF('CẤU HÌNH'!$C$19=1,J43+ROUND(F43*(N43*('CẤU HÌNH'!$C$9-1)+O43*('CẤU HÌNH'!$C$10-1)+P43*('CẤU HÌNH'!$C$11-1)),0),0)+MIN(L43,'CẤU HÌNH'!$C$18))</f>
        <v/>
      </c>
      <c r="V43" s="40" t="str">
        <f>IF($B43="","",MAX(0,S43-U43-T43-'CẤU HÌNH'!$C$16-'NHÂN VIÊN'!J38*'CẤU HÌNH'!$C$17))</f>
        <v/>
      </c>
      <c r="W43" s="40" t="str">
        <f>IF($B43="","",ROUND(SUMPRODUCT((V43&gt;'CẤU HÌNH'!$F$5:$F$9)*(V43-'CẤU HÌNH'!$F$5:$F$9)*'CẤU HÌNH'!$H$5:$H$9),0))</f>
        <v/>
      </c>
      <c r="X43" s="48"/>
      <c r="Y43" s="48"/>
      <c r="Z43" s="50" t="str">
        <f t="shared" si="3"/>
        <v/>
      </c>
      <c r="AA43" s="51"/>
    </row>
    <row r="44" ht="19.5" customHeight="1">
      <c r="A44" s="28" t="str">
        <f t="shared" si="1"/>
        <v/>
      </c>
      <c r="B44" s="36" t="str">
        <f>IF('NHÂN VIÊN'!B39="","",'NHÂN VIÊN'!B39)</f>
        <v/>
      </c>
      <c r="C44" s="36" t="str">
        <f>IF($B44="","",'NHÂN VIÊN'!C39)</f>
        <v/>
      </c>
      <c r="D44" s="36" t="str">
        <f>IF($B44="","",'NHÂN VIÊN'!E39)</f>
        <v/>
      </c>
      <c r="E44" s="40" t="str">
        <f>IF($B44="","",'NHÂN VIÊN'!F39)</f>
        <v/>
      </c>
      <c r="F44" s="40" t="str">
        <f>IF($B44="","",E44/'CẤU HÌNH'!$C$5/'CẤU HÌNH'!$C$6)</f>
        <v/>
      </c>
      <c r="G44" s="45" t="str">
        <f>IF($B44="","",'BẢNG CHẤM CA'!AQ42)</f>
        <v/>
      </c>
      <c r="H44" s="46" t="str">
        <f>IF($B44="","",'BẢNG CHẤM CA'!AK42)</f>
        <v/>
      </c>
      <c r="I44" s="40" t="str">
        <f>IF($B44="","",ROUND(E44/'CẤU HÌNH'!$C$5*G44,0))</f>
        <v/>
      </c>
      <c r="J44" s="40" t="str">
        <f>IF($B44="","",ROUND('BẢNG CHẤM CA'!AR42*F44*'CẤU HÌNH'!$C$8,0))</f>
        <v/>
      </c>
      <c r="K44" s="40" t="str">
        <f>IF($B44="","",'NHÂN VIÊN'!G39)</f>
        <v/>
      </c>
      <c r="L44" s="40" t="str">
        <f>IF($B44="","",ROUND('NHÂN VIÊN'!H39*('BẢNG CHẤM CA'!AJ42+'BẢNG CHẤM CA'!AK42),0))</f>
        <v/>
      </c>
      <c r="M44" s="48"/>
      <c r="N44" s="49"/>
      <c r="O44" s="49"/>
      <c r="P44" s="49"/>
      <c r="Q44" s="40" t="str">
        <f>IF($B44="","",ROUND(F44*(N44*'CẤU HÌNH'!$C$9+O44*'CẤU HÌNH'!$C$10+P44*'CẤU HÌNH'!$C$11),0))</f>
        <v/>
      </c>
      <c r="R44" s="48"/>
      <c r="S44" s="40" t="str">
        <f t="shared" si="2"/>
        <v/>
      </c>
      <c r="T44" s="40" t="str">
        <f>IF($B44="","",ROUND(MIN('NHÂN VIÊN'!I39,'CẤU HÌNH'!$C$15)*'CẤU HÌNH'!$C$22,0))</f>
        <v/>
      </c>
      <c r="U44" s="40" t="str">
        <f>IF($B44="","",IF('CẤU HÌNH'!$C$19=1,J44+ROUND(F44*(N44*('CẤU HÌNH'!$C$9-1)+O44*('CẤU HÌNH'!$C$10-1)+P44*('CẤU HÌNH'!$C$11-1)),0),0)+MIN(L44,'CẤU HÌNH'!$C$18))</f>
        <v/>
      </c>
      <c r="V44" s="40" t="str">
        <f>IF($B44="","",MAX(0,S44-U44-T44-'CẤU HÌNH'!$C$16-'NHÂN VIÊN'!J39*'CẤU HÌNH'!$C$17))</f>
        <v/>
      </c>
      <c r="W44" s="40" t="str">
        <f>IF($B44="","",ROUND(SUMPRODUCT((V44&gt;'CẤU HÌNH'!$F$5:$F$9)*(V44-'CẤU HÌNH'!$F$5:$F$9)*'CẤU HÌNH'!$H$5:$H$9),0))</f>
        <v/>
      </c>
      <c r="X44" s="48"/>
      <c r="Y44" s="48"/>
      <c r="Z44" s="50" t="str">
        <f t="shared" si="3"/>
        <v/>
      </c>
      <c r="AA44" s="51"/>
    </row>
    <row r="45" ht="19.5" customHeight="1">
      <c r="A45" s="28" t="str">
        <f t="shared" si="1"/>
        <v/>
      </c>
      <c r="B45" s="36" t="str">
        <f>IF('NHÂN VIÊN'!B40="","",'NHÂN VIÊN'!B40)</f>
        <v/>
      </c>
      <c r="C45" s="36" t="str">
        <f>IF($B45="","",'NHÂN VIÊN'!C40)</f>
        <v/>
      </c>
      <c r="D45" s="36" t="str">
        <f>IF($B45="","",'NHÂN VIÊN'!E40)</f>
        <v/>
      </c>
      <c r="E45" s="40" t="str">
        <f>IF($B45="","",'NHÂN VIÊN'!F40)</f>
        <v/>
      </c>
      <c r="F45" s="40" t="str">
        <f>IF($B45="","",E45/'CẤU HÌNH'!$C$5/'CẤU HÌNH'!$C$6)</f>
        <v/>
      </c>
      <c r="G45" s="45" t="str">
        <f>IF($B45="","",'BẢNG CHẤM CA'!AQ43)</f>
        <v/>
      </c>
      <c r="H45" s="46" t="str">
        <f>IF($B45="","",'BẢNG CHẤM CA'!AK43)</f>
        <v/>
      </c>
      <c r="I45" s="40" t="str">
        <f>IF($B45="","",ROUND(E45/'CẤU HÌNH'!$C$5*G45,0))</f>
        <v/>
      </c>
      <c r="J45" s="40" t="str">
        <f>IF($B45="","",ROUND('BẢNG CHẤM CA'!AR43*F45*'CẤU HÌNH'!$C$8,0))</f>
        <v/>
      </c>
      <c r="K45" s="40" t="str">
        <f>IF($B45="","",'NHÂN VIÊN'!G40)</f>
        <v/>
      </c>
      <c r="L45" s="40" t="str">
        <f>IF($B45="","",ROUND('NHÂN VIÊN'!H40*('BẢNG CHẤM CA'!AJ43+'BẢNG CHẤM CA'!AK43),0))</f>
        <v/>
      </c>
      <c r="M45" s="48"/>
      <c r="N45" s="49"/>
      <c r="O45" s="49"/>
      <c r="P45" s="49"/>
      <c r="Q45" s="40" t="str">
        <f>IF($B45="","",ROUND(F45*(N45*'CẤU HÌNH'!$C$9+O45*'CẤU HÌNH'!$C$10+P45*'CẤU HÌNH'!$C$11),0))</f>
        <v/>
      </c>
      <c r="R45" s="48"/>
      <c r="S45" s="40" t="str">
        <f t="shared" si="2"/>
        <v/>
      </c>
      <c r="T45" s="40" t="str">
        <f>IF($B45="","",ROUND(MIN('NHÂN VIÊN'!I40,'CẤU HÌNH'!$C$15)*'CẤU HÌNH'!$C$22,0))</f>
        <v/>
      </c>
      <c r="U45" s="40" t="str">
        <f>IF($B45="","",IF('CẤU HÌNH'!$C$19=1,J45+ROUND(F45*(N45*('CẤU HÌNH'!$C$9-1)+O45*('CẤU HÌNH'!$C$10-1)+P45*('CẤU HÌNH'!$C$11-1)),0),0)+MIN(L45,'CẤU HÌNH'!$C$18))</f>
        <v/>
      </c>
      <c r="V45" s="40" t="str">
        <f>IF($B45="","",MAX(0,S45-U45-T45-'CẤU HÌNH'!$C$16-'NHÂN VIÊN'!J40*'CẤU HÌNH'!$C$17))</f>
        <v/>
      </c>
      <c r="W45" s="40" t="str">
        <f>IF($B45="","",ROUND(SUMPRODUCT((V45&gt;'CẤU HÌNH'!$F$5:$F$9)*(V45-'CẤU HÌNH'!$F$5:$F$9)*'CẤU HÌNH'!$H$5:$H$9),0))</f>
        <v/>
      </c>
      <c r="X45" s="48"/>
      <c r="Y45" s="48"/>
      <c r="Z45" s="50" t="str">
        <f t="shared" si="3"/>
        <v/>
      </c>
      <c r="AA45" s="51"/>
    </row>
    <row r="46" ht="19.5" customHeight="1">
      <c r="A46" s="28" t="str">
        <f t="shared" si="1"/>
        <v/>
      </c>
      <c r="B46" s="36" t="str">
        <f>IF('NHÂN VIÊN'!B41="","",'NHÂN VIÊN'!B41)</f>
        <v/>
      </c>
      <c r="C46" s="36" t="str">
        <f>IF($B46="","",'NHÂN VIÊN'!C41)</f>
        <v/>
      </c>
      <c r="D46" s="36" t="str">
        <f>IF($B46="","",'NHÂN VIÊN'!E41)</f>
        <v/>
      </c>
      <c r="E46" s="40" t="str">
        <f>IF($B46="","",'NHÂN VIÊN'!F41)</f>
        <v/>
      </c>
      <c r="F46" s="40" t="str">
        <f>IF($B46="","",E46/'CẤU HÌNH'!$C$5/'CẤU HÌNH'!$C$6)</f>
        <v/>
      </c>
      <c r="G46" s="45" t="str">
        <f>IF($B46="","",'BẢNG CHẤM CA'!AQ44)</f>
        <v/>
      </c>
      <c r="H46" s="46" t="str">
        <f>IF($B46="","",'BẢNG CHẤM CA'!AK44)</f>
        <v/>
      </c>
      <c r="I46" s="40" t="str">
        <f>IF($B46="","",ROUND(E46/'CẤU HÌNH'!$C$5*G46,0))</f>
        <v/>
      </c>
      <c r="J46" s="40" t="str">
        <f>IF($B46="","",ROUND('BẢNG CHẤM CA'!AR44*F46*'CẤU HÌNH'!$C$8,0))</f>
        <v/>
      </c>
      <c r="K46" s="40" t="str">
        <f>IF($B46="","",'NHÂN VIÊN'!G41)</f>
        <v/>
      </c>
      <c r="L46" s="40" t="str">
        <f>IF($B46="","",ROUND('NHÂN VIÊN'!H41*('BẢNG CHẤM CA'!AJ44+'BẢNG CHẤM CA'!AK44),0))</f>
        <v/>
      </c>
      <c r="M46" s="48"/>
      <c r="N46" s="49"/>
      <c r="O46" s="49"/>
      <c r="P46" s="49"/>
      <c r="Q46" s="40" t="str">
        <f>IF($B46="","",ROUND(F46*(N46*'CẤU HÌNH'!$C$9+O46*'CẤU HÌNH'!$C$10+P46*'CẤU HÌNH'!$C$11),0))</f>
        <v/>
      </c>
      <c r="R46" s="48"/>
      <c r="S46" s="40" t="str">
        <f t="shared" si="2"/>
        <v/>
      </c>
      <c r="T46" s="40" t="str">
        <f>IF($B46="","",ROUND(MIN('NHÂN VIÊN'!I41,'CẤU HÌNH'!$C$15)*'CẤU HÌNH'!$C$22,0))</f>
        <v/>
      </c>
      <c r="U46" s="40" t="str">
        <f>IF($B46="","",IF('CẤU HÌNH'!$C$19=1,J46+ROUND(F46*(N46*('CẤU HÌNH'!$C$9-1)+O46*('CẤU HÌNH'!$C$10-1)+P46*('CẤU HÌNH'!$C$11-1)),0),0)+MIN(L46,'CẤU HÌNH'!$C$18))</f>
        <v/>
      </c>
      <c r="V46" s="40" t="str">
        <f>IF($B46="","",MAX(0,S46-U46-T46-'CẤU HÌNH'!$C$16-'NHÂN VIÊN'!J41*'CẤU HÌNH'!$C$17))</f>
        <v/>
      </c>
      <c r="W46" s="40" t="str">
        <f>IF($B46="","",ROUND(SUMPRODUCT((V46&gt;'CẤU HÌNH'!$F$5:$F$9)*(V46-'CẤU HÌNH'!$F$5:$F$9)*'CẤU HÌNH'!$H$5:$H$9),0))</f>
        <v/>
      </c>
      <c r="X46" s="48"/>
      <c r="Y46" s="48"/>
      <c r="Z46" s="50" t="str">
        <f t="shared" si="3"/>
        <v/>
      </c>
      <c r="AA46" s="51"/>
    </row>
    <row r="47" ht="19.5" customHeight="1">
      <c r="A47" s="28" t="str">
        <f t="shared" si="1"/>
        <v/>
      </c>
      <c r="B47" s="36" t="str">
        <f>IF('NHÂN VIÊN'!B42="","",'NHÂN VIÊN'!B42)</f>
        <v/>
      </c>
      <c r="C47" s="36" t="str">
        <f>IF($B47="","",'NHÂN VIÊN'!C42)</f>
        <v/>
      </c>
      <c r="D47" s="36" t="str">
        <f>IF($B47="","",'NHÂN VIÊN'!E42)</f>
        <v/>
      </c>
      <c r="E47" s="40" t="str">
        <f>IF($B47="","",'NHÂN VIÊN'!F42)</f>
        <v/>
      </c>
      <c r="F47" s="40" t="str">
        <f>IF($B47="","",E47/'CẤU HÌNH'!$C$5/'CẤU HÌNH'!$C$6)</f>
        <v/>
      </c>
      <c r="G47" s="45" t="str">
        <f>IF($B47="","",'BẢNG CHẤM CA'!AQ45)</f>
        <v/>
      </c>
      <c r="H47" s="46" t="str">
        <f>IF($B47="","",'BẢNG CHẤM CA'!AK45)</f>
        <v/>
      </c>
      <c r="I47" s="40" t="str">
        <f>IF($B47="","",ROUND(E47/'CẤU HÌNH'!$C$5*G47,0))</f>
        <v/>
      </c>
      <c r="J47" s="40" t="str">
        <f>IF($B47="","",ROUND('BẢNG CHẤM CA'!AR45*F47*'CẤU HÌNH'!$C$8,0))</f>
        <v/>
      </c>
      <c r="K47" s="40" t="str">
        <f>IF($B47="","",'NHÂN VIÊN'!G42)</f>
        <v/>
      </c>
      <c r="L47" s="40" t="str">
        <f>IF($B47="","",ROUND('NHÂN VIÊN'!H42*('BẢNG CHẤM CA'!AJ45+'BẢNG CHẤM CA'!AK45),0))</f>
        <v/>
      </c>
      <c r="M47" s="48"/>
      <c r="N47" s="49"/>
      <c r="O47" s="49"/>
      <c r="P47" s="49"/>
      <c r="Q47" s="40" t="str">
        <f>IF($B47="","",ROUND(F47*(N47*'CẤU HÌNH'!$C$9+O47*'CẤU HÌNH'!$C$10+P47*'CẤU HÌNH'!$C$11),0))</f>
        <v/>
      </c>
      <c r="R47" s="48"/>
      <c r="S47" s="40" t="str">
        <f t="shared" si="2"/>
        <v/>
      </c>
      <c r="T47" s="40" t="str">
        <f>IF($B47="","",ROUND(MIN('NHÂN VIÊN'!I42,'CẤU HÌNH'!$C$15)*'CẤU HÌNH'!$C$22,0))</f>
        <v/>
      </c>
      <c r="U47" s="40" t="str">
        <f>IF($B47="","",IF('CẤU HÌNH'!$C$19=1,J47+ROUND(F47*(N47*('CẤU HÌNH'!$C$9-1)+O47*('CẤU HÌNH'!$C$10-1)+P47*('CẤU HÌNH'!$C$11-1)),0),0)+MIN(L47,'CẤU HÌNH'!$C$18))</f>
        <v/>
      </c>
      <c r="V47" s="40" t="str">
        <f>IF($B47="","",MAX(0,S47-U47-T47-'CẤU HÌNH'!$C$16-'NHÂN VIÊN'!J42*'CẤU HÌNH'!$C$17))</f>
        <v/>
      </c>
      <c r="W47" s="40" t="str">
        <f>IF($B47="","",ROUND(SUMPRODUCT((V47&gt;'CẤU HÌNH'!$F$5:$F$9)*(V47-'CẤU HÌNH'!$F$5:$F$9)*'CẤU HÌNH'!$H$5:$H$9),0))</f>
        <v/>
      </c>
      <c r="X47" s="48"/>
      <c r="Y47" s="48"/>
      <c r="Z47" s="50" t="str">
        <f t="shared" si="3"/>
        <v/>
      </c>
      <c r="AA47" s="51"/>
    </row>
    <row r="48" ht="19.5" customHeight="1">
      <c r="A48" s="28" t="str">
        <f t="shared" si="1"/>
        <v/>
      </c>
      <c r="B48" s="36" t="str">
        <f>IF('NHÂN VIÊN'!B43="","",'NHÂN VIÊN'!B43)</f>
        <v/>
      </c>
      <c r="C48" s="36" t="str">
        <f>IF($B48="","",'NHÂN VIÊN'!C43)</f>
        <v/>
      </c>
      <c r="D48" s="36" t="str">
        <f>IF($B48="","",'NHÂN VIÊN'!E43)</f>
        <v/>
      </c>
      <c r="E48" s="40" t="str">
        <f>IF($B48="","",'NHÂN VIÊN'!F43)</f>
        <v/>
      </c>
      <c r="F48" s="40" t="str">
        <f>IF($B48="","",E48/'CẤU HÌNH'!$C$5/'CẤU HÌNH'!$C$6)</f>
        <v/>
      </c>
      <c r="G48" s="45" t="str">
        <f>IF($B48="","",'BẢNG CHẤM CA'!AQ46)</f>
        <v/>
      </c>
      <c r="H48" s="46" t="str">
        <f>IF($B48="","",'BẢNG CHẤM CA'!AK46)</f>
        <v/>
      </c>
      <c r="I48" s="40" t="str">
        <f>IF($B48="","",ROUND(E48/'CẤU HÌNH'!$C$5*G48,0))</f>
        <v/>
      </c>
      <c r="J48" s="40" t="str">
        <f>IF($B48="","",ROUND('BẢNG CHẤM CA'!AR46*F48*'CẤU HÌNH'!$C$8,0))</f>
        <v/>
      </c>
      <c r="K48" s="40" t="str">
        <f>IF($B48="","",'NHÂN VIÊN'!G43)</f>
        <v/>
      </c>
      <c r="L48" s="40" t="str">
        <f>IF($B48="","",ROUND('NHÂN VIÊN'!H43*('BẢNG CHẤM CA'!AJ46+'BẢNG CHẤM CA'!AK46),0))</f>
        <v/>
      </c>
      <c r="M48" s="48"/>
      <c r="N48" s="49"/>
      <c r="O48" s="49"/>
      <c r="P48" s="49"/>
      <c r="Q48" s="40" t="str">
        <f>IF($B48="","",ROUND(F48*(N48*'CẤU HÌNH'!$C$9+O48*'CẤU HÌNH'!$C$10+P48*'CẤU HÌNH'!$C$11),0))</f>
        <v/>
      </c>
      <c r="R48" s="48"/>
      <c r="S48" s="40" t="str">
        <f t="shared" si="2"/>
        <v/>
      </c>
      <c r="T48" s="40" t="str">
        <f>IF($B48="","",ROUND(MIN('NHÂN VIÊN'!I43,'CẤU HÌNH'!$C$15)*'CẤU HÌNH'!$C$22,0))</f>
        <v/>
      </c>
      <c r="U48" s="40" t="str">
        <f>IF($B48="","",IF('CẤU HÌNH'!$C$19=1,J48+ROUND(F48*(N48*('CẤU HÌNH'!$C$9-1)+O48*('CẤU HÌNH'!$C$10-1)+P48*('CẤU HÌNH'!$C$11-1)),0),0)+MIN(L48,'CẤU HÌNH'!$C$18))</f>
        <v/>
      </c>
      <c r="V48" s="40" t="str">
        <f>IF($B48="","",MAX(0,S48-U48-T48-'CẤU HÌNH'!$C$16-'NHÂN VIÊN'!J43*'CẤU HÌNH'!$C$17))</f>
        <v/>
      </c>
      <c r="W48" s="40" t="str">
        <f>IF($B48="","",ROUND(SUMPRODUCT((V48&gt;'CẤU HÌNH'!$F$5:$F$9)*(V48-'CẤU HÌNH'!$F$5:$F$9)*'CẤU HÌNH'!$H$5:$H$9),0))</f>
        <v/>
      </c>
      <c r="X48" s="48"/>
      <c r="Y48" s="48"/>
      <c r="Z48" s="50" t="str">
        <f t="shared" si="3"/>
        <v/>
      </c>
      <c r="AA48" s="51"/>
    </row>
    <row r="49" ht="19.5" customHeight="1">
      <c r="A49" s="28" t="str">
        <f t="shared" si="1"/>
        <v/>
      </c>
      <c r="B49" s="36" t="str">
        <f>IF('NHÂN VIÊN'!B44="","",'NHÂN VIÊN'!B44)</f>
        <v/>
      </c>
      <c r="C49" s="36" t="str">
        <f>IF($B49="","",'NHÂN VIÊN'!C44)</f>
        <v/>
      </c>
      <c r="D49" s="36" t="str">
        <f>IF($B49="","",'NHÂN VIÊN'!E44)</f>
        <v/>
      </c>
      <c r="E49" s="40" t="str">
        <f>IF($B49="","",'NHÂN VIÊN'!F44)</f>
        <v/>
      </c>
      <c r="F49" s="40" t="str">
        <f>IF($B49="","",E49/'CẤU HÌNH'!$C$5/'CẤU HÌNH'!$C$6)</f>
        <v/>
      </c>
      <c r="G49" s="45" t="str">
        <f>IF($B49="","",'BẢNG CHẤM CA'!AQ47)</f>
        <v/>
      </c>
      <c r="H49" s="46" t="str">
        <f>IF($B49="","",'BẢNG CHẤM CA'!AK47)</f>
        <v/>
      </c>
      <c r="I49" s="40" t="str">
        <f>IF($B49="","",ROUND(E49/'CẤU HÌNH'!$C$5*G49,0))</f>
        <v/>
      </c>
      <c r="J49" s="40" t="str">
        <f>IF($B49="","",ROUND('BẢNG CHẤM CA'!AR47*F49*'CẤU HÌNH'!$C$8,0))</f>
        <v/>
      </c>
      <c r="K49" s="40" t="str">
        <f>IF($B49="","",'NHÂN VIÊN'!G44)</f>
        <v/>
      </c>
      <c r="L49" s="40" t="str">
        <f>IF($B49="","",ROUND('NHÂN VIÊN'!H44*('BẢNG CHẤM CA'!AJ47+'BẢNG CHẤM CA'!AK47),0))</f>
        <v/>
      </c>
      <c r="M49" s="48"/>
      <c r="N49" s="49"/>
      <c r="O49" s="49"/>
      <c r="P49" s="49"/>
      <c r="Q49" s="40" t="str">
        <f>IF($B49="","",ROUND(F49*(N49*'CẤU HÌNH'!$C$9+O49*'CẤU HÌNH'!$C$10+P49*'CẤU HÌNH'!$C$11),0))</f>
        <v/>
      </c>
      <c r="R49" s="48"/>
      <c r="S49" s="40" t="str">
        <f t="shared" si="2"/>
        <v/>
      </c>
      <c r="T49" s="40" t="str">
        <f>IF($B49="","",ROUND(MIN('NHÂN VIÊN'!I44,'CẤU HÌNH'!$C$15)*'CẤU HÌNH'!$C$22,0))</f>
        <v/>
      </c>
      <c r="U49" s="40" t="str">
        <f>IF($B49="","",IF('CẤU HÌNH'!$C$19=1,J49+ROUND(F49*(N49*('CẤU HÌNH'!$C$9-1)+O49*('CẤU HÌNH'!$C$10-1)+P49*('CẤU HÌNH'!$C$11-1)),0),0)+MIN(L49,'CẤU HÌNH'!$C$18))</f>
        <v/>
      </c>
      <c r="V49" s="40" t="str">
        <f>IF($B49="","",MAX(0,S49-U49-T49-'CẤU HÌNH'!$C$16-'NHÂN VIÊN'!J44*'CẤU HÌNH'!$C$17))</f>
        <v/>
      </c>
      <c r="W49" s="40" t="str">
        <f>IF($B49="","",ROUND(SUMPRODUCT((V49&gt;'CẤU HÌNH'!$F$5:$F$9)*(V49-'CẤU HÌNH'!$F$5:$F$9)*'CẤU HÌNH'!$H$5:$H$9),0))</f>
        <v/>
      </c>
      <c r="X49" s="48"/>
      <c r="Y49" s="48"/>
      <c r="Z49" s="50" t="str">
        <f t="shared" si="3"/>
        <v/>
      </c>
      <c r="AA49" s="51"/>
    </row>
    <row r="50" ht="19.5" customHeight="1">
      <c r="A50" s="28" t="str">
        <f t="shared" si="1"/>
        <v/>
      </c>
      <c r="B50" s="36" t="str">
        <f>IF('NHÂN VIÊN'!B45="","",'NHÂN VIÊN'!B45)</f>
        <v/>
      </c>
      <c r="C50" s="36" t="str">
        <f>IF($B50="","",'NHÂN VIÊN'!C45)</f>
        <v/>
      </c>
      <c r="D50" s="36" t="str">
        <f>IF($B50="","",'NHÂN VIÊN'!E45)</f>
        <v/>
      </c>
      <c r="E50" s="40" t="str">
        <f>IF($B50="","",'NHÂN VIÊN'!F45)</f>
        <v/>
      </c>
      <c r="F50" s="40" t="str">
        <f>IF($B50="","",E50/'CẤU HÌNH'!$C$5/'CẤU HÌNH'!$C$6)</f>
        <v/>
      </c>
      <c r="G50" s="45" t="str">
        <f>IF($B50="","",'BẢNG CHẤM CA'!AQ48)</f>
        <v/>
      </c>
      <c r="H50" s="46" t="str">
        <f>IF($B50="","",'BẢNG CHẤM CA'!AK48)</f>
        <v/>
      </c>
      <c r="I50" s="40" t="str">
        <f>IF($B50="","",ROUND(E50/'CẤU HÌNH'!$C$5*G50,0))</f>
        <v/>
      </c>
      <c r="J50" s="40" t="str">
        <f>IF($B50="","",ROUND('BẢNG CHẤM CA'!AR48*F50*'CẤU HÌNH'!$C$8,0))</f>
        <v/>
      </c>
      <c r="K50" s="40" t="str">
        <f>IF($B50="","",'NHÂN VIÊN'!G45)</f>
        <v/>
      </c>
      <c r="L50" s="40" t="str">
        <f>IF($B50="","",ROUND('NHÂN VIÊN'!H45*('BẢNG CHẤM CA'!AJ48+'BẢNG CHẤM CA'!AK48),0))</f>
        <v/>
      </c>
      <c r="M50" s="48"/>
      <c r="N50" s="49"/>
      <c r="O50" s="49"/>
      <c r="P50" s="49"/>
      <c r="Q50" s="40" t="str">
        <f>IF($B50="","",ROUND(F50*(N50*'CẤU HÌNH'!$C$9+O50*'CẤU HÌNH'!$C$10+P50*'CẤU HÌNH'!$C$11),0))</f>
        <v/>
      </c>
      <c r="R50" s="48"/>
      <c r="S50" s="40" t="str">
        <f t="shared" si="2"/>
        <v/>
      </c>
      <c r="T50" s="40" t="str">
        <f>IF($B50="","",ROUND(MIN('NHÂN VIÊN'!I45,'CẤU HÌNH'!$C$15)*'CẤU HÌNH'!$C$22,0))</f>
        <v/>
      </c>
      <c r="U50" s="40" t="str">
        <f>IF($B50="","",IF('CẤU HÌNH'!$C$19=1,J50+ROUND(F50*(N50*('CẤU HÌNH'!$C$9-1)+O50*('CẤU HÌNH'!$C$10-1)+P50*('CẤU HÌNH'!$C$11-1)),0),0)+MIN(L50,'CẤU HÌNH'!$C$18))</f>
        <v/>
      </c>
      <c r="V50" s="40" t="str">
        <f>IF($B50="","",MAX(0,S50-U50-T50-'CẤU HÌNH'!$C$16-'NHÂN VIÊN'!J45*'CẤU HÌNH'!$C$17))</f>
        <v/>
      </c>
      <c r="W50" s="40" t="str">
        <f>IF($B50="","",ROUND(SUMPRODUCT((V50&gt;'CẤU HÌNH'!$F$5:$F$9)*(V50-'CẤU HÌNH'!$F$5:$F$9)*'CẤU HÌNH'!$H$5:$H$9),0))</f>
        <v/>
      </c>
      <c r="X50" s="48"/>
      <c r="Y50" s="48"/>
      <c r="Z50" s="50" t="str">
        <f t="shared" si="3"/>
        <v/>
      </c>
      <c r="AA50" s="51"/>
    </row>
    <row r="51" ht="19.5" customHeight="1">
      <c r="A51" s="28" t="str">
        <f t="shared" si="1"/>
        <v/>
      </c>
      <c r="B51" s="36" t="str">
        <f>IF('NHÂN VIÊN'!B46="","",'NHÂN VIÊN'!B46)</f>
        <v/>
      </c>
      <c r="C51" s="36" t="str">
        <f>IF($B51="","",'NHÂN VIÊN'!C46)</f>
        <v/>
      </c>
      <c r="D51" s="36" t="str">
        <f>IF($B51="","",'NHÂN VIÊN'!E46)</f>
        <v/>
      </c>
      <c r="E51" s="40" t="str">
        <f>IF($B51="","",'NHÂN VIÊN'!F46)</f>
        <v/>
      </c>
      <c r="F51" s="40" t="str">
        <f>IF($B51="","",E51/'CẤU HÌNH'!$C$5/'CẤU HÌNH'!$C$6)</f>
        <v/>
      </c>
      <c r="G51" s="45" t="str">
        <f>IF($B51="","",'BẢNG CHẤM CA'!AQ49)</f>
        <v/>
      </c>
      <c r="H51" s="46" t="str">
        <f>IF($B51="","",'BẢNG CHẤM CA'!AK49)</f>
        <v/>
      </c>
      <c r="I51" s="40" t="str">
        <f>IF($B51="","",ROUND(E51/'CẤU HÌNH'!$C$5*G51,0))</f>
        <v/>
      </c>
      <c r="J51" s="40" t="str">
        <f>IF($B51="","",ROUND('BẢNG CHẤM CA'!AR49*F51*'CẤU HÌNH'!$C$8,0))</f>
        <v/>
      </c>
      <c r="K51" s="40" t="str">
        <f>IF($B51="","",'NHÂN VIÊN'!G46)</f>
        <v/>
      </c>
      <c r="L51" s="40" t="str">
        <f>IF($B51="","",ROUND('NHÂN VIÊN'!H46*('BẢNG CHẤM CA'!AJ49+'BẢNG CHẤM CA'!AK49),0))</f>
        <v/>
      </c>
      <c r="M51" s="48"/>
      <c r="N51" s="49"/>
      <c r="O51" s="49"/>
      <c r="P51" s="49"/>
      <c r="Q51" s="40" t="str">
        <f>IF($B51="","",ROUND(F51*(N51*'CẤU HÌNH'!$C$9+O51*'CẤU HÌNH'!$C$10+P51*'CẤU HÌNH'!$C$11),0))</f>
        <v/>
      </c>
      <c r="R51" s="48"/>
      <c r="S51" s="40" t="str">
        <f t="shared" si="2"/>
        <v/>
      </c>
      <c r="T51" s="40" t="str">
        <f>IF($B51="","",ROUND(MIN('NHÂN VIÊN'!I46,'CẤU HÌNH'!$C$15)*'CẤU HÌNH'!$C$22,0))</f>
        <v/>
      </c>
      <c r="U51" s="40" t="str">
        <f>IF($B51="","",IF('CẤU HÌNH'!$C$19=1,J51+ROUND(F51*(N51*('CẤU HÌNH'!$C$9-1)+O51*('CẤU HÌNH'!$C$10-1)+P51*('CẤU HÌNH'!$C$11-1)),0),0)+MIN(L51,'CẤU HÌNH'!$C$18))</f>
        <v/>
      </c>
      <c r="V51" s="40" t="str">
        <f>IF($B51="","",MAX(0,S51-U51-T51-'CẤU HÌNH'!$C$16-'NHÂN VIÊN'!J46*'CẤU HÌNH'!$C$17))</f>
        <v/>
      </c>
      <c r="W51" s="40" t="str">
        <f>IF($B51="","",ROUND(SUMPRODUCT((V51&gt;'CẤU HÌNH'!$F$5:$F$9)*(V51-'CẤU HÌNH'!$F$5:$F$9)*'CẤU HÌNH'!$H$5:$H$9),0))</f>
        <v/>
      </c>
      <c r="X51" s="48"/>
      <c r="Y51" s="48"/>
      <c r="Z51" s="50" t="str">
        <f t="shared" si="3"/>
        <v/>
      </c>
      <c r="AA51" s="51"/>
    </row>
    <row r="52" ht="19.5" customHeight="1">
      <c r="A52" s="28" t="str">
        <f t="shared" si="1"/>
        <v/>
      </c>
      <c r="B52" s="36" t="str">
        <f>IF('NHÂN VIÊN'!B47="","",'NHÂN VIÊN'!B47)</f>
        <v/>
      </c>
      <c r="C52" s="36" t="str">
        <f>IF($B52="","",'NHÂN VIÊN'!C47)</f>
        <v/>
      </c>
      <c r="D52" s="36" t="str">
        <f>IF($B52="","",'NHÂN VIÊN'!E47)</f>
        <v/>
      </c>
      <c r="E52" s="40" t="str">
        <f>IF($B52="","",'NHÂN VIÊN'!F47)</f>
        <v/>
      </c>
      <c r="F52" s="40" t="str">
        <f>IF($B52="","",E52/'CẤU HÌNH'!$C$5/'CẤU HÌNH'!$C$6)</f>
        <v/>
      </c>
      <c r="G52" s="45" t="str">
        <f>IF($B52="","",'BẢNG CHẤM CA'!AQ50)</f>
        <v/>
      </c>
      <c r="H52" s="46" t="str">
        <f>IF($B52="","",'BẢNG CHẤM CA'!AK50)</f>
        <v/>
      </c>
      <c r="I52" s="40" t="str">
        <f>IF($B52="","",ROUND(E52/'CẤU HÌNH'!$C$5*G52,0))</f>
        <v/>
      </c>
      <c r="J52" s="40" t="str">
        <f>IF($B52="","",ROUND('BẢNG CHẤM CA'!AR50*F52*'CẤU HÌNH'!$C$8,0))</f>
        <v/>
      </c>
      <c r="K52" s="40" t="str">
        <f>IF($B52="","",'NHÂN VIÊN'!G47)</f>
        <v/>
      </c>
      <c r="L52" s="40" t="str">
        <f>IF($B52="","",ROUND('NHÂN VIÊN'!H47*('BẢNG CHẤM CA'!AJ50+'BẢNG CHẤM CA'!AK50),0))</f>
        <v/>
      </c>
      <c r="M52" s="48"/>
      <c r="N52" s="49"/>
      <c r="O52" s="49"/>
      <c r="P52" s="49"/>
      <c r="Q52" s="40" t="str">
        <f>IF($B52="","",ROUND(F52*(N52*'CẤU HÌNH'!$C$9+O52*'CẤU HÌNH'!$C$10+P52*'CẤU HÌNH'!$C$11),0))</f>
        <v/>
      </c>
      <c r="R52" s="48"/>
      <c r="S52" s="40" t="str">
        <f t="shared" si="2"/>
        <v/>
      </c>
      <c r="T52" s="40" t="str">
        <f>IF($B52="","",ROUND(MIN('NHÂN VIÊN'!I47,'CẤU HÌNH'!$C$15)*'CẤU HÌNH'!$C$22,0))</f>
        <v/>
      </c>
      <c r="U52" s="40" t="str">
        <f>IF($B52="","",IF('CẤU HÌNH'!$C$19=1,J52+ROUND(F52*(N52*('CẤU HÌNH'!$C$9-1)+O52*('CẤU HÌNH'!$C$10-1)+P52*('CẤU HÌNH'!$C$11-1)),0),0)+MIN(L52,'CẤU HÌNH'!$C$18))</f>
        <v/>
      </c>
      <c r="V52" s="40" t="str">
        <f>IF($B52="","",MAX(0,S52-U52-T52-'CẤU HÌNH'!$C$16-'NHÂN VIÊN'!J47*'CẤU HÌNH'!$C$17))</f>
        <v/>
      </c>
      <c r="W52" s="40" t="str">
        <f>IF($B52="","",ROUND(SUMPRODUCT((V52&gt;'CẤU HÌNH'!$F$5:$F$9)*(V52-'CẤU HÌNH'!$F$5:$F$9)*'CẤU HÌNH'!$H$5:$H$9),0))</f>
        <v/>
      </c>
      <c r="X52" s="48"/>
      <c r="Y52" s="48"/>
      <c r="Z52" s="50" t="str">
        <f t="shared" si="3"/>
        <v/>
      </c>
      <c r="AA52" s="51"/>
    </row>
    <row r="53" ht="19.5" customHeight="1">
      <c r="A53" s="28" t="str">
        <f t="shared" si="1"/>
        <v/>
      </c>
      <c r="B53" s="36" t="str">
        <f>IF('NHÂN VIÊN'!B48="","",'NHÂN VIÊN'!B48)</f>
        <v/>
      </c>
      <c r="C53" s="36" t="str">
        <f>IF($B53="","",'NHÂN VIÊN'!C48)</f>
        <v/>
      </c>
      <c r="D53" s="36" t="str">
        <f>IF($B53="","",'NHÂN VIÊN'!E48)</f>
        <v/>
      </c>
      <c r="E53" s="40" t="str">
        <f>IF($B53="","",'NHÂN VIÊN'!F48)</f>
        <v/>
      </c>
      <c r="F53" s="40" t="str">
        <f>IF($B53="","",E53/'CẤU HÌNH'!$C$5/'CẤU HÌNH'!$C$6)</f>
        <v/>
      </c>
      <c r="G53" s="45" t="str">
        <f>IF($B53="","",'BẢNG CHẤM CA'!AQ51)</f>
        <v/>
      </c>
      <c r="H53" s="46" t="str">
        <f>IF($B53="","",'BẢNG CHẤM CA'!AK51)</f>
        <v/>
      </c>
      <c r="I53" s="40" t="str">
        <f>IF($B53="","",ROUND(E53/'CẤU HÌNH'!$C$5*G53,0))</f>
        <v/>
      </c>
      <c r="J53" s="40" t="str">
        <f>IF($B53="","",ROUND('BẢNG CHẤM CA'!AR51*F53*'CẤU HÌNH'!$C$8,0))</f>
        <v/>
      </c>
      <c r="K53" s="40" t="str">
        <f>IF($B53="","",'NHÂN VIÊN'!G48)</f>
        <v/>
      </c>
      <c r="L53" s="40" t="str">
        <f>IF($B53="","",ROUND('NHÂN VIÊN'!H48*('BẢNG CHẤM CA'!AJ51+'BẢNG CHẤM CA'!AK51),0))</f>
        <v/>
      </c>
      <c r="M53" s="48"/>
      <c r="N53" s="49"/>
      <c r="O53" s="49"/>
      <c r="P53" s="49"/>
      <c r="Q53" s="40" t="str">
        <f>IF($B53="","",ROUND(F53*(N53*'CẤU HÌNH'!$C$9+O53*'CẤU HÌNH'!$C$10+P53*'CẤU HÌNH'!$C$11),0))</f>
        <v/>
      </c>
      <c r="R53" s="48"/>
      <c r="S53" s="40" t="str">
        <f t="shared" si="2"/>
        <v/>
      </c>
      <c r="T53" s="40" t="str">
        <f>IF($B53="","",ROUND(MIN('NHÂN VIÊN'!I48,'CẤU HÌNH'!$C$15)*'CẤU HÌNH'!$C$22,0))</f>
        <v/>
      </c>
      <c r="U53" s="40" t="str">
        <f>IF($B53="","",IF('CẤU HÌNH'!$C$19=1,J53+ROUND(F53*(N53*('CẤU HÌNH'!$C$9-1)+O53*('CẤU HÌNH'!$C$10-1)+P53*('CẤU HÌNH'!$C$11-1)),0),0)+MIN(L53,'CẤU HÌNH'!$C$18))</f>
        <v/>
      </c>
      <c r="V53" s="40" t="str">
        <f>IF($B53="","",MAX(0,S53-U53-T53-'CẤU HÌNH'!$C$16-'NHÂN VIÊN'!J48*'CẤU HÌNH'!$C$17))</f>
        <v/>
      </c>
      <c r="W53" s="40" t="str">
        <f>IF($B53="","",ROUND(SUMPRODUCT((V53&gt;'CẤU HÌNH'!$F$5:$F$9)*(V53-'CẤU HÌNH'!$F$5:$F$9)*'CẤU HÌNH'!$H$5:$H$9),0))</f>
        <v/>
      </c>
      <c r="X53" s="48"/>
      <c r="Y53" s="48"/>
      <c r="Z53" s="50" t="str">
        <f t="shared" si="3"/>
        <v/>
      </c>
      <c r="AA53" s="51"/>
    </row>
    <row r="54" ht="19.5" customHeight="1">
      <c r="A54" s="28" t="str">
        <f t="shared" si="1"/>
        <v/>
      </c>
      <c r="B54" s="36" t="str">
        <f>IF('NHÂN VIÊN'!B49="","",'NHÂN VIÊN'!B49)</f>
        <v/>
      </c>
      <c r="C54" s="36" t="str">
        <f>IF($B54="","",'NHÂN VIÊN'!C49)</f>
        <v/>
      </c>
      <c r="D54" s="36" t="str">
        <f>IF($B54="","",'NHÂN VIÊN'!E49)</f>
        <v/>
      </c>
      <c r="E54" s="40" t="str">
        <f>IF($B54="","",'NHÂN VIÊN'!F49)</f>
        <v/>
      </c>
      <c r="F54" s="40" t="str">
        <f>IF($B54="","",E54/'CẤU HÌNH'!$C$5/'CẤU HÌNH'!$C$6)</f>
        <v/>
      </c>
      <c r="G54" s="45" t="str">
        <f>IF($B54="","",'BẢNG CHẤM CA'!AQ52)</f>
        <v/>
      </c>
      <c r="H54" s="46" t="str">
        <f>IF($B54="","",'BẢNG CHẤM CA'!AK52)</f>
        <v/>
      </c>
      <c r="I54" s="40" t="str">
        <f>IF($B54="","",ROUND(E54/'CẤU HÌNH'!$C$5*G54,0))</f>
        <v/>
      </c>
      <c r="J54" s="40" t="str">
        <f>IF($B54="","",ROUND('BẢNG CHẤM CA'!AR52*F54*'CẤU HÌNH'!$C$8,0))</f>
        <v/>
      </c>
      <c r="K54" s="40" t="str">
        <f>IF($B54="","",'NHÂN VIÊN'!G49)</f>
        <v/>
      </c>
      <c r="L54" s="40" t="str">
        <f>IF($B54="","",ROUND('NHÂN VIÊN'!H49*('BẢNG CHẤM CA'!AJ52+'BẢNG CHẤM CA'!AK52),0))</f>
        <v/>
      </c>
      <c r="M54" s="48"/>
      <c r="N54" s="49"/>
      <c r="O54" s="49"/>
      <c r="P54" s="49"/>
      <c r="Q54" s="40" t="str">
        <f>IF($B54="","",ROUND(F54*(N54*'CẤU HÌNH'!$C$9+O54*'CẤU HÌNH'!$C$10+P54*'CẤU HÌNH'!$C$11),0))</f>
        <v/>
      </c>
      <c r="R54" s="48"/>
      <c r="S54" s="40" t="str">
        <f t="shared" si="2"/>
        <v/>
      </c>
      <c r="T54" s="40" t="str">
        <f>IF($B54="","",ROUND(MIN('NHÂN VIÊN'!I49,'CẤU HÌNH'!$C$15)*'CẤU HÌNH'!$C$22,0))</f>
        <v/>
      </c>
      <c r="U54" s="40" t="str">
        <f>IF($B54="","",IF('CẤU HÌNH'!$C$19=1,J54+ROUND(F54*(N54*('CẤU HÌNH'!$C$9-1)+O54*('CẤU HÌNH'!$C$10-1)+P54*('CẤU HÌNH'!$C$11-1)),0),0)+MIN(L54,'CẤU HÌNH'!$C$18))</f>
        <v/>
      </c>
      <c r="V54" s="40" t="str">
        <f>IF($B54="","",MAX(0,S54-U54-T54-'CẤU HÌNH'!$C$16-'NHÂN VIÊN'!J49*'CẤU HÌNH'!$C$17))</f>
        <v/>
      </c>
      <c r="W54" s="40" t="str">
        <f>IF($B54="","",ROUND(SUMPRODUCT((V54&gt;'CẤU HÌNH'!$F$5:$F$9)*(V54-'CẤU HÌNH'!$F$5:$F$9)*'CẤU HÌNH'!$H$5:$H$9),0))</f>
        <v/>
      </c>
      <c r="X54" s="48"/>
      <c r="Y54" s="48"/>
      <c r="Z54" s="50" t="str">
        <f t="shared" si="3"/>
        <v/>
      </c>
      <c r="AA54" s="51"/>
    </row>
    <row r="55" ht="19.5" customHeight="1">
      <c r="A55" s="28" t="str">
        <f t="shared" si="1"/>
        <v/>
      </c>
      <c r="B55" s="36" t="str">
        <f>IF('NHÂN VIÊN'!B50="","",'NHÂN VIÊN'!B50)</f>
        <v/>
      </c>
      <c r="C55" s="36" t="str">
        <f>IF($B55="","",'NHÂN VIÊN'!C50)</f>
        <v/>
      </c>
      <c r="D55" s="36" t="str">
        <f>IF($B55="","",'NHÂN VIÊN'!E50)</f>
        <v/>
      </c>
      <c r="E55" s="40" t="str">
        <f>IF($B55="","",'NHÂN VIÊN'!F50)</f>
        <v/>
      </c>
      <c r="F55" s="40" t="str">
        <f>IF($B55="","",E55/'CẤU HÌNH'!$C$5/'CẤU HÌNH'!$C$6)</f>
        <v/>
      </c>
      <c r="G55" s="45" t="str">
        <f>IF($B55="","",'BẢNG CHẤM CA'!AQ53)</f>
        <v/>
      </c>
      <c r="H55" s="46" t="str">
        <f>IF($B55="","",'BẢNG CHẤM CA'!AK53)</f>
        <v/>
      </c>
      <c r="I55" s="40" t="str">
        <f>IF($B55="","",ROUND(E55/'CẤU HÌNH'!$C$5*G55,0))</f>
        <v/>
      </c>
      <c r="J55" s="40" t="str">
        <f>IF($B55="","",ROUND('BẢNG CHẤM CA'!AR53*F55*'CẤU HÌNH'!$C$8,0))</f>
        <v/>
      </c>
      <c r="K55" s="40" t="str">
        <f>IF($B55="","",'NHÂN VIÊN'!G50)</f>
        <v/>
      </c>
      <c r="L55" s="40" t="str">
        <f>IF($B55="","",ROUND('NHÂN VIÊN'!H50*('BẢNG CHẤM CA'!AJ53+'BẢNG CHẤM CA'!AK53),0))</f>
        <v/>
      </c>
      <c r="M55" s="48"/>
      <c r="N55" s="49"/>
      <c r="O55" s="49"/>
      <c r="P55" s="49"/>
      <c r="Q55" s="40" t="str">
        <f>IF($B55="","",ROUND(F55*(N55*'CẤU HÌNH'!$C$9+O55*'CẤU HÌNH'!$C$10+P55*'CẤU HÌNH'!$C$11),0))</f>
        <v/>
      </c>
      <c r="R55" s="48"/>
      <c r="S55" s="40" t="str">
        <f t="shared" si="2"/>
        <v/>
      </c>
      <c r="T55" s="40" t="str">
        <f>IF($B55="","",ROUND(MIN('NHÂN VIÊN'!I50,'CẤU HÌNH'!$C$15)*'CẤU HÌNH'!$C$22,0))</f>
        <v/>
      </c>
      <c r="U55" s="40" t="str">
        <f>IF($B55="","",IF('CẤU HÌNH'!$C$19=1,J55+ROUND(F55*(N55*('CẤU HÌNH'!$C$9-1)+O55*('CẤU HÌNH'!$C$10-1)+P55*('CẤU HÌNH'!$C$11-1)),0),0)+MIN(L55,'CẤU HÌNH'!$C$18))</f>
        <v/>
      </c>
      <c r="V55" s="40" t="str">
        <f>IF($B55="","",MAX(0,S55-U55-T55-'CẤU HÌNH'!$C$16-'NHÂN VIÊN'!J50*'CẤU HÌNH'!$C$17))</f>
        <v/>
      </c>
      <c r="W55" s="40" t="str">
        <f>IF($B55="","",ROUND(SUMPRODUCT((V55&gt;'CẤU HÌNH'!$F$5:$F$9)*(V55-'CẤU HÌNH'!$F$5:$F$9)*'CẤU HÌNH'!$H$5:$H$9),0))</f>
        <v/>
      </c>
      <c r="X55" s="48"/>
      <c r="Y55" s="48"/>
      <c r="Z55" s="50" t="str">
        <f t="shared" si="3"/>
        <v/>
      </c>
      <c r="AA55" s="51"/>
    </row>
    <row r="56" ht="19.5" customHeight="1">
      <c r="A56" s="28" t="str">
        <f t="shared" si="1"/>
        <v/>
      </c>
      <c r="B56" s="36" t="str">
        <f>IF('NHÂN VIÊN'!B51="","",'NHÂN VIÊN'!B51)</f>
        <v/>
      </c>
      <c r="C56" s="36" t="str">
        <f>IF($B56="","",'NHÂN VIÊN'!C51)</f>
        <v/>
      </c>
      <c r="D56" s="36" t="str">
        <f>IF($B56="","",'NHÂN VIÊN'!E51)</f>
        <v/>
      </c>
      <c r="E56" s="40" t="str">
        <f>IF($B56="","",'NHÂN VIÊN'!F51)</f>
        <v/>
      </c>
      <c r="F56" s="40" t="str">
        <f>IF($B56="","",E56/'CẤU HÌNH'!$C$5/'CẤU HÌNH'!$C$6)</f>
        <v/>
      </c>
      <c r="G56" s="45" t="str">
        <f>IF($B56="","",'BẢNG CHẤM CA'!AQ54)</f>
        <v/>
      </c>
      <c r="H56" s="46" t="str">
        <f>IF($B56="","",'BẢNG CHẤM CA'!AK54)</f>
        <v/>
      </c>
      <c r="I56" s="40" t="str">
        <f>IF($B56="","",ROUND(E56/'CẤU HÌNH'!$C$5*G56,0))</f>
        <v/>
      </c>
      <c r="J56" s="40" t="str">
        <f>IF($B56="","",ROUND('BẢNG CHẤM CA'!AR54*F56*'CẤU HÌNH'!$C$8,0))</f>
        <v/>
      </c>
      <c r="K56" s="40" t="str">
        <f>IF($B56="","",'NHÂN VIÊN'!G51)</f>
        <v/>
      </c>
      <c r="L56" s="40" t="str">
        <f>IF($B56="","",ROUND('NHÂN VIÊN'!H51*('BẢNG CHẤM CA'!AJ54+'BẢNG CHẤM CA'!AK54),0))</f>
        <v/>
      </c>
      <c r="M56" s="48"/>
      <c r="N56" s="49"/>
      <c r="O56" s="49"/>
      <c r="P56" s="49"/>
      <c r="Q56" s="40" t="str">
        <f>IF($B56="","",ROUND(F56*(N56*'CẤU HÌNH'!$C$9+O56*'CẤU HÌNH'!$C$10+P56*'CẤU HÌNH'!$C$11),0))</f>
        <v/>
      </c>
      <c r="R56" s="48"/>
      <c r="S56" s="40" t="str">
        <f t="shared" si="2"/>
        <v/>
      </c>
      <c r="T56" s="40" t="str">
        <f>IF($B56="","",ROUND(MIN('NHÂN VIÊN'!I51,'CẤU HÌNH'!$C$15)*'CẤU HÌNH'!$C$22,0))</f>
        <v/>
      </c>
      <c r="U56" s="40" t="str">
        <f>IF($B56="","",IF('CẤU HÌNH'!$C$19=1,J56+ROUND(F56*(N56*('CẤU HÌNH'!$C$9-1)+O56*('CẤU HÌNH'!$C$10-1)+P56*('CẤU HÌNH'!$C$11-1)),0),0)+MIN(L56,'CẤU HÌNH'!$C$18))</f>
        <v/>
      </c>
      <c r="V56" s="40" t="str">
        <f>IF($B56="","",MAX(0,S56-U56-T56-'CẤU HÌNH'!$C$16-'NHÂN VIÊN'!J51*'CẤU HÌNH'!$C$17))</f>
        <v/>
      </c>
      <c r="W56" s="40" t="str">
        <f>IF($B56="","",ROUND(SUMPRODUCT((V56&gt;'CẤU HÌNH'!$F$5:$F$9)*(V56-'CẤU HÌNH'!$F$5:$F$9)*'CẤU HÌNH'!$H$5:$H$9),0))</f>
        <v/>
      </c>
      <c r="X56" s="48"/>
      <c r="Y56" s="48"/>
      <c r="Z56" s="50" t="str">
        <f t="shared" si="3"/>
        <v/>
      </c>
      <c r="AA56" s="51"/>
    </row>
    <row r="57" ht="19.5" customHeight="1">
      <c r="A57" s="28" t="str">
        <f t="shared" si="1"/>
        <v/>
      </c>
      <c r="B57" s="36" t="str">
        <f>IF('NHÂN VIÊN'!B52="","",'NHÂN VIÊN'!B52)</f>
        <v/>
      </c>
      <c r="C57" s="36" t="str">
        <f>IF($B57="","",'NHÂN VIÊN'!C52)</f>
        <v/>
      </c>
      <c r="D57" s="36" t="str">
        <f>IF($B57="","",'NHÂN VIÊN'!E52)</f>
        <v/>
      </c>
      <c r="E57" s="40" t="str">
        <f>IF($B57="","",'NHÂN VIÊN'!F52)</f>
        <v/>
      </c>
      <c r="F57" s="40" t="str">
        <f>IF($B57="","",E57/'CẤU HÌNH'!$C$5/'CẤU HÌNH'!$C$6)</f>
        <v/>
      </c>
      <c r="G57" s="45" t="str">
        <f>IF($B57="","",'BẢNG CHẤM CA'!AQ55)</f>
        <v/>
      </c>
      <c r="H57" s="46" t="str">
        <f>IF($B57="","",'BẢNG CHẤM CA'!AK55)</f>
        <v/>
      </c>
      <c r="I57" s="40" t="str">
        <f>IF($B57="","",ROUND(E57/'CẤU HÌNH'!$C$5*G57,0))</f>
        <v/>
      </c>
      <c r="J57" s="40" t="str">
        <f>IF($B57="","",ROUND('BẢNG CHẤM CA'!AR55*F57*'CẤU HÌNH'!$C$8,0))</f>
        <v/>
      </c>
      <c r="K57" s="40" t="str">
        <f>IF($B57="","",'NHÂN VIÊN'!G52)</f>
        <v/>
      </c>
      <c r="L57" s="40" t="str">
        <f>IF($B57="","",ROUND('NHÂN VIÊN'!H52*('BẢNG CHẤM CA'!AJ55+'BẢNG CHẤM CA'!AK55),0))</f>
        <v/>
      </c>
      <c r="M57" s="48"/>
      <c r="N57" s="49"/>
      <c r="O57" s="49"/>
      <c r="P57" s="49"/>
      <c r="Q57" s="40" t="str">
        <f>IF($B57="","",ROUND(F57*(N57*'CẤU HÌNH'!$C$9+O57*'CẤU HÌNH'!$C$10+P57*'CẤU HÌNH'!$C$11),0))</f>
        <v/>
      </c>
      <c r="R57" s="48"/>
      <c r="S57" s="40" t="str">
        <f t="shared" si="2"/>
        <v/>
      </c>
      <c r="T57" s="40" t="str">
        <f>IF($B57="","",ROUND(MIN('NHÂN VIÊN'!I52,'CẤU HÌNH'!$C$15)*'CẤU HÌNH'!$C$22,0))</f>
        <v/>
      </c>
      <c r="U57" s="40" t="str">
        <f>IF($B57="","",IF('CẤU HÌNH'!$C$19=1,J57+ROUND(F57*(N57*('CẤU HÌNH'!$C$9-1)+O57*('CẤU HÌNH'!$C$10-1)+P57*('CẤU HÌNH'!$C$11-1)),0),0)+MIN(L57,'CẤU HÌNH'!$C$18))</f>
        <v/>
      </c>
      <c r="V57" s="40" t="str">
        <f>IF($B57="","",MAX(0,S57-U57-T57-'CẤU HÌNH'!$C$16-'NHÂN VIÊN'!J52*'CẤU HÌNH'!$C$17))</f>
        <v/>
      </c>
      <c r="W57" s="40" t="str">
        <f>IF($B57="","",ROUND(SUMPRODUCT((V57&gt;'CẤU HÌNH'!$F$5:$F$9)*(V57-'CẤU HÌNH'!$F$5:$F$9)*'CẤU HÌNH'!$H$5:$H$9),0))</f>
        <v/>
      </c>
      <c r="X57" s="48"/>
      <c r="Y57" s="48"/>
      <c r="Z57" s="50" t="str">
        <f t="shared" si="3"/>
        <v/>
      </c>
      <c r="AA57" s="51"/>
    </row>
    <row r="58" ht="19.5" customHeight="1">
      <c r="A58" s="28" t="str">
        <f t="shared" si="1"/>
        <v/>
      </c>
      <c r="B58" s="36" t="str">
        <f>IF('NHÂN VIÊN'!B53="","",'NHÂN VIÊN'!B53)</f>
        <v/>
      </c>
      <c r="C58" s="36" t="str">
        <f>IF($B58="","",'NHÂN VIÊN'!C53)</f>
        <v/>
      </c>
      <c r="D58" s="36" t="str">
        <f>IF($B58="","",'NHÂN VIÊN'!E53)</f>
        <v/>
      </c>
      <c r="E58" s="40" t="str">
        <f>IF($B58="","",'NHÂN VIÊN'!F53)</f>
        <v/>
      </c>
      <c r="F58" s="40" t="str">
        <f>IF($B58="","",E58/'CẤU HÌNH'!$C$5/'CẤU HÌNH'!$C$6)</f>
        <v/>
      </c>
      <c r="G58" s="45" t="str">
        <f>IF($B58="","",'BẢNG CHẤM CA'!AQ56)</f>
        <v/>
      </c>
      <c r="H58" s="46" t="str">
        <f>IF($B58="","",'BẢNG CHẤM CA'!AK56)</f>
        <v/>
      </c>
      <c r="I58" s="40" t="str">
        <f>IF($B58="","",ROUND(E58/'CẤU HÌNH'!$C$5*G58,0))</f>
        <v/>
      </c>
      <c r="J58" s="40" t="str">
        <f>IF($B58="","",ROUND('BẢNG CHẤM CA'!AR56*F58*'CẤU HÌNH'!$C$8,0))</f>
        <v/>
      </c>
      <c r="K58" s="40" t="str">
        <f>IF($B58="","",'NHÂN VIÊN'!G53)</f>
        <v/>
      </c>
      <c r="L58" s="40" t="str">
        <f>IF($B58="","",ROUND('NHÂN VIÊN'!H53*('BẢNG CHẤM CA'!AJ56+'BẢNG CHẤM CA'!AK56),0))</f>
        <v/>
      </c>
      <c r="M58" s="48"/>
      <c r="N58" s="49"/>
      <c r="O58" s="49"/>
      <c r="P58" s="49"/>
      <c r="Q58" s="40" t="str">
        <f>IF($B58="","",ROUND(F58*(N58*'CẤU HÌNH'!$C$9+O58*'CẤU HÌNH'!$C$10+P58*'CẤU HÌNH'!$C$11),0))</f>
        <v/>
      </c>
      <c r="R58" s="48"/>
      <c r="S58" s="40" t="str">
        <f t="shared" si="2"/>
        <v/>
      </c>
      <c r="T58" s="40" t="str">
        <f>IF($B58="","",ROUND(MIN('NHÂN VIÊN'!I53,'CẤU HÌNH'!$C$15)*'CẤU HÌNH'!$C$22,0))</f>
        <v/>
      </c>
      <c r="U58" s="40" t="str">
        <f>IF($B58="","",IF('CẤU HÌNH'!$C$19=1,J58+ROUND(F58*(N58*('CẤU HÌNH'!$C$9-1)+O58*('CẤU HÌNH'!$C$10-1)+P58*('CẤU HÌNH'!$C$11-1)),0),0)+MIN(L58,'CẤU HÌNH'!$C$18))</f>
        <v/>
      </c>
      <c r="V58" s="40" t="str">
        <f>IF($B58="","",MAX(0,S58-U58-T58-'CẤU HÌNH'!$C$16-'NHÂN VIÊN'!J53*'CẤU HÌNH'!$C$17))</f>
        <v/>
      </c>
      <c r="W58" s="40" t="str">
        <f>IF($B58="","",ROUND(SUMPRODUCT((V58&gt;'CẤU HÌNH'!$F$5:$F$9)*(V58-'CẤU HÌNH'!$F$5:$F$9)*'CẤU HÌNH'!$H$5:$H$9),0))</f>
        <v/>
      </c>
      <c r="X58" s="48"/>
      <c r="Y58" s="48"/>
      <c r="Z58" s="50" t="str">
        <f t="shared" si="3"/>
        <v/>
      </c>
      <c r="AA58" s="51"/>
    </row>
    <row r="59" ht="19.5" customHeight="1">
      <c r="A59" s="28" t="str">
        <f t="shared" si="1"/>
        <v/>
      </c>
      <c r="B59" s="36" t="str">
        <f>IF('NHÂN VIÊN'!B54="","",'NHÂN VIÊN'!B54)</f>
        <v/>
      </c>
      <c r="C59" s="36" t="str">
        <f>IF($B59="","",'NHÂN VIÊN'!C54)</f>
        <v/>
      </c>
      <c r="D59" s="36" t="str">
        <f>IF($B59="","",'NHÂN VIÊN'!E54)</f>
        <v/>
      </c>
      <c r="E59" s="40" t="str">
        <f>IF($B59="","",'NHÂN VIÊN'!F54)</f>
        <v/>
      </c>
      <c r="F59" s="40" t="str">
        <f>IF($B59="","",E59/'CẤU HÌNH'!$C$5/'CẤU HÌNH'!$C$6)</f>
        <v/>
      </c>
      <c r="G59" s="45" t="str">
        <f>IF($B59="","",'BẢNG CHẤM CA'!AQ57)</f>
        <v/>
      </c>
      <c r="H59" s="46" t="str">
        <f>IF($B59="","",'BẢNG CHẤM CA'!AK57)</f>
        <v/>
      </c>
      <c r="I59" s="40" t="str">
        <f>IF($B59="","",ROUND(E59/'CẤU HÌNH'!$C$5*G59,0))</f>
        <v/>
      </c>
      <c r="J59" s="40" t="str">
        <f>IF($B59="","",ROUND('BẢNG CHẤM CA'!AR57*F59*'CẤU HÌNH'!$C$8,0))</f>
        <v/>
      </c>
      <c r="K59" s="40" t="str">
        <f>IF($B59="","",'NHÂN VIÊN'!G54)</f>
        <v/>
      </c>
      <c r="L59" s="40" t="str">
        <f>IF($B59="","",ROUND('NHÂN VIÊN'!H54*('BẢNG CHẤM CA'!AJ57+'BẢNG CHẤM CA'!AK57),0))</f>
        <v/>
      </c>
      <c r="M59" s="48"/>
      <c r="N59" s="49"/>
      <c r="O59" s="49"/>
      <c r="P59" s="49"/>
      <c r="Q59" s="40" t="str">
        <f>IF($B59="","",ROUND(F59*(N59*'CẤU HÌNH'!$C$9+O59*'CẤU HÌNH'!$C$10+P59*'CẤU HÌNH'!$C$11),0))</f>
        <v/>
      </c>
      <c r="R59" s="48"/>
      <c r="S59" s="40" t="str">
        <f t="shared" si="2"/>
        <v/>
      </c>
      <c r="T59" s="40" t="str">
        <f>IF($B59="","",ROUND(MIN('NHÂN VIÊN'!I54,'CẤU HÌNH'!$C$15)*'CẤU HÌNH'!$C$22,0))</f>
        <v/>
      </c>
      <c r="U59" s="40" t="str">
        <f>IF($B59="","",IF('CẤU HÌNH'!$C$19=1,J59+ROUND(F59*(N59*('CẤU HÌNH'!$C$9-1)+O59*('CẤU HÌNH'!$C$10-1)+P59*('CẤU HÌNH'!$C$11-1)),0),0)+MIN(L59,'CẤU HÌNH'!$C$18))</f>
        <v/>
      </c>
      <c r="V59" s="40" t="str">
        <f>IF($B59="","",MAX(0,S59-U59-T59-'CẤU HÌNH'!$C$16-'NHÂN VIÊN'!J54*'CẤU HÌNH'!$C$17))</f>
        <v/>
      </c>
      <c r="W59" s="40" t="str">
        <f>IF($B59="","",ROUND(SUMPRODUCT((V59&gt;'CẤU HÌNH'!$F$5:$F$9)*(V59-'CẤU HÌNH'!$F$5:$F$9)*'CẤU HÌNH'!$H$5:$H$9),0))</f>
        <v/>
      </c>
      <c r="X59" s="48"/>
      <c r="Y59" s="48"/>
      <c r="Z59" s="50" t="str">
        <f t="shared" si="3"/>
        <v/>
      </c>
      <c r="AA59" s="51"/>
    </row>
    <row r="60" ht="25.5" customHeight="1">
      <c r="A60" s="60" t="s">
        <v>180</v>
      </c>
      <c r="B60" s="39"/>
      <c r="C60" s="39"/>
      <c r="D60" s="43"/>
      <c r="E60" s="70"/>
      <c r="F60" s="70"/>
      <c r="G60" s="71">
        <f t="shared" ref="G60:Z60" si="4">SUM(G10:G59)</f>
        <v>211</v>
      </c>
      <c r="H60" s="70">
        <f t="shared" si="4"/>
        <v>104</v>
      </c>
      <c r="I60" s="70">
        <f t="shared" si="4"/>
        <v>56326923</v>
      </c>
      <c r="J60" s="70">
        <f t="shared" si="4"/>
        <v>8284615</v>
      </c>
      <c r="K60" s="70">
        <f t="shared" si="4"/>
        <v>1300000</v>
      </c>
      <c r="L60" s="70">
        <f t="shared" si="4"/>
        <v>6270000</v>
      </c>
      <c r="M60" s="70">
        <f t="shared" si="4"/>
        <v>300000</v>
      </c>
      <c r="N60" s="71">
        <f t="shared" si="4"/>
        <v>86</v>
      </c>
      <c r="O60" s="71">
        <f t="shared" si="4"/>
        <v>24</v>
      </c>
      <c r="P60" s="71">
        <f t="shared" si="4"/>
        <v>0</v>
      </c>
      <c r="Q60" s="70">
        <f t="shared" si="4"/>
        <v>5912500</v>
      </c>
      <c r="R60" s="70">
        <f t="shared" si="4"/>
        <v>1100000</v>
      </c>
      <c r="S60" s="70">
        <f t="shared" si="4"/>
        <v>79494038</v>
      </c>
      <c r="T60" s="70">
        <f t="shared" si="4"/>
        <v>5964000</v>
      </c>
      <c r="U60" s="70">
        <f t="shared" si="4"/>
        <v>16362115</v>
      </c>
      <c r="V60" s="70">
        <f t="shared" si="4"/>
        <v>0</v>
      </c>
      <c r="W60" s="70">
        <f t="shared" si="4"/>
        <v>0</v>
      </c>
      <c r="X60" s="70">
        <f t="shared" si="4"/>
        <v>1500000</v>
      </c>
      <c r="Y60" s="70">
        <f t="shared" si="4"/>
        <v>150000</v>
      </c>
      <c r="Z60" s="70">
        <f t="shared" si="4"/>
        <v>71880038</v>
      </c>
      <c r="AA60" s="70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7:C7"/>
    <mergeCell ref="D7:G7"/>
    <mergeCell ref="H7:K7"/>
    <mergeCell ref="L7:P7"/>
    <mergeCell ref="Q7:S7"/>
    <mergeCell ref="A60:D60"/>
    <mergeCell ref="A2:AA2"/>
    <mergeCell ref="A6:C6"/>
    <mergeCell ref="D6:G6"/>
    <mergeCell ref="H6:K6"/>
    <mergeCell ref="L6:P6"/>
    <mergeCell ref="Q6:S6"/>
    <mergeCell ref="D1:S1"/>
  </mergeCells>
  <conditionalFormatting sqref="Z10:Z59">
    <cfRule type="expression" dxfId="5" priority="1">
      <formula>AND(ISNUMBER(Z10),Z10&lt;0)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4.0" ySplit="7.0" topLeftCell="E8" activePane="bottomRight" state="frozen"/>
      <selection activeCell="E1" sqref="E1" pane="topRight"/>
      <selection activeCell="A8" sqref="A8" pane="bottomLeft"/>
      <selection activeCell="E8" sqref="E8" pane="bottomRight"/>
    </sheetView>
  </sheetViews>
  <sheetFormatPr customHeight="1" defaultColWidth="14.43" defaultRowHeight="15.0"/>
  <cols>
    <col customWidth="1" min="1" max="1" width="5.0"/>
    <col customWidth="1" min="2" max="2" width="10.0"/>
    <col customWidth="1" min="3" max="3" width="24.0"/>
    <col customWidth="1" min="4" max="4" width="16.0"/>
    <col customWidth="1" min="5" max="35" width="4.57"/>
    <col customWidth="1" min="36" max="44" width="11.43"/>
  </cols>
  <sheetData>
    <row r="1" ht="33.75" customHeight="1">
      <c r="A1" s="1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5"/>
    </row>
    <row r="2" ht="19.5" customHeight="1">
      <c r="A2" s="7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5"/>
    </row>
    <row r="4">
      <c r="B4" s="9" t="s">
        <v>7</v>
      </c>
      <c r="C4" s="15">
        <v>10.0</v>
      </c>
      <c r="D4" s="9" t="s">
        <v>14</v>
      </c>
      <c r="E4" s="17">
        <v>2026.0</v>
      </c>
      <c r="F4" s="19"/>
      <c r="H4" s="9" t="s">
        <v>25</v>
      </c>
      <c r="P4" s="23">
        <f>DAY(DATE($E$4,$C$4+1,0))</f>
        <v>31</v>
      </c>
      <c r="Q4" s="5"/>
    </row>
    <row r="6" ht="31.5" customHeight="1">
      <c r="A6" s="26" t="s">
        <v>76</v>
      </c>
      <c r="B6" s="26" t="s">
        <v>80</v>
      </c>
      <c r="C6" s="26" t="s">
        <v>81</v>
      </c>
      <c r="D6" s="26" t="s">
        <v>82</v>
      </c>
      <c r="E6" s="32">
        <f>IF(1&gt;DAY(DATE($E$4,$C$4+1,0)),"",DATE($E$4,$C$4,1))</f>
        <v>46296</v>
      </c>
      <c r="F6" s="32">
        <f>IF(2&gt;DAY(DATE($E$4,$C$4+1,0)),"",DATE($E$4,$C$4,2))</f>
        <v>46297</v>
      </c>
      <c r="G6" s="32">
        <f>IF(3&gt;DAY(DATE($E$4,$C$4+1,0)),"",DATE($E$4,$C$4,3))</f>
        <v>46298</v>
      </c>
      <c r="H6" s="32">
        <f>IF(4&gt;DAY(DATE($E$4,$C$4+1,0)),"",DATE($E$4,$C$4,4))</f>
        <v>46299</v>
      </c>
      <c r="I6" s="32">
        <f>IF(5&gt;DAY(DATE($E$4,$C$4+1,0)),"",DATE($E$4,$C$4,5))</f>
        <v>46300</v>
      </c>
      <c r="J6" s="32">
        <f>IF(6&gt;DAY(DATE($E$4,$C$4+1,0)),"",DATE($E$4,$C$4,6))</f>
        <v>46301</v>
      </c>
      <c r="K6" s="32">
        <f>IF(7&gt;DAY(DATE($E$4,$C$4+1,0)),"",DATE($E$4,$C$4,7))</f>
        <v>46302</v>
      </c>
      <c r="L6" s="32">
        <f>IF(8&gt;DAY(DATE($E$4,$C$4+1,0)),"",DATE($E$4,$C$4,8))</f>
        <v>46303</v>
      </c>
      <c r="M6" s="32">
        <f>IF(9&gt;DAY(DATE($E$4,$C$4+1,0)),"",DATE($E$4,$C$4,9))</f>
        <v>46304</v>
      </c>
      <c r="N6" s="32">
        <f>IF(10&gt;DAY(DATE($E$4,$C$4+1,0)),"",DATE($E$4,$C$4,10))</f>
        <v>46305</v>
      </c>
      <c r="O6" s="32">
        <f>IF(11&gt;DAY(DATE($E$4,$C$4+1,0)),"",DATE($E$4,$C$4,11))</f>
        <v>46306</v>
      </c>
      <c r="P6" s="32">
        <f>IF(12&gt;DAY(DATE($E$4,$C$4+1,0)),"",DATE($E$4,$C$4,12))</f>
        <v>46307</v>
      </c>
      <c r="Q6" s="32">
        <f>IF(13&gt;DAY(DATE($E$4,$C$4+1,0)),"",DATE($E$4,$C$4,13))</f>
        <v>46308</v>
      </c>
      <c r="R6" s="32">
        <f>IF(14&gt;DAY(DATE($E$4,$C$4+1,0)),"",DATE($E$4,$C$4,14))</f>
        <v>46309</v>
      </c>
      <c r="S6" s="32">
        <f>IF(15&gt;DAY(DATE($E$4,$C$4+1,0)),"",DATE($E$4,$C$4,15))</f>
        <v>46310</v>
      </c>
      <c r="T6" s="32">
        <f>IF(16&gt;DAY(DATE($E$4,$C$4+1,0)),"",DATE($E$4,$C$4,16))</f>
        <v>46311</v>
      </c>
      <c r="U6" s="32">
        <f>IF(17&gt;DAY(DATE($E$4,$C$4+1,0)),"",DATE($E$4,$C$4,17))</f>
        <v>46312</v>
      </c>
      <c r="V6" s="32">
        <f>IF(18&gt;DAY(DATE($E$4,$C$4+1,0)),"",DATE($E$4,$C$4,18))</f>
        <v>46313</v>
      </c>
      <c r="W6" s="32">
        <f>IF(19&gt;DAY(DATE($E$4,$C$4+1,0)),"",DATE($E$4,$C$4,19))</f>
        <v>46314</v>
      </c>
      <c r="X6" s="32">
        <f>IF(20&gt;DAY(DATE($E$4,$C$4+1,0)),"",DATE($E$4,$C$4,20))</f>
        <v>46315</v>
      </c>
      <c r="Y6" s="32">
        <f>IF(21&gt;DAY(DATE($E$4,$C$4+1,0)),"",DATE($E$4,$C$4,21))</f>
        <v>46316</v>
      </c>
      <c r="Z6" s="32">
        <f>IF(22&gt;DAY(DATE($E$4,$C$4+1,0)),"",DATE($E$4,$C$4,22))</f>
        <v>46317</v>
      </c>
      <c r="AA6" s="32">
        <f>IF(23&gt;DAY(DATE($E$4,$C$4+1,0)),"",DATE($E$4,$C$4,23))</f>
        <v>46318</v>
      </c>
      <c r="AB6" s="32">
        <f>IF(24&gt;DAY(DATE($E$4,$C$4+1,0)),"",DATE($E$4,$C$4,24))</f>
        <v>46319</v>
      </c>
      <c r="AC6" s="32">
        <f>IF(25&gt;DAY(DATE($E$4,$C$4+1,0)),"",DATE($E$4,$C$4,25))</f>
        <v>46320</v>
      </c>
      <c r="AD6" s="32">
        <f>IF(26&gt;DAY(DATE($E$4,$C$4+1,0)),"",DATE($E$4,$C$4,26))</f>
        <v>46321</v>
      </c>
      <c r="AE6" s="32">
        <f>IF(27&gt;DAY(DATE($E$4,$C$4+1,0)),"",DATE($E$4,$C$4,27))</f>
        <v>46322</v>
      </c>
      <c r="AF6" s="32">
        <f>IF(28&gt;DAY(DATE($E$4,$C$4+1,0)),"",DATE($E$4,$C$4,28))</f>
        <v>46323</v>
      </c>
      <c r="AG6" s="32">
        <f>IF(29&gt;DAY(DATE($E$4,$C$4+1,0)),"",DATE($E$4,$C$4,29))</f>
        <v>46324</v>
      </c>
      <c r="AH6" s="32">
        <f>IF(30&gt;DAY(DATE($E$4,$C$4+1,0)),"",DATE($E$4,$C$4,30))</f>
        <v>46325</v>
      </c>
      <c r="AI6" s="32">
        <f>IF(31&gt;DAY(DATE($E$4,$C$4+1,0)),"",DATE($E$4,$C$4,31))</f>
        <v>46326</v>
      </c>
      <c r="AJ6" s="54" t="s">
        <v>160</v>
      </c>
      <c r="AK6" s="54" t="s">
        <v>161</v>
      </c>
      <c r="AL6" s="54" t="s">
        <v>162</v>
      </c>
      <c r="AM6" s="54" t="s">
        <v>163</v>
      </c>
      <c r="AN6" s="54" t="s">
        <v>164</v>
      </c>
      <c r="AO6" s="54" t="s">
        <v>165</v>
      </c>
      <c r="AP6" s="54" t="s">
        <v>166</v>
      </c>
      <c r="AQ6" s="55" t="s">
        <v>86</v>
      </c>
      <c r="AR6" s="54" t="s">
        <v>167</v>
      </c>
    </row>
    <row r="7" ht="24.0" customHeight="1">
      <c r="A7" s="56"/>
      <c r="B7" s="56"/>
      <c r="C7" s="56"/>
      <c r="D7" s="56"/>
      <c r="E7" s="57" t="str">
        <f t="shared" ref="E7:AI7" si="1">IF(E6="","",CHOOSE(WEEKDAY(E6),"CN","T2","T3","T4","T5","T6","T7"))</f>
        <v>T5</v>
      </c>
      <c r="F7" s="57" t="str">
        <f t="shared" si="1"/>
        <v>T6</v>
      </c>
      <c r="G7" s="57" t="str">
        <f t="shared" si="1"/>
        <v>T7</v>
      </c>
      <c r="H7" s="57" t="str">
        <f t="shared" si="1"/>
        <v>CN</v>
      </c>
      <c r="I7" s="57" t="str">
        <f t="shared" si="1"/>
        <v>T2</v>
      </c>
      <c r="J7" s="57" t="str">
        <f t="shared" si="1"/>
        <v>T3</v>
      </c>
      <c r="K7" s="57" t="str">
        <f t="shared" si="1"/>
        <v>T4</v>
      </c>
      <c r="L7" s="57" t="str">
        <f t="shared" si="1"/>
        <v>T5</v>
      </c>
      <c r="M7" s="57" t="str">
        <f t="shared" si="1"/>
        <v>T6</v>
      </c>
      <c r="N7" s="57" t="str">
        <f t="shared" si="1"/>
        <v>T7</v>
      </c>
      <c r="O7" s="57" t="str">
        <f t="shared" si="1"/>
        <v>CN</v>
      </c>
      <c r="P7" s="57" t="str">
        <f t="shared" si="1"/>
        <v>T2</v>
      </c>
      <c r="Q7" s="57" t="str">
        <f t="shared" si="1"/>
        <v>T3</v>
      </c>
      <c r="R7" s="57" t="str">
        <f t="shared" si="1"/>
        <v>T4</v>
      </c>
      <c r="S7" s="57" t="str">
        <f t="shared" si="1"/>
        <v>T5</v>
      </c>
      <c r="T7" s="57" t="str">
        <f t="shared" si="1"/>
        <v>T6</v>
      </c>
      <c r="U7" s="57" t="str">
        <f t="shared" si="1"/>
        <v>T7</v>
      </c>
      <c r="V7" s="57" t="str">
        <f t="shared" si="1"/>
        <v>CN</v>
      </c>
      <c r="W7" s="57" t="str">
        <f t="shared" si="1"/>
        <v>T2</v>
      </c>
      <c r="X7" s="57" t="str">
        <f t="shared" si="1"/>
        <v>T3</v>
      </c>
      <c r="Y7" s="57" t="str">
        <f t="shared" si="1"/>
        <v>T4</v>
      </c>
      <c r="Z7" s="57" t="str">
        <f t="shared" si="1"/>
        <v>T5</v>
      </c>
      <c r="AA7" s="57" t="str">
        <f t="shared" si="1"/>
        <v>T6</v>
      </c>
      <c r="AB7" s="57" t="str">
        <f t="shared" si="1"/>
        <v>T7</v>
      </c>
      <c r="AC7" s="57" t="str">
        <f t="shared" si="1"/>
        <v>CN</v>
      </c>
      <c r="AD7" s="57" t="str">
        <f t="shared" si="1"/>
        <v>T2</v>
      </c>
      <c r="AE7" s="57" t="str">
        <f t="shared" si="1"/>
        <v>T3</v>
      </c>
      <c r="AF7" s="57" t="str">
        <f t="shared" si="1"/>
        <v>T4</v>
      </c>
      <c r="AG7" s="57" t="str">
        <f t="shared" si="1"/>
        <v>T5</v>
      </c>
      <c r="AH7" s="57" t="str">
        <f t="shared" si="1"/>
        <v>T6</v>
      </c>
      <c r="AI7" s="57" t="str">
        <f t="shared" si="1"/>
        <v>T7</v>
      </c>
      <c r="AJ7" s="56"/>
      <c r="AK7" s="56"/>
      <c r="AL7" s="56"/>
      <c r="AM7" s="56"/>
      <c r="AN7" s="56"/>
      <c r="AO7" s="56"/>
      <c r="AP7" s="56"/>
      <c r="AQ7" s="56"/>
      <c r="AR7" s="56"/>
    </row>
    <row r="8" ht="21.0" customHeight="1">
      <c r="A8" s="28">
        <f t="shared" ref="A8:A57" si="2">IF(B8="","",ROW()-7)</f>
        <v>1</v>
      </c>
      <c r="B8" s="36" t="str">
        <f>IF('NHÂN VIÊN'!B5="","",'NHÂN VIÊN'!B5)</f>
        <v>NV001</v>
      </c>
      <c r="C8" s="36" t="str">
        <f>IF(B8="","",'NHÂN VIÊN'!C5)</f>
        <v>Nguyễn Văn Hải</v>
      </c>
      <c r="D8" s="36" t="str">
        <f>IF(B8="","",'NHÂN VIÊN'!D5)</f>
        <v>Cổng chính</v>
      </c>
      <c r="E8" s="58" t="s">
        <v>28</v>
      </c>
      <c r="F8" s="58" t="s">
        <v>28</v>
      </c>
      <c r="G8" s="58" t="s">
        <v>28</v>
      </c>
      <c r="H8" s="58" t="s">
        <v>28</v>
      </c>
      <c r="I8" s="58" t="s">
        <v>28</v>
      </c>
      <c r="J8" s="58" t="s">
        <v>28</v>
      </c>
      <c r="K8" s="58"/>
      <c r="L8" s="58" t="s">
        <v>28</v>
      </c>
      <c r="M8" s="58" t="s">
        <v>28</v>
      </c>
      <c r="N8" s="58" t="s">
        <v>28</v>
      </c>
      <c r="O8" s="58" t="s">
        <v>28</v>
      </c>
      <c r="P8" s="58" t="s">
        <v>28</v>
      </c>
      <c r="Q8" s="58" t="s">
        <v>28</v>
      </c>
      <c r="R8" s="58"/>
      <c r="S8" s="58" t="s">
        <v>28</v>
      </c>
      <c r="T8" s="58" t="s">
        <v>28</v>
      </c>
      <c r="U8" s="58" t="s">
        <v>28</v>
      </c>
      <c r="V8" s="58" t="s">
        <v>28</v>
      </c>
      <c r="W8" s="58" t="s">
        <v>28</v>
      </c>
      <c r="X8" s="58" t="s">
        <v>28</v>
      </c>
      <c r="Y8" s="58"/>
      <c r="Z8" s="58" t="s">
        <v>28</v>
      </c>
      <c r="AA8" s="58" t="s">
        <v>28</v>
      </c>
      <c r="AB8" s="58" t="s">
        <v>28</v>
      </c>
      <c r="AC8" s="58" t="s">
        <v>28</v>
      </c>
      <c r="AD8" s="58" t="s">
        <v>28</v>
      </c>
      <c r="AE8" s="58" t="s">
        <v>28</v>
      </c>
      <c r="AF8" s="58"/>
      <c r="AG8" s="58" t="s">
        <v>28</v>
      </c>
      <c r="AH8" s="58" t="s">
        <v>28</v>
      </c>
      <c r="AI8" s="58" t="s">
        <v>28</v>
      </c>
      <c r="AJ8" s="46">
        <f t="shared" ref="AJ8:AJ57" si="3">IF($B8="","",COUNTIF($E8:$AI8,"N"))</f>
        <v>27</v>
      </c>
      <c r="AK8" s="46">
        <f t="shared" ref="AK8:AK57" si="4">IF($B8="","",COUNTIF($E8:$AI8,"Đ"))</f>
        <v>0</v>
      </c>
      <c r="AL8" s="46">
        <f t="shared" ref="AL8:AL57" si="5">IF($B8="","",COUNTIF($E8:$AI8,"P"))</f>
        <v>0</v>
      </c>
      <c r="AM8" s="46">
        <f t="shared" ref="AM8:AM57" si="6">IF($B8="","",COUNTIF($E8:$AI8,"L"))</f>
        <v>0</v>
      </c>
      <c r="AN8" s="46">
        <f t="shared" ref="AN8:AN57" si="7">IF($B8="","",COUNTIF($E8:$AI8,"O"))</f>
        <v>0</v>
      </c>
      <c r="AO8" s="46">
        <f t="shared" ref="AO8:AO57" si="8">IF($B8="","",COUNTIF($E8:$AI8,"V"))</f>
        <v>0</v>
      </c>
      <c r="AP8" s="46">
        <f t="shared" ref="AP8:AP57" si="9">IF($B8="","",COUNTIF($E8:$AI8,"K"))</f>
        <v>0</v>
      </c>
      <c r="AQ8" s="59">
        <f t="shared" ref="AQ8:AQ57" si="10">IF($B8="","",AJ8+AK8+AL8+AM8)</f>
        <v>27</v>
      </c>
      <c r="AR8" s="45">
        <f>IF($B8="","",AK8*'CẤU HÌNH'!$C$7)</f>
        <v>0</v>
      </c>
    </row>
    <row r="9" ht="21.0" customHeight="1">
      <c r="A9" s="28">
        <f t="shared" si="2"/>
        <v>2</v>
      </c>
      <c r="B9" s="36" t="str">
        <f>IF('NHÂN VIÊN'!B6="","",'NHÂN VIÊN'!B6)</f>
        <v>NV002</v>
      </c>
      <c r="C9" s="36" t="str">
        <f>IF(B9="","",'NHÂN VIÊN'!C6)</f>
        <v>Trần Quốc Bảo</v>
      </c>
      <c r="D9" s="36" t="str">
        <f>IF(B9="","",'NHÂN VIÊN'!D6)</f>
        <v>Cổng chính</v>
      </c>
      <c r="E9" s="58" t="s">
        <v>28</v>
      </c>
      <c r="F9" s="58" t="s">
        <v>28</v>
      </c>
      <c r="G9" s="58" t="s">
        <v>28</v>
      </c>
      <c r="H9" s="58" t="s">
        <v>28</v>
      </c>
      <c r="I9" s="58" t="s">
        <v>28</v>
      </c>
      <c r="J9" s="58"/>
      <c r="K9" s="58" t="s">
        <v>28</v>
      </c>
      <c r="L9" s="58" t="s">
        <v>28</v>
      </c>
      <c r="M9" s="58" t="s">
        <v>28</v>
      </c>
      <c r="N9" s="58" t="s">
        <v>28</v>
      </c>
      <c r="O9" s="58" t="s">
        <v>28</v>
      </c>
      <c r="P9" s="58" t="s">
        <v>28</v>
      </c>
      <c r="Q9" s="58"/>
      <c r="R9" s="58" t="s">
        <v>28</v>
      </c>
      <c r="S9" s="58" t="s">
        <v>28</v>
      </c>
      <c r="T9" s="58" t="s">
        <v>28</v>
      </c>
      <c r="U9" s="58" t="s">
        <v>28</v>
      </c>
      <c r="V9" s="58" t="s">
        <v>28</v>
      </c>
      <c r="W9" s="58" t="s">
        <v>28</v>
      </c>
      <c r="X9" s="58"/>
      <c r="Y9" s="58" t="s">
        <v>28</v>
      </c>
      <c r="Z9" s="58" t="s">
        <v>28</v>
      </c>
      <c r="AA9" s="58" t="s">
        <v>28</v>
      </c>
      <c r="AB9" s="58" t="s">
        <v>32</v>
      </c>
      <c r="AC9" s="58" t="s">
        <v>28</v>
      </c>
      <c r="AD9" s="58" t="s">
        <v>28</v>
      </c>
      <c r="AE9" s="58"/>
      <c r="AF9" s="58" t="s">
        <v>28</v>
      </c>
      <c r="AG9" s="58" t="s">
        <v>28</v>
      </c>
      <c r="AH9" s="58" t="s">
        <v>28</v>
      </c>
      <c r="AI9" s="58" t="s">
        <v>28</v>
      </c>
      <c r="AJ9" s="46">
        <f t="shared" si="3"/>
        <v>26</v>
      </c>
      <c r="AK9" s="46">
        <f t="shared" si="4"/>
        <v>0</v>
      </c>
      <c r="AL9" s="46">
        <f t="shared" si="5"/>
        <v>1</v>
      </c>
      <c r="AM9" s="46">
        <f t="shared" si="6"/>
        <v>0</v>
      </c>
      <c r="AN9" s="46">
        <f t="shared" si="7"/>
        <v>0</v>
      </c>
      <c r="AO9" s="46">
        <f t="shared" si="8"/>
        <v>0</v>
      </c>
      <c r="AP9" s="46">
        <f t="shared" si="9"/>
        <v>0</v>
      </c>
      <c r="AQ9" s="59">
        <f t="shared" si="10"/>
        <v>27</v>
      </c>
      <c r="AR9" s="45">
        <f>IF($B9="","",AK9*'CẤU HÌNH'!$C$7)</f>
        <v>0</v>
      </c>
    </row>
    <row r="10" ht="21.0" customHeight="1">
      <c r="A10" s="28">
        <f t="shared" si="2"/>
        <v>3</v>
      </c>
      <c r="B10" s="36" t="str">
        <f>IF('NHÂN VIÊN'!B7="","",'NHÂN VIÊN'!B7)</f>
        <v>NV003</v>
      </c>
      <c r="C10" s="36" t="str">
        <f>IF(B10="","",'NHÂN VIÊN'!C7)</f>
        <v>Lê Văn Tuấn</v>
      </c>
      <c r="D10" s="36" t="str">
        <f>IF(B10="","",'NHÂN VIÊN'!D7)</f>
        <v>Cổng phụ</v>
      </c>
      <c r="E10" s="58" t="s">
        <v>28</v>
      </c>
      <c r="F10" s="58" t="s">
        <v>28</v>
      </c>
      <c r="G10" s="58" t="s">
        <v>28</v>
      </c>
      <c r="H10" s="58" t="s">
        <v>28</v>
      </c>
      <c r="I10" s="58"/>
      <c r="J10" s="58" t="s">
        <v>28</v>
      </c>
      <c r="K10" s="58" t="s">
        <v>28</v>
      </c>
      <c r="L10" s="58" t="s">
        <v>28</v>
      </c>
      <c r="M10" s="58" t="s">
        <v>28</v>
      </c>
      <c r="N10" s="58" t="s">
        <v>28</v>
      </c>
      <c r="O10" s="58" t="s">
        <v>28</v>
      </c>
      <c r="P10" s="58"/>
      <c r="Q10" s="58" t="s">
        <v>28</v>
      </c>
      <c r="R10" s="58" t="s">
        <v>28</v>
      </c>
      <c r="S10" s="58" t="s">
        <v>32</v>
      </c>
      <c r="T10" s="58" t="s">
        <v>28</v>
      </c>
      <c r="U10" s="58" t="s">
        <v>28</v>
      </c>
      <c r="V10" s="58" t="s">
        <v>28</v>
      </c>
      <c r="W10" s="58"/>
      <c r="X10" s="58" t="s">
        <v>28</v>
      </c>
      <c r="Y10" s="58" t="s">
        <v>28</v>
      </c>
      <c r="Z10" s="58" t="s">
        <v>28</v>
      </c>
      <c r="AA10" s="58" t="s">
        <v>28</v>
      </c>
      <c r="AB10" s="58" t="s">
        <v>28</v>
      </c>
      <c r="AC10" s="58" t="s">
        <v>28</v>
      </c>
      <c r="AD10" s="58"/>
      <c r="AE10" s="58" t="s">
        <v>28</v>
      </c>
      <c r="AF10" s="58" t="s">
        <v>28</v>
      </c>
      <c r="AG10" s="58" t="s">
        <v>28</v>
      </c>
      <c r="AH10" s="58" t="s">
        <v>28</v>
      </c>
      <c r="AI10" s="58" t="s">
        <v>28</v>
      </c>
      <c r="AJ10" s="46">
        <f t="shared" si="3"/>
        <v>26</v>
      </c>
      <c r="AK10" s="46">
        <f t="shared" si="4"/>
        <v>0</v>
      </c>
      <c r="AL10" s="46">
        <f t="shared" si="5"/>
        <v>1</v>
      </c>
      <c r="AM10" s="46">
        <f t="shared" si="6"/>
        <v>0</v>
      </c>
      <c r="AN10" s="46">
        <f t="shared" si="7"/>
        <v>0</v>
      </c>
      <c r="AO10" s="46">
        <f t="shared" si="8"/>
        <v>0</v>
      </c>
      <c r="AP10" s="46">
        <f t="shared" si="9"/>
        <v>0</v>
      </c>
      <c r="AQ10" s="59">
        <f t="shared" si="10"/>
        <v>27</v>
      </c>
      <c r="AR10" s="45">
        <f>IF($B10="","",AK10*'CẤU HÌNH'!$C$7)</f>
        <v>0</v>
      </c>
    </row>
    <row r="11" ht="21.0" customHeight="1">
      <c r="A11" s="28">
        <f t="shared" si="2"/>
        <v>4</v>
      </c>
      <c r="B11" s="36" t="str">
        <f>IF('NHÂN VIÊN'!B8="","",'NHÂN VIÊN'!B8)</f>
        <v>NV004</v>
      </c>
      <c r="C11" s="36" t="str">
        <f>IF(B11="","",'NHÂN VIÊN'!C8)</f>
        <v>Phạm Minh Đức</v>
      </c>
      <c r="D11" s="36" t="str">
        <f>IF(B11="","",'NHÂN VIÊN'!D8)</f>
        <v>Kho hàng</v>
      </c>
      <c r="E11" s="58" t="s">
        <v>28</v>
      </c>
      <c r="F11" s="58" t="s">
        <v>28</v>
      </c>
      <c r="G11" s="58" t="s">
        <v>28</v>
      </c>
      <c r="H11" s="58"/>
      <c r="I11" s="58" t="s">
        <v>28</v>
      </c>
      <c r="J11" s="58" t="s">
        <v>28</v>
      </c>
      <c r="K11" s="58" t="s">
        <v>28</v>
      </c>
      <c r="L11" s="58" t="s">
        <v>28</v>
      </c>
      <c r="M11" s="58" t="s">
        <v>41</v>
      </c>
      <c r="N11" s="58" t="s">
        <v>28</v>
      </c>
      <c r="O11" s="58"/>
      <c r="P11" s="58" t="s">
        <v>28</v>
      </c>
      <c r="Q11" s="58" t="s">
        <v>28</v>
      </c>
      <c r="R11" s="58" t="s">
        <v>28</v>
      </c>
      <c r="S11" s="58" t="s">
        <v>28</v>
      </c>
      <c r="T11" s="58" t="s">
        <v>28</v>
      </c>
      <c r="U11" s="58" t="s">
        <v>28</v>
      </c>
      <c r="V11" s="58"/>
      <c r="W11" s="58" t="s">
        <v>28</v>
      </c>
      <c r="X11" s="58" t="s">
        <v>28</v>
      </c>
      <c r="Y11" s="58" t="s">
        <v>28</v>
      </c>
      <c r="Z11" s="58" t="s">
        <v>28</v>
      </c>
      <c r="AA11" s="58" t="s">
        <v>28</v>
      </c>
      <c r="AB11" s="58" t="s">
        <v>28</v>
      </c>
      <c r="AC11" s="58"/>
      <c r="AD11" s="58" t="s">
        <v>28</v>
      </c>
      <c r="AE11" s="58" t="s">
        <v>28</v>
      </c>
      <c r="AF11" s="58" t="s">
        <v>28</v>
      </c>
      <c r="AG11" s="58" t="s">
        <v>28</v>
      </c>
      <c r="AH11" s="58" t="s">
        <v>28</v>
      </c>
      <c r="AI11" s="58" t="s">
        <v>28</v>
      </c>
      <c r="AJ11" s="46">
        <f t="shared" si="3"/>
        <v>26</v>
      </c>
      <c r="AK11" s="46">
        <f t="shared" si="4"/>
        <v>0</v>
      </c>
      <c r="AL11" s="46">
        <f t="shared" si="5"/>
        <v>0</v>
      </c>
      <c r="AM11" s="46">
        <f t="shared" si="6"/>
        <v>0</v>
      </c>
      <c r="AN11" s="46">
        <f t="shared" si="7"/>
        <v>0</v>
      </c>
      <c r="AO11" s="46">
        <f t="shared" si="8"/>
        <v>0</v>
      </c>
      <c r="AP11" s="46">
        <f t="shared" si="9"/>
        <v>1</v>
      </c>
      <c r="AQ11" s="59">
        <f t="shared" si="10"/>
        <v>26</v>
      </c>
      <c r="AR11" s="45">
        <f>IF($B11="","",AK11*'CẤU HÌNH'!$C$7)</f>
        <v>0</v>
      </c>
    </row>
    <row r="12" ht="21.0" customHeight="1">
      <c r="A12" s="28">
        <f t="shared" si="2"/>
        <v>5</v>
      </c>
      <c r="B12" s="36" t="str">
        <f>IF('NHÂN VIÊN'!B9="","",'NHÂN VIÊN'!B9)</f>
        <v>NV005</v>
      </c>
      <c r="C12" s="36" t="str">
        <f>IF(B12="","",'NHÂN VIÊN'!C9)</f>
        <v>Hoàng Văn Nam</v>
      </c>
      <c r="D12" s="36" t="str">
        <f>IF(B12="","",'NHÂN VIÊN'!D9)</f>
        <v>Cổng chính</v>
      </c>
      <c r="E12" s="58" t="s">
        <v>30</v>
      </c>
      <c r="F12" s="58" t="s">
        <v>30</v>
      </c>
      <c r="G12" s="58"/>
      <c r="H12" s="58" t="s">
        <v>30</v>
      </c>
      <c r="I12" s="58" t="s">
        <v>30</v>
      </c>
      <c r="J12" s="58" t="s">
        <v>30</v>
      </c>
      <c r="K12" s="58" t="s">
        <v>30</v>
      </c>
      <c r="L12" s="58" t="s">
        <v>30</v>
      </c>
      <c r="M12" s="58" t="s">
        <v>30</v>
      </c>
      <c r="N12" s="58"/>
      <c r="O12" s="58" t="s">
        <v>30</v>
      </c>
      <c r="P12" s="58" t="s">
        <v>30</v>
      </c>
      <c r="Q12" s="58" t="s">
        <v>30</v>
      </c>
      <c r="R12" s="58" t="s">
        <v>30</v>
      </c>
      <c r="S12" s="58" t="s">
        <v>30</v>
      </c>
      <c r="T12" s="58" t="s">
        <v>30</v>
      </c>
      <c r="U12" s="58"/>
      <c r="V12" s="58" t="s">
        <v>30</v>
      </c>
      <c r="W12" s="58" t="s">
        <v>30</v>
      </c>
      <c r="X12" s="58" t="s">
        <v>30</v>
      </c>
      <c r="Y12" s="58" t="s">
        <v>30</v>
      </c>
      <c r="Z12" s="58" t="s">
        <v>30</v>
      </c>
      <c r="AA12" s="58" t="s">
        <v>30</v>
      </c>
      <c r="AB12" s="58"/>
      <c r="AC12" s="58" t="s">
        <v>30</v>
      </c>
      <c r="AD12" s="58" t="s">
        <v>30</v>
      </c>
      <c r="AE12" s="58" t="s">
        <v>30</v>
      </c>
      <c r="AF12" s="58" t="s">
        <v>30</v>
      </c>
      <c r="AG12" s="58" t="s">
        <v>30</v>
      </c>
      <c r="AH12" s="58" t="s">
        <v>30</v>
      </c>
      <c r="AI12" s="58"/>
      <c r="AJ12" s="46">
        <f t="shared" si="3"/>
        <v>0</v>
      </c>
      <c r="AK12" s="46">
        <f t="shared" si="4"/>
        <v>26</v>
      </c>
      <c r="AL12" s="46">
        <f t="shared" si="5"/>
        <v>0</v>
      </c>
      <c r="AM12" s="46">
        <f t="shared" si="6"/>
        <v>0</v>
      </c>
      <c r="AN12" s="46">
        <f t="shared" si="7"/>
        <v>0</v>
      </c>
      <c r="AO12" s="46">
        <f t="shared" si="8"/>
        <v>0</v>
      </c>
      <c r="AP12" s="46">
        <f t="shared" si="9"/>
        <v>0</v>
      </c>
      <c r="AQ12" s="59">
        <f t="shared" si="10"/>
        <v>26</v>
      </c>
      <c r="AR12" s="45">
        <f>IF($B12="","",AK12*'CẤU HÌNH'!$C$7)</f>
        <v>208</v>
      </c>
    </row>
    <row r="13" ht="21.0" customHeight="1">
      <c r="A13" s="28">
        <f t="shared" si="2"/>
        <v>6</v>
      </c>
      <c r="B13" s="36" t="str">
        <f>IF('NHÂN VIÊN'!B10="","",'NHÂN VIÊN'!B10)</f>
        <v>NV006</v>
      </c>
      <c r="C13" s="36" t="str">
        <f>IF(B13="","",'NHÂN VIÊN'!C10)</f>
        <v>Vũ Đình Khoa</v>
      </c>
      <c r="D13" s="36" t="str">
        <f>IF(B13="","",'NHÂN VIÊN'!D10)</f>
        <v>Cổng phụ</v>
      </c>
      <c r="E13" s="58" t="s">
        <v>30</v>
      </c>
      <c r="F13" s="58"/>
      <c r="G13" s="58" t="s">
        <v>30</v>
      </c>
      <c r="H13" s="58" t="s">
        <v>30</v>
      </c>
      <c r="I13" s="58" t="s">
        <v>30</v>
      </c>
      <c r="J13" s="58" t="s">
        <v>30</v>
      </c>
      <c r="K13" s="58" t="s">
        <v>30</v>
      </c>
      <c r="L13" s="58" t="s">
        <v>30</v>
      </c>
      <c r="M13" s="58"/>
      <c r="N13" s="58" t="s">
        <v>30</v>
      </c>
      <c r="O13" s="58" t="s">
        <v>30</v>
      </c>
      <c r="P13" s="58" t="s">
        <v>30</v>
      </c>
      <c r="Q13" s="58" t="s">
        <v>30</v>
      </c>
      <c r="R13" s="58" t="s">
        <v>30</v>
      </c>
      <c r="S13" s="58" t="s">
        <v>30</v>
      </c>
      <c r="T13" s="58"/>
      <c r="U13" s="58" t="s">
        <v>30</v>
      </c>
      <c r="V13" s="58" t="s">
        <v>30</v>
      </c>
      <c r="W13" s="58" t="s">
        <v>30</v>
      </c>
      <c r="X13" s="58" t="s">
        <v>37</v>
      </c>
      <c r="Y13" s="58" t="s">
        <v>30</v>
      </c>
      <c r="Z13" s="58" t="s">
        <v>30</v>
      </c>
      <c r="AA13" s="58"/>
      <c r="AB13" s="58" t="s">
        <v>30</v>
      </c>
      <c r="AC13" s="58" t="s">
        <v>30</v>
      </c>
      <c r="AD13" s="58" t="s">
        <v>30</v>
      </c>
      <c r="AE13" s="58" t="s">
        <v>30</v>
      </c>
      <c r="AF13" s="58" t="s">
        <v>30</v>
      </c>
      <c r="AG13" s="58" t="s">
        <v>30</v>
      </c>
      <c r="AH13" s="58"/>
      <c r="AI13" s="58" t="s">
        <v>30</v>
      </c>
      <c r="AJ13" s="46">
        <f t="shared" si="3"/>
        <v>0</v>
      </c>
      <c r="AK13" s="46">
        <f t="shared" si="4"/>
        <v>25</v>
      </c>
      <c r="AL13" s="46">
        <f t="shared" si="5"/>
        <v>0</v>
      </c>
      <c r="AM13" s="46">
        <f t="shared" si="6"/>
        <v>0</v>
      </c>
      <c r="AN13" s="46">
        <f t="shared" si="7"/>
        <v>1</v>
      </c>
      <c r="AO13" s="46">
        <f t="shared" si="8"/>
        <v>0</v>
      </c>
      <c r="AP13" s="46">
        <f t="shared" si="9"/>
        <v>0</v>
      </c>
      <c r="AQ13" s="59">
        <f t="shared" si="10"/>
        <v>25</v>
      </c>
      <c r="AR13" s="45">
        <f>IF($B13="","",AK13*'CẤU HÌNH'!$C$7)</f>
        <v>200</v>
      </c>
    </row>
    <row r="14" ht="21.0" customHeight="1">
      <c r="A14" s="28">
        <f t="shared" si="2"/>
        <v>7</v>
      </c>
      <c r="B14" s="36" t="str">
        <f>IF('NHÂN VIÊN'!B11="","",'NHÂN VIÊN'!B11)</f>
        <v>NV007</v>
      </c>
      <c r="C14" s="36" t="str">
        <f>IF(B14="","",'NHÂN VIÊN'!C11)</f>
        <v>Đặng Văn Long</v>
      </c>
      <c r="D14" s="36" t="str">
        <f>IF(B14="","",'NHÂN VIÊN'!D11)</f>
        <v>Kho hàng</v>
      </c>
      <c r="E14" s="58"/>
      <c r="F14" s="58" t="s">
        <v>30</v>
      </c>
      <c r="G14" s="58" t="s">
        <v>30</v>
      </c>
      <c r="H14" s="58" t="s">
        <v>30</v>
      </c>
      <c r="I14" s="58" t="s">
        <v>30</v>
      </c>
      <c r="J14" s="58" t="s">
        <v>30</v>
      </c>
      <c r="K14" s="58" t="s">
        <v>30</v>
      </c>
      <c r="L14" s="58"/>
      <c r="M14" s="58" t="s">
        <v>30</v>
      </c>
      <c r="N14" s="58" t="s">
        <v>30</v>
      </c>
      <c r="O14" s="58" t="s">
        <v>30</v>
      </c>
      <c r="P14" s="58" t="s">
        <v>30</v>
      </c>
      <c r="Q14" s="58" t="s">
        <v>30</v>
      </c>
      <c r="R14" s="58" t="s">
        <v>30</v>
      </c>
      <c r="S14" s="58"/>
      <c r="T14" s="58" t="s">
        <v>30</v>
      </c>
      <c r="U14" s="58" t="s">
        <v>30</v>
      </c>
      <c r="V14" s="58" t="s">
        <v>30</v>
      </c>
      <c r="W14" s="58" t="s">
        <v>30</v>
      </c>
      <c r="X14" s="58" t="s">
        <v>30</v>
      </c>
      <c r="Y14" s="58" t="s">
        <v>30</v>
      </c>
      <c r="Z14" s="58"/>
      <c r="AA14" s="58" t="s">
        <v>30</v>
      </c>
      <c r="AB14" s="58" t="s">
        <v>30</v>
      </c>
      <c r="AC14" s="58" t="s">
        <v>30</v>
      </c>
      <c r="AD14" s="58" t="s">
        <v>30</v>
      </c>
      <c r="AE14" s="58" t="s">
        <v>30</v>
      </c>
      <c r="AF14" s="58" t="s">
        <v>30</v>
      </c>
      <c r="AG14" s="58"/>
      <c r="AH14" s="58" t="s">
        <v>30</v>
      </c>
      <c r="AI14" s="58" t="s">
        <v>30</v>
      </c>
      <c r="AJ14" s="46">
        <f t="shared" si="3"/>
        <v>0</v>
      </c>
      <c r="AK14" s="46">
        <f t="shared" si="4"/>
        <v>26</v>
      </c>
      <c r="AL14" s="46">
        <f t="shared" si="5"/>
        <v>0</v>
      </c>
      <c r="AM14" s="46">
        <f t="shared" si="6"/>
        <v>0</v>
      </c>
      <c r="AN14" s="46">
        <f t="shared" si="7"/>
        <v>0</v>
      </c>
      <c r="AO14" s="46">
        <f t="shared" si="8"/>
        <v>0</v>
      </c>
      <c r="AP14" s="46">
        <f t="shared" si="9"/>
        <v>0</v>
      </c>
      <c r="AQ14" s="59">
        <f t="shared" si="10"/>
        <v>26</v>
      </c>
      <c r="AR14" s="45">
        <f>IF($B14="","",AK14*'CẤU HÌNH'!$C$7)</f>
        <v>208</v>
      </c>
    </row>
    <row r="15" ht="21.0" customHeight="1">
      <c r="A15" s="28">
        <f t="shared" si="2"/>
        <v>8</v>
      </c>
      <c r="B15" s="36" t="str">
        <f>IF('NHÂN VIÊN'!B12="","",'NHÂN VIÊN'!B12)</f>
        <v>NV008</v>
      </c>
      <c r="C15" s="36" t="str">
        <f>IF(B15="","",'NHÂN VIÊN'!C12)</f>
        <v>Bùi Văn Thành</v>
      </c>
      <c r="D15" s="36" t="str">
        <f>IF(B15="","",'NHÂN VIÊN'!D12)</f>
        <v>Tuần tra</v>
      </c>
      <c r="E15" s="58" t="s">
        <v>30</v>
      </c>
      <c r="F15" s="58" t="s">
        <v>30</v>
      </c>
      <c r="G15" s="58" t="s">
        <v>30</v>
      </c>
      <c r="H15" s="58" t="s">
        <v>30</v>
      </c>
      <c r="I15" s="58" t="s">
        <v>30</v>
      </c>
      <c r="J15" s="58" t="s">
        <v>30</v>
      </c>
      <c r="K15" s="58"/>
      <c r="L15" s="58" t="s">
        <v>30</v>
      </c>
      <c r="M15" s="58" t="s">
        <v>30</v>
      </c>
      <c r="N15" s="58" t="s">
        <v>30</v>
      </c>
      <c r="O15" s="58" t="s">
        <v>30</v>
      </c>
      <c r="P15" s="58" t="s">
        <v>30</v>
      </c>
      <c r="Q15" s="58" t="s">
        <v>30</v>
      </c>
      <c r="R15" s="58"/>
      <c r="S15" s="58" t="s">
        <v>30</v>
      </c>
      <c r="T15" s="58" t="s">
        <v>30</v>
      </c>
      <c r="U15" s="58" t="s">
        <v>30</v>
      </c>
      <c r="V15" s="58" t="s">
        <v>30</v>
      </c>
      <c r="W15" s="58" t="s">
        <v>30</v>
      </c>
      <c r="X15" s="58" t="s">
        <v>30</v>
      </c>
      <c r="Y15" s="58"/>
      <c r="Z15" s="58" t="s">
        <v>30</v>
      </c>
      <c r="AA15" s="58" t="s">
        <v>30</v>
      </c>
      <c r="AB15" s="58" t="s">
        <v>30</v>
      </c>
      <c r="AC15" s="58" t="s">
        <v>30</v>
      </c>
      <c r="AD15" s="58" t="s">
        <v>30</v>
      </c>
      <c r="AE15" s="58" t="s">
        <v>30</v>
      </c>
      <c r="AF15" s="58"/>
      <c r="AG15" s="58" t="s">
        <v>30</v>
      </c>
      <c r="AH15" s="58" t="s">
        <v>30</v>
      </c>
      <c r="AI15" s="58" t="s">
        <v>30</v>
      </c>
      <c r="AJ15" s="46">
        <f t="shared" si="3"/>
        <v>0</v>
      </c>
      <c r="AK15" s="46">
        <f t="shared" si="4"/>
        <v>27</v>
      </c>
      <c r="AL15" s="46">
        <f t="shared" si="5"/>
        <v>0</v>
      </c>
      <c r="AM15" s="46">
        <f t="shared" si="6"/>
        <v>0</v>
      </c>
      <c r="AN15" s="46">
        <f t="shared" si="7"/>
        <v>0</v>
      </c>
      <c r="AO15" s="46">
        <f t="shared" si="8"/>
        <v>0</v>
      </c>
      <c r="AP15" s="46">
        <f t="shared" si="9"/>
        <v>0</v>
      </c>
      <c r="AQ15" s="59">
        <f t="shared" si="10"/>
        <v>27</v>
      </c>
      <c r="AR15" s="45">
        <f>IF($B15="","",AK15*'CẤU HÌNH'!$C$7)</f>
        <v>216</v>
      </c>
    </row>
    <row r="16" ht="21.0" customHeight="1">
      <c r="A16" s="28" t="str">
        <f t="shared" si="2"/>
        <v/>
      </c>
      <c r="B16" s="36" t="str">
        <f>IF('NHÂN VIÊN'!B13="","",'NHÂN VIÊN'!B13)</f>
        <v/>
      </c>
      <c r="C16" s="36" t="str">
        <f>IF(B16="","",'NHÂN VIÊN'!C13)</f>
        <v/>
      </c>
      <c r="D16" s="36" t="str">
        <f>IF(B16="","",'NHÂN VIÊN'!D13)</f>
        <v/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46" t="str">
        <f t="shared" si="3"/>
        <v/>
      </c>
      <c r="AK16" s="46" t="str">
        <f t="shared" si="4"/>
        <v/>
      </c>
      <c r="AL16" s="46" t="str">
        <f t="shared" si="5"/>
        <v/>
      </c>
      <c r="AM16" s="46" t="str">
        <f t="shared" si="6"/>
        <v/>
      </c>
      <c r="AN16" s="46" t="str">
        <f t="shared" si="7"/>
        <v/>
      </c>
      <c r="AO16" s="46" t="str">
        <f t="shared" si="8"/>
        <v/>
      </c>
      <c r="AP16" s="46" t="str">
        <f t="shared" si="9"/>
        <v/>
      </c>
      <c r="AQ16" s="59" t="str">
        <f t="shared" si="10"/>
        <v/>
      </c>
      <c r="AR16" s="45" t="str">
        <f>IF($B16="","",AK16*'CẤU HÌNH'!$C$7)</f>
        <v/>
      </c>
    </row>
    <row r="17" ht="21.0" customHeight="1">
      <c r="A17" s="28" t="str">
        <f t="shared" si="2"/>
        <v/>
      </c>
      <c r="B17" s="36" t="str">
        <f>IF('NHÂN VIÊN'!B14="","",'NHÂN VIÊN'!B14)</f>
        <v/>
      </c>
      <c r="C17" s="36" t="str">
        <f>IF(B17="","",'NHÂN VIÊN'!C14)</f>
        <v/>
      </c>
      <c r="D17" s="36" t="str">
        <f>IF(B17="","",'NHÂN VIÊN'!D14)</f>
        <v/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46" t="str">
        <f t="shared" si="3"/>
        <v/>
      </c>
      <c r="AK17" s="46" t="str">
        <f t="shared" si="4"/>
        <v/>
      </c>
      <c r="AL17" s="46" t="str">
        <f t="shared" si="5"/>
        <v/>
      </c>
      <c r="AM17" s="46" t="str">
        <f t="shared" si="6"/>
        <v/>
      </c>
      <c r="AN17" s="46" t="str">
        <f t="shared" si="7"/>
        <v/>
      </c>
      <c r="AO17" s="46" t="str">
        <f t="shared" si="8"/>
        <v/>
      </c>
      <c r="AP17" s="46" t="str">
        <f t="shared" si="9"/>
        <v/>
      </c>
      <c r="AQ17" s="59" t="str">
        <f t="shared" si="10"/>
        <v/>
      </c>
      <c r="AR17" s="45" t="str">
        <f>IF($B17="","",AK17*'CẤU HÌNH'!$C$7)</f>
        <v/>
      </c>
    </row>
    <row r="18" ht="21.0" customHeight="1">
      <c r="A18" s="28" t="str">
        <f t="shared" si="2"/>
        <v/>
      </c>
      <c r="B18" s="36" t="str">
        <f>IF('NHÂN VIÊN'!B15="","",'NHÂN VIÊN'!B15)</f>
        <v/>
      </c>
      <c r="C18" s="36" t="str">
        <f>IF(B18="","",'NHÂN VIÊN'!C15)</f>
        <v/>
      </c>
      <c r="D18" s="36" t="str">
        <f>IF(B18="","",'NHÂN VIÊN'!D15)</f>
        <v/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46" t="str">
        <f t="shared" si="3"/>
        <v/>
      </c>
      <c r="AK18" s="46" t="str">
        <f t="shared" si="4"/>
        <v/>
      </c>
      <c r="AL18" s="46" t="str">
        <f t="shared" si="5"/>
        <v/>
      </c>
      <c r="AM18" s="46" t="str">
        <f t="shared" si="6"/>
        <v/>
      </c>
      <c r="AN18" s="46" t="str">
        <f t="shared" si="7"/>
        <v/>
      </c>
      <c r="AO18" s="46" t="str">
        <f t="shared" si="8"/>
        <v/>
      </c>
      <c r="AP18" s="46" t="str">
        <f t="shared" si="9"/>
        <v/>
      </c>
      <c r="AQ18" s="59" t="str">
        <f t="shared" si="10"/>
        <v/>
      </c>
      <c r="AR18" s="45" t="str">
        <f>IF($B18="","",AK18*'CẤU HÌNH'!$C$7)</f>
        <v/>
      </c>
    </row>
    <row r="19" ht="21.0" customHeight="1">
      <c r="A19" s="28" t="str">
        <f t="shared" si="2"/>
        <v/>
      </c>
      <c r="B19" s="36" t="str">
        <f>IF('NHÂN VIÊN'!B16="","",'NHÂN VIÊN'!B16)</f>
        <v/>
      </c>
      <c r="C19" s="36" t="str">
        <f>IF(B19="","",'NHÂN VIÊN'!C16)</f>
        <v/>
      </c>
      <c r="D19" s="36" t="str">
        <f>IF(B19="","",'NHÂN VIÊN'!D16)</f>
        <v/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46" t="str">
        <f t="shared" si="3"/>
        <v/>
      </c>
      <c r="AK19" s="46" t="str">
        <f t="shared" si="4"/>
        <v/>
      </c>
      <c r="AL19" s="46" t="str">
        <f t="shared" si="5"/>
        <v/>
      </c>
      <c r="AM19" s="46" t="str">
        <f t="shared" si="6"/>
        <v/>
      </c>
      <c r="AN19" s="46" t="str">
        <f t="shared" si="7"/>
        <v/>
      </c>
      <c r="AO19" s="46" t="str">
        <f t="shared" si="8"/>
        <v/>
      </c>
      <c r="AP19" s="46" t="str">
        <f t="shared" si="9"/>
        <v/>
      </c>
      <c r="AQ19" s="59" t="str">
        <f t="shared" si="10"/>
        <v/>
      </c>
      <c r="AR19" s="45" t="str">
        <f>IF($B19="","",AK19*'CẤU HÌNH'!$C$7)</f>
        <v/>
      </c>
    </row>
    <row r="20" ht="21.0" customHeight="1">
      <c r="A20" s="28" t="str">
        <f t="shared" si="2"/>
        <v/>
      </c>
      <c r="B20" s="36" t="str">
        <f>IF('NHÂN VIÊN'!B17="","",'NHÂN VIÊN'!B17)</f>
        <v/>
      </c>
      <c r="C20" s="36" t="str">
        <f>IF(B20="","",'NHÂN VIÊN'!C17)</f>
        <v/>
      </c>
      <c r="D20" s="36" t="str">
        <f>IF(B20="","",'NHÂN VIÊN'!D17)</f>
        <v/>
      </c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46" t="str">
        <f t="shared" si="3"/>
        <v/>
      </c>
      <c r="AK20" s="46" t="str">
        <f t="shared" si="4"/>
        <v/>
      </c>
      <c r="AL20" s="46" t="str">
        <f t="shared" si="5"/>
        <v/>
      </c>
      <c r="AM20" s="46" t="str">
        <f t="shared" si="6"/>
        <v/>
      </c>
      <c r="AN20" s="46" t="str">
        <f t="shared" si="7"/>
        <v/>
      </c>
      <c r="AO20" s="46" t="str">
        <f t="shared" si="8"/>
        <v/>
      </c>
      <c r="AP20" s="46" t="str">
        <f t="shared" si="9"/>
        <v/>
      </c>
      <c r="AQ20" s="59" t="str">
        <f t="shared" si="10"/>
        <v/>
      </c>
      <c r="AR20" s="45" t="str">
        <f>IF($B20="","",AK20*'CẤU HÌNH'!$C$7)</f>
        <v/>
      </c>
    </row>
    <row r="21" ht="21.0" customHeight="1">
      <c r="A21" s="28" t="str">
        <f t="shared" si="2"/>
        <v/>
      </c>
      <c r="B21" s="36" t="str">
        <f>IF('NHÂN VIÊN'!B18="","",'NHÂN VIÊN'!B18)</f>
        <v/>
      </c>
      <c r="C21" s="36" t="str">
        <f>IF(B21="","",'NHÂN VIÊN'!C18)</f>
        <v/>
      </c>
      <c r="D21" s="36" t="str">
        <f>IF(B21="","",'NHÂN VIÊN'!D18)</f>
        <v/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46" t="str">
        <f t="shared" si="3"/>
        <v/>
      </c>
      <c r="AK21" s="46" t="str">
        <f t="shared" si="4"/>
        <v/>
      </c>
      <c r="AL21" s="46" t="str">
        <f t="shared" si="5"/>
        <v/>
      </c>
      <c r="AM21" s="46" t="str">
        <f t="shared" si="6"/>
        <v/>
      </c>
      <c r="AN21" s="46" t="str">
        <f t="shared" si="7"/>
        <v/>
      </c>
      <c r="AO21" s="46" t="str">
        <f t="shared" si="8"/>
        <v/>
      </c>
      <c r="AP21" s="46" t="str">
        <f t="shared" si="9"/>
        <v/>
      </c>
      <c r="AQ21" s="59" t="str">
        <f t="shared" si="10"/>
        <v/>
      </c>
      <c r="AR21" s="45" t="str">
        <f>IF($B21="","",AK21*'CẤU HÌNH'!$C$7)</f>
        <v/>
      </c>
    </row>
    <row r="22" ht="21.0" customHeight="1">
      <c r="A22" s="28" t="str">
        <f t="shared" si="2"/>
        <v/>
      </c>
      <c r="B22" s="36" t="str">
        <f>IF('NHÂN VIÊN'!B19="","",'NHÂN VIÊN'!B19)</f>
        <v/>
      </c>
      <c r="C22" s="36" t="str">
        <f>IF(B22="","",'NHÂN VIÊN'!C19)</f>
        <v/>
      </c>
      <c r="D22" s="36" t="str">
        <f>IF(B22="","",'NHÂN VIÊN'!D19)</f>
        <v/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46" t="str">
        <f t="shared" si="3"/>
        <v/>
      </c>
      <c r="AK22" s="46" t="str">
        <f t="shared" si="4"/>
        <v/>
      </c>
      <c r="AL22" s="46" t="str">
        <f t="shared" si="5"/>
        <v/>
      </c>
      <c r="AM22" s="46" t="str">
        <f t="shared" si="6"/>
        <v/>
      </c>
      <c r="AN22" s="46" t="str">
        <f t="shared" si="7"/>
        <v/>
      </c>
      <c r="AO22" s="46" t="str">
        <f t="shared" si="8"/>
        <v/>
      </c>
      <c r="AP22" s="46" t="str">
        <f t="shared" si="9"/>
        <v/>
      </c>
      <c r="AQ22" s="59" t="str">
        <f t="shared" si="10"/>
        <v/>
      </c>
      <c r="AR22" s="45" t="str">
        <f>IF($B22="","",AK22*'CẤU HÌNH'!$C$7)</f>
        <v/>
      </c>
    </row>
    <row r="23" ht="21.0" customHeight="1">
      <c r="A23" s="28" t="str">
        <f t="shared" si="2"/>
        <v/>
      </c>
      <c r="B23" s="36" t="str">
        <f>IF('NHÂN VIÊN'!B20="","",'NHÂN VIÊN'!B20)</f>
        <v/>
      </c>
      <c r="C23" s="36" t="str">
        <f>IF(B23="","",'NHÂN VIÊN'!C20)</f>
        <v/>
      </c>
      <c r="D23" s="36" t="str">
        <f>IF(B23="","",'NHÂN VIÊN'!D20)</f>
        <v/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46" t="str">
        <f t="shared" si="3"/>
        <v/>
      </c>
      <c r="AK23" s="46" t="str">
        <f t="shared" si="4"/>
        <v/>
      </c>
      <c r="AL23" s="46" t="str">
        <f t="shared" si="5"/>
        <v/>
      </c>
      <c r="AM23" s="46" t="str">
        <f t="shared" si="6"/>
        <v/>
      </c>
      <c r="AN23" s="46" t="str">
        <f t="shared" si="7"/>
        <v/>
      </c>
      <c r="AO23" s="46" t="str">
        <f t="shared" si="8"/>
        <v/>
      </c>
      <c r="AP23" s="46" t="str">
        <f t="shared" si="9"/>
        <v/>
      </c>
      <c r="AQ23" s="59" t="str">
        <f t="shared" si="10"/>
        <v/>
      </c>
      <c r="AR23" s="45" t="str">
        <f>IF($B23="","",AK23*'CẤU HÌNH'!$C$7)</f>
        <v/>
      </c>
    </row>
    <row r="24" ht="21.0" customHeight="1">
      <c r="A24" s="28" t="str">
        <f t="shared" si="2"/>
        <v/>
      </c>
      <c r="B24" s="36" t="str">
        <f>IF('NHÂN VIÊN'!B21="","",'NHÂN VIÊN'!B21)</f>
        <v/>
      </c>
      <c r="C24" s="36" t="str">
        <f>IF(B24="","",'NHÂN VIÊN'!C21)</f>
        <v/>
      </c>
      <c r="D24" s="36" t="str">
        <f>IF(B24="","",'NHÂN VIÊN'!D21)</f>
        <v/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46" t="str">
        <f t="shared" si="3"/>
        <v/>
      </c>
      <c r="AK24" s="46" t="str">
        <f t="shared" si="4"/>
        <v/>
      </c>
      <c r="AL24" s="46" t="str">
        <f t="shared" si="5"/>
        <v/>
      </c>
      <c r="AM24" s="46" t="str">
        <f t="shared" si="6"/>
        <v/>
      </c>
      <c r="AN24" s="46" t="str">
        <f t="shared" si="7"/>
        <v/>
      </c>
      <c r="AO24" s="46" t="str">
        <f t="shared" si="8"/>
        <v/>
      </c>
      <c r="AP24" s="46" t="str">
        <f t="shared" si="9"/>
        <v/>
      </c>
      <c r="AQ24" s="59" t="str">
        <f t="shared" si="10"/>
        <v/>
      </c>
      <c r="AR24" s="45" t="str">
        <f>IF($B24="","",AK24*'CẤU HÌNH'!$C$7)</f>
        <v/>
      </c>
    </row>
    <row r="25" ht="21.0" customHeight="1">
      <c r="A25" s="28" t="str">
        <f t="shared" si="2"/>
        <v/>
      </c>
      <c r="B25" s="36" t="str">
        <f>IF('NHÂN VIÊN'!B22="","",'NHÂN VIÊN'!B22)</f>
        <v/>
      </c>
      <c r="C25" s="36" t="str">
        <f>IF(B25="","",'NHÂN VIÊN'!C22)</f>
        <v/>
      </c>
      <c r="D25" s="36" t="str">
        <f>IF(B25="","",'NHÂN VIÊN'!D22)</f>
        <v/>
      </c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46" t="str">
        <f t="shared" si="3"/>
        <v/>
      </c>
      <c r="AK25" s="46" t="str">
        <f t="shared" si="4"/>
        <v/>
      </c>
      <c r="AL25" s="46" t="str">
        <f t="shared" si="5"/>
        <v/>
      </c>
      <c r="AM25" s="46" t="str">
        <f t="shared" si="6"/>
        <v/>
      </c>
      <c r="AN25" s="46" t="str">
        <f t="shared" si="7"/>
        <v/>
      </c>
      <c r="AO25" s="46" t="str">
        <f t="shared" si="8"/>
        <v/>
      </c>
      <c r="AP25" s="46" t="str">
        <f t="shared" si="9"/>
        <v/>
      </c>
      <c r="AQ25" s="59" t="str">
        <f t="shared" si="10"/>
        <v/>
      </c>
      <c r="AR25" s="45" t="str">
        <f>IF($B25="","",AK25*'CẤU HÌNH'!$C$7)</f>
        <v/>
      </c>
    </row>
    <row r="26" ht="21.0" customHeight="1">
      <c r="A26" s="28" t="str">
        <f t="shared" si="2"/>
        <v/>
      </c>
      <c r="B26" s="36" t="str">
        <f>IF('NHÂN VIÊN'!B23="","",'NHÂN VIÊN'!B23)</f>
        <v/>
      </c>
      <c r="C26" s="36" t="str">
        <f>IF(B26="","",'NHÂN VIÊN'!C23)</f>
        <v/>
      </c>
      <c r="D26" s="36" t="str">
        <f>IF(B26="","",'NHÂN VIÊN'!D23)</f>
        <v/>
      </c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46" t="str">
        <f t="shared" si="3"/>
        <v/>
      </c>
      <c r="AK26" s="46" t="str">
        <f t="shared" si="4"/>
        <v/>
      </c>
      <c r="AL26" s="46" t="str">
        <f t="shared" si="5"/>
        <v/>
      </c>
      <c r="AM26" s="46" t="str">
        <f t="shared" si="6"/>
        <v/>
      </c>
      <c r="AN26" s="46" t="str">
        <f t="shared" si="7"/>
        <v/>
      </c>
      <c r="AO26" s="46" t="str">
        <f t="shared" si="8"/>
        <v/>
      </c>
      <c r="AP26" s="46" t="str">
        <f t="shared" si="9"/>
        <v/>
      </c>
      <c r="AQ26" s="59" t="str">
        <f t="shared" si="10"/>
        <v/>
      </c>
      <c r="AR26" s="45" t="str">
        <f>IF($B26="","",AK26*'CẤU HÌNH'!$C$7)</f>
        <v/>
      </c>
    </row>
    <row r="27" ht="21.0" customHeight="1">
      <c r="A27" s="28" t="str">
        <f t="shared" si="2"/>
        <v/>
      </c>
      <c r="B27" s="36" t="str">
        <f>IF('NHÂN VIÊN'!B24="","",'NHÂN VIÊN'!B24)</f>
        <v/>
      </c>
      <c r="C27" s="36" t="str">
        <f>IF(B27="","",'NHÂN VIÊN'!C24)</f>
        <v/>
      </c>
      <c r="D27" s="36" t="str">
        <f>IF(B27="","",'NHÂN VIÊN'!D24)</f>
        <v/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46" t="str">
        <f t="shared" si="3"/>
        <v/>
      </c>
      <c r="AK27" s="46" t="str">
        <f t="shared" si="4"/>
        <v/>
      </c>
      <c r="AL27" s="46" t="str">
        <f t="shared" si="5"/>
        <v/>
      </c>
      <c r="AM27" s="46" t="str">
        <f t="shared" si="6"/>
        <v/>
      </c>
      <c r="AN27" s="46" t="str">
        <f t="shared" si="7"/>
        <v/>
      </c>
      <c r="AO27" s="46" t="str">
        <f t="shared" si="8"/>
        <v/>
      </c>
      <c r="AP27" s="46" t="str">
        <f t="shared" si="9"/>
        <v/>
      </c>
      <c r="AQ27" s="59" t="str">
        <f t="shared" si="10"/>
        <v/>
      </c>
      <c r="AR27" s="45" t="str">
        <f>IF($B27="","",AK27*'CẤU HÌNH'!$C$7)</f>
        <v/>
      </c>
    </row>
    <row r="28" ht="21.0" customHeight="1">
      <c r="A28" s="28" t="str">
        <f t="shared" si="2"/>
        <v/>
      </c>
      <c r="B28" s="36" t="str">
        <f>IF('NHÂN VIÊN'!B25="","",'NHÂN VIÊN'!B25)</f>
        <v/>
      </c>
      <c r="C28" s="36" t="str">
        <f>IF(B28="","",'NHÂN VIÊN'!C25)</f>
        <v/>
      </c>
      <c r="D28" s="36" t="str">
        <f>IF(B28="","",'NHÂN VIÊN'!D25)</f>
        <v/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46" t="str">
        <f t="shared" si="3"/>
        <v/>
      </c>
      <c r="AK28" s="46" t="str">
        <f t="shared" si="4"/>
        <v/>
      </c>
      <c r="AL28" s="46" t="str">
        <f t="shared" si="5"/>
        <v/>
      </c>
      <c r="AM28" s="46" t="str">
        <f t="shared" si="6"/>
        <v/>
      </c>
      <c r="AN28" s="46" t="str">
        <f t="shared" si="7"/>
        <v/>
      </c>
      <c r="AO28" s="46" t="str">
        <f t="shared" si="8"/>
        <v/>
      </c>
      <c r="AP28" s="46" t="str">
        <f t="shared" si="9"/>
        <v/>
      </c>
      <c r="AQ28" s="59" t="str">
        <f t="shared" si="10"/>
        <v/>
      </c>
      <c r="AR28" s="45" t="str">
        <f>IF($B28="","",AK28*'CẤU HÌNH'!$C$7)</f>
        <v/>
      </c>
    </row>
    <row r="29" ht="21.0" customHeight="1">
      <c r="A29" s="28" t="str">
        <f t="shared" si="2"/>
        <v/>
      </c>
      <c r="B29" s="36" t="str">
        <f>IF('NHÂN VIÊN'!B26="","",'NHÂN VIÊN'!B26)</f>
        <v/>
      </c>
      <c r="C29" s="36" t="str">
        <f>IF(B29="","",'NHÂN VIÊN'!C26)</f>
        <v/>
      </c>
      <c r="D29" s="36" t="str">
        <f>IF(B29="","",'NHÂN VIÊN'!D26)</f>
        <v/>
      </c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46" t="str">
        <f t="shared" si="3"/>
        <v/>
      </c>
      <c r="AK29" s="46" t="str">
        <f t="shared" si="4"/>
        <v/>
      </c>
      <c r="AL29" s="46" t="str">
        <f t="shared" si="5"/>
        <v/>
      </c>
      <c r="AM29" s="46" t="str">
        <f t="shared" si="6"/>
        <v/>
      </c>
      <c r="AN29" s="46" t="str">
        <f t="shared" si="7"/>
        <v/>
      </c>
      <c r="AO29" s="46" t="str">
        <f t="shared" si="8"/>
        <v/>
      </c>
      <c r="AP29" s="46" t="str">
        <f t="shared" si="9"/>
        <v/>
      </c>
      <c r="AQ29" s="59" t="str">
        <f t="shared" si="10"/>
        <v/>
      </c>
      <c r="AR29" s="45" t="str">
        <f>IF($B29="","",AK29*'CẤU HÌNH'!$C$7)</f>
        <v/>
      </c>
    </row>
    <row r="30" ht="21.0" customHeight="1">
      <c r="A30" s="28" t="str">
        <f t="shared" si="2"/>
        <v/>
      </c>
      <c r="B30" s="36" t="str">
        <f>IF('NHÂN VIÊN'!B27="","",'NHÂN VIÊN'!B27)</f>
        <v/>
      </c>
      <c r="C30" s="36" t="str">
        <f>IF(B30="","",'NHÂN VIÊN'!C27)</f>
        <v/>
      </c>
      <c r="D30" s="36" t="str">
        <f>IF(B30="","",'NHÂN VIÊN'!D27)</f>
        <v/>
      </c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46" t="str">
        <f t="shared" si="3"/>
        <v/>
      </c>
      <c r="AK30" s="46" t="str">
        <f t="shared" si="4"/>
        <v/>
      </c>
      <c r="AL30" s="46" t="str">
        <f t="shared" si="5"/>
        <v/>
      </c>
      <c r="AM30" s="46" t="str">
        <f t="shared" si="6"/>
        <v/>
      </c>
      <c r="AN30" s="46" t="str">
        <f t="shared" si="7"/>
        <v/>
      </c>
      <c r="AO30" s="46" t="str">
        <f t="shared" si="8"/>
        <v/>
      </c>
      <c r="AP30" s="46" t="str">
        <f t="shared" si="9"/>
        <v/>
      </c>
      <c r="AQ30" s="59" t="str">
        <f t="shared" si="10"/>
        <v/>
      </c>
      <c r="AR30" s="45" t="str">
        <f>IF($B30="","",AK30*'CẤU HÌNH'!$C$7)</f>
        <v/>
      </c>
    </row>
    <row r="31" ht="21.0" customHeight="1">
      <c r="A31" s="28" t="str">
        <f t="shared" si="2"/>
        <v/>
      </c>
      <c r="B31" s="36" t="str">
        <f>IF('NHÂN VIÊN'!B28="","",'NHÂN VIÊN'!B28)</f>
        <v/>
      </c>
      <c r="C31" s="36" t="str">
        <f>IF(B31="","",'NHÂN VIÊN'!C28)</f>
        <v/>
      </c>
      <c r="D31" s="36" t="str">
        <f>IF(B31="","",'NHÂN VIÊN'!D28)</f>
        <v/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46" t="str">
        <f t="shared" si="3"/>
        <v/>
      </c>
      <c r="AK31" s="46" t="str">
        <f t="shared" si="4"/>
        <v/>
      </c>
      <c r="AL31" s="46" t="str">
        <f t="shared" si="5"/>
        <v/>
      </c>
      <c r="AM31" s="46" t="str">
        <f t="shared" si="6"/>
        <v/>
      </c>
      <c r="AN31" s="46" t="str">
        <f t="shared" si="7"/>
        <v/>
      </c>
      <c r="AO31" s="46" t="str">
        <f t="shared" si="8"/>
        <v/>
      </c>
      <c r="AP31" s="46" t="str">
        <f t="shared" si="9"/>
        <v/>
      </c>
      <c r="AQ31" s="59" t="str">
        <f t="shared" si="10"/>
        <v/>
      </c>
      <c r="AR31" s="45" t="str">
        <f>IF($B31="","",AK31*'CẤU HÌNH'!$C$7)</f>
        <v/>
      </c>
    </row>
    <row r="32" ht="21.0" customHeight="1">
      <c r="A32" s="28" t="str">
        <f t="shared" si="2"/>
        <v/>
      </c>
      <c r="B32" s="36" t="str">
        <f>IF('NHÂN VIÊN'!B29="","",'NHÂN VIÊN'!B29)</f>
        <v/>
      </c>
      <c r="C32" s="36" t="str">
        <f>IF(B32="","",'NHÂN VIÊN'!C29)</f>
        <v/>
      </c>
      <c r="D32" s="36" t="str">
        <f>IF(B32="","",'NHÂN VIÊN'!D29)</f>
        <v/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46" t="str">
        <f t="shared" si="3"/>
        <v/>
      </c>
      <c r="AK32" s="46" t="str">
        <f t="shared" si="4"/>
        <v/>
      </c>
      <c r="AL32" s="46" t="str">
        <f t="shared" si="5"/>
        <v/>
      </c>
      <c r="AM32" s="46" t="str">
        <f t="shared" si="6"/>
        <v/>
      </c>
      <c r="AN32" s="46" t="str">
        <f t="shared" si="7"/>
        <v/>
      </c>
      <c r="AO32" s="46" t="str">
        <f t="shared" si="8"/>
        <v/>
      </c>
      <c r="AP32" s="46" t="str">
        <f t="shared" si="9"/>
        <v/>
      </c>
      <c r="AQ32" s="59" t="str">
        <f t="shared" si="10"/>
        <v/>
      </c>
      <c r="AR32" s="45" t="str">
        <f>IF($B32="","",AK32*'CẤU HÌNH'!$C$7)</f>
        <v/>
      </c>
    </row>
    <row r="33" ht="21.0" customHeight="1">
      <c r="A33" s="28" t="str">
        <f t="shared" si="2"/>
        <v/>
      </c>
      <c r="B33" s="36" t="str">
        <f>IF('NHÂN VIÊN'!B30="","",'NHÂN VIÊN'!B30)</f>
        <v/>
      </c>
      <c r="C33" s="36" t="str">
        <f>IF(B33="","",'NHÂN VIÊN'!C30)</f>
        <v/>
      </c>
      <c r="D33" s="36" t="str">
        <f>IF(B33="","",'NHÂN VIÊN'!D30)</f>
        <v/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46" t="str">
        <f t="shared" si="3"/>
        <v/>
      </c>
      <c r="AK33" s="46" t="str">
        <f t="shared" si="4"/>
        <v/>
      </c>
      <c r="AL33" s="46" t="str">
        <f t="shared" si="5"/>
        <v/>
      </c>
      <c r="AM33" s="46" t="str">
        <f t="shared" si="6"/>
        <v/>
      </c>
      <c r="AN33" s="46" t="str">
        <f t="shared" si="7"/>
        <v/>
      </c>
      <c r="AO33" s="46" t="str">
        <f t="shared" si="8"/>
        <v/>
      </c>
      <c r="AP33" s="46" t="str">
        <f t="shared" si="9"/>
        <v/>
      </c>
      <c r="AQ33" s="59" t="str">
        <f t="shared" si="10"/>
        <v/>
      </c>
      <c r="AR33" s="45" t="str">
        <f>IF($B33="","",AK33*'CẤU HÌNH'!$C$7)</f>
        <v/>
      </c>
    </row>
    <row r="34" ht="21.0" customHeight="1">
      <c r="A34" s="28" t="str">
        <f t="shared" si="2"/>
        <v/>
      </c>
      <c r="B34" s="36" t="str">
        <f>IF('NHÂN VIÊN'!B31="","",'NHÂN VIÊN'!B31)</f>
        <v/>
      </c>
      <c r="C34" s="36" t="str">
        <f>IF(B34="","",'NHÂN VIÊN'!C31)</f>
        <v/>
      </c>
      <c r="D34" s="36" t="str">
        <f>IF(B34="","",'NHÂN VIÊN'!D31)</f>
        <v/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46" t="str">
        <f t="shared" si="3"/>
        <v/>
      </c>
      <c r="AK34" s="46" t="str">
        <f t="shared" si="4"/>
        <v/>
      </c>
      <c r="AL34" s="46" t="str">
        <f t="shared" si="5"/>
        <v/>
      </c>
      <c r="AM34" s="46" t="str">
        <f t="shared" si="6"/>
        <v/>
      </c>
      <c r="AN34" s="46" t="str">
        <f t="shared" si="7"/>
        <v/>
      </c>
      <c r="AO34" s="46" t="str">
        <f t="shared" si="8"/>
        <v/>
      </c>
      <c r="AP34" s="46" t="str">
        <f t="shared" si="9"/>
        <v/>
      </c>
      <c r="AQ34" s="59" t="str">
        <f t="shared" si="10"/>
        <v/>
      </c>
      <c r="AR34" s="45" t="str">
        <f>IF($B34="","",AK34*'CẤU HÌNH'!$C$7)</f>
        <v/>
      </c>
    </row>
    <row r="35" ht="21.0" customHeight="1">
      <c r="A35" s="28" t="str">
        <f t="shared" si="2"/>
        <v/>
      </c>
      <c r="B35" s="36" t="str">
        <f>IF('NHÂN VIÊN'!B32="","",'NHÂN VIÊN'!B32)</f>
        <v/>
      </c>
      <c r="C35" s="36" t="str">
        <f>IF(B35="","",'NHÂN VIÊN'!C32)</f>
        <v/>
      </c>
      <c r="D35" s="36" t="str">
        <f>IF(B35="","",'NHÂN VIÊN'!D32)</f>
        <v/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46" t="str">
        <f t="shared" si="3"/>
        <v/>
      </c>
      <c r="AK35" s="46" t="str">
        <f t="shared" si="4"/>
        <v/>
      </c>
      <c r="AL35" s="46" t="str">
        <f t="shared" si="5"/>
        <v/>
      </c>
      <c r="AM35" s="46" t="str">
        <f t="shared" si="6"/>
        <v/>
      </c>
      <c r="AN35" s="46" t="str">
        <f t="shared" si="7"/>
        <v/>
      </c>
      <c r="AO35" s="46" t="str">
        <f t="shared" si="8"/>
        <v/>
      </c>
      <c r="AP35" s="46" t="str">
        <f t="shared" si="9"/>
        <v/>
      </c>
      <c r="AQ35" s="59" t="str">
        <f t="shared" si="10"/>
        <v/>
      </c>
      <c r="AR35" s="45" t="str">
        <f>IF($B35="","",AK35*'CẤU HÌNH'!$C$7)</f>
        <v/>
      </c>
    </row>
    <row r="36" ht="21.0" customHeight="1">
      <c r="A36" s="28" t="str">
        <f t="shared" si="2"/>
        <v/>
      </c>
      <c r="B36" s="36" t="str">
        <f>IF('NHÂN VIÊN'!B33="","",'NHÂN VIÊN'!B33)</f>
        <v/>
      </c>
      <c r="C36" s="36" t="str">
        <f>IF(B36="","",'NHÂN VIÊN'!C33)</f>
        <v/>
      </c>
      <c r="D36" s="36" t="str">
        <f>IF(B36="","",'NHÂN VIÊN'!D33)</f>
        <v/>
      </c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46" t="str">
        <f t="shared" si="3"/>
        <v/>
      </c>
      <c r="AK36" s="46" t="str">
        <f t="shared" si="4"/>
        <v/>
      </c>
      <c r="AL36" s="46" t="str">
        <f t="shared" si="5"/>
        <v/>
      </c>
      <c r="AM36" s="46" t="str">
        <f t="shared" si="6"/>
        <v/>
      </c>
      <c r="AN36" s="46" t="str">
        <f t="shared" si="7"/>
        <v/>
      </c>
      <c r="AO36" s="46" t="str">
        <f t="shared" si="8"/>
        <v/>
      </c>
      <c r="AP36" s="46" t="str">
        <f t="shared" si="9"/>
        <v/>
      </c>
      <c r="AQ36" s="59" t="str">
        <f t="shared" si="10"/>
        <v/>
      </c>
      <c r="AR36" s="45" t="str">
        <f>IF($B36="","",AK36*'CẤU HÌNH'!$C$7)</f>
        <v/>
      </c>
    </row>
    <row r="37" ht="21.0" customHeight="1">
      <c r="A37" s="28" t="str">
        <f t="shared" si="2"/>
        <v/>
      </c>
      <c r="B37" s="36" t="str">
        <f>IF('NHÂN VIÊN'!B34="","",'NHÂN VIÊN'!B34)</f>
        <v/>
      </c>
      <c r="C37" s="36" t="str">
        <f>IF(B37="","",'NHÂN VIÊN'!C34)</f>
        <v/>
      </c>
      <c r="D37" s="36" t="str">
        <f>IF(B37="","",'NHÂN VIÊN'!D34)</f>
        <v/>
      </c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46" t="str">
        <f t="shared" si="3"/>
        <v/>
      </c>
      <c r="AK37" s="46" t="str">
        <f t="shared" si="4"/>
        <v/>
      </c>
      <c r="AL37" s="46" t="str">
        <f t="shared" si="5"/>
        <v/>
      </c>
      <c r="AM37" s="46" t="str">
        <f t="shared" si="6"/>
        <v/>
      </c>
      <c r="AN37" s="46" t="str">
        <f t="shared" si="7"/>
        <v/>
      </c>
      <c r="AO37" s="46" t="str">
        <f t="shared" si="8"/>
        <v/>
      </c>
      <c r="AP37" s="46" t="str">
        <f t="shared" si="9"/>
        <v/>
      </c>
      <c r="AQ37" s="59" t="str">
        <f t="shared" si="10"/>
        <v/>
      </c>
      <c r="AR37" s="45" t="str">
        <f>IF($B37="","",AK37*'CẤU HÌNH'!$C$7)</f>
        <v/>
      </c>
    </row>
    <row r="38" ht="21.0" customHeight="1">
      <c r="A38" s="28" t="str">
        <f t="shared" si="2"/>
        <v/>
      </c>
      <c r="B38" s="36" t="str">
        <f>IF('NHÂN VIÊN'!B35="","",'NHÂN VIÊN'!B35)</f>
        <v/>
      </c>
      <c r="C38" s="36" t="str">
        <f>IF(B38="","",'NHÂN VIÊN'!C35)</f>
        <v/>
      </c>
      <c r="D38" s="36" t="str">
        <f>IF(B38="","",'NHÂN VIÊN'!D35)</f>
        <v/>
      </c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46" t="str">
        <f t="shared" si="3"/>
        <v/>
      </c>
      <c r="AK38" s="46" t="str">
        <f t="shared" si="4"/>
        <v/>
      </c>
      <c r="AL38" s="46" t="str">
        <f t="shared" si="5"/>
        <v/>
      </c>
      <c r="AM38" s="46" t="str">
        <f t="shared" si="6"/>
        <v/>
      </c>
      <c r="AN38" s="46" t="str">
        <f t="shared" si="7"/>
        <v/>
      </c>
      <c r="AO38" s="46" t="str">
        <f t="shared" si="8"/>
        <v/>
      </c>
      <c r="AP38" s="46" t="str">
        <f t="shared" si="9"/>
        <v/>
      </c>
      <c r="AQ38" s="59" t="str">
        <f t="shared" si="10"/>
        <v/>
      </c>
      <c r="AR38" s="45" t="str">
        <f>IF($B38="","",AK38*'CẤU HÌNH'!$C$7)</f>
        <v/>
      </c>
    </row>
    <row r="39" ht="21.0" customHeight="1">
      <c r="A39" s="28" t="str">
        <f t="shared" si="2"/>
        <v/>
      </c>
      <c r="B39" s="36" t="str">
        <f>IF('NHÂN VIÊN'!B36="","",'NHÂN VIÊN'!B36)</f>
        <v/>
      </c>
      <c r="C39" s="36" t="str">
        <f>IF(B39="","",'NHÂN VIÊN'!C36)</f>
        <v/>
      </c>
      <c r="D39" s="36" t="str">
        <f>IF(B39="","",'NHÂN VIÊN'!D36)</f>
        <v/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46" t="str">
        <f t="shared" si="3"/>
        <v/>
      </c>
      <c r="AK39" s="46" t="str">
        <f t="shared" si="4"/>
        <v/>
      </c>
      <c r="AL39" s="46" t="str">
        <f t="shared" si="5"/>
        <v/>
      </c>
      <c r="AM39" s="46" t="str">
        <f t="shared" si="6"/>
        <v/>
      </c>
      <c r="AN39" s="46" t="str">
        <f t="shared" si="7"/>
        <v/>
      </c>
      <c r="AO39" s="46" t="str">
        <f t="shared" si="8"/>
        <v/>
      </c>
      <c r="AP39" s="46" t="str">
        <f t="shared" si="9"/>
        <v/>
      </c>
      <c r="AQ39" s="59" t="str">
        <f t="shared" si="10"/>
        <v/>
      </c>
      <c r="AR39" s="45" t="str">
        <f>IF($B39="","",AK39*'CẤU HÌNH'!$C$7)</f>
        <v/>
      </c>
    </row>
    <row r="40" ht="21.0" customHeight="1">
      <c r="A40" s="28" t="str">
        <f t="shared" si="2"/>
        <v/>
      </c>
      <c r="B40" s="36" t="str">
        <f>IF('NHÂN VIÊN'!B37="","",'NHÂN VIÊN'!B37)</f>
        <v/>
      </c>
      <c r="C40" s="36" t="str">
        <f>IF(B40="","",'NHÂN VIÊN'!C37)</f>
        <v/>
      </c>
      <c r="D40" s="36" t="str">
        <f>IF(B40="","",'NHÂN VIÊN'!D37)</f>
        <v/>
      </c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46" t="str">
        <f t="shared" si="3"/>
        <v/>
      </c>
      <c r="AK40" s="46" t="str">
        <f t="shared" si="4"/>
        <v/>
      </c>
      <c r="AL40" s="46" t="str">
        <f t="shared" si="5"/>
        <v/>
      </c>
      <c r="AM40" s="46" t="str">
        <f t="shared" si="6"/>
        <v/>
      </c>
      <c r="AN40" s="46" t="str">
        <f t="shared" si="7"/>
        <v/>
      </c>
      <c r="AO40" s="46" t="str">
        <f t="shared" si="8"/>
        <v/>
      </c>
      <c r="AP40" s="46" t="str">
        <f t="shared" si="9"/>
        <v/>
      </c>
      <c r="AQ40" s="59" t="str">
        <f t="shared" si="10"/>
        <v/>
      </c>
      <c r="AR40" s="45" t="str">
        <f>IF($B40="","",AK40*'CẤU HÌNH'!$C$7)</f>
        <v/>
      </c>
    </row>
    <row r="41" ht="21.0" customHeight="1">
      <c r="A41" s="28" t="str">
        <f t="shared" si="2"/>
        <v/>
      </c>
      <c r="B41" s="36" t="str">
        <f>IF('NHÂN VIÊN'!B38="","",'NHÂN VIÊN'!B38)</f>
        <v/>
      </c>
      <c r="C41" s="36" t="str">
        <f>IF(B41="","",'NHÂN VIÊN'!C38)</f>
        <v/>
      </c>
      <c r="D41" s="36" t="str">
        <f>IF(B41="","",'NHÂN VIÊN'!D38)</f>
        <v/>
      </c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46" t="str">
        <f t="shared" si="3"/>
        <v/>
      </c>
      <c r="AK41" s="46" t="str">
        <f t="shared" si="4"/>
        <v/>
      </c>
      <c r="AL41" s="46" t="str">
        <f t="shared" si="5"/>
        <v/>
      </c>
      <c r="AM41" s="46" t="str">
        <f t="shared" si="6"/>
        <v/>
      </c>
      <c r="AN41" s="46" t="str">
        <f t="shared" si="7"/>
        <v/>
      </c>
      <c r="AO41" s="46" t="str">
        <f t="shared" si="8"/>
        <v/>
      </c>
      <c r="AP41" s="46" t="str">
        <f t="shared" si="9"/>
        <v/>
      </c>
      <c r="AQ41" s="59" t="str">
        <f t="shared" si="10"/>
        <v/>
      </c>
      <c r="AR41" s="45" t="str">
        <f>IF($B41="","",AK41*'CẤU HÌNH'!$C$7)</f>
        <v/>
      </c>
    </row>
    <row r="42" ht="21.0" customHeight="1">
      <c r="A42" s="28" t="str">
        <f t="shared" si="2"/>
        <v/>
      </c>
      <c r="B42" s="36" t="str">
        <f>IF('NHÂN VIÊN'!B39="","",'NHÂN VIÊN'!B39)</f>
        <v/>
      </c>
      <c r="C42" s="36" t="str">
        <f>IF(B42="","",'NHÂN VIÊN'!C39)</f>
        <v/>
      </c>
      <c r="D42" s="36" t="str">
        <f>IF(B42="","",'NHÂN VIÊN'!D39)</f>
        <v/>
      </c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46" t="str">
        <f t="shared" si="3"/>
        <v/>
      </c>
      <c r="AK42" s="46" t="str">
        <f t="shared" si="4"/>
        <v/>
      </c>
      <c r="AL42" s="46" t="str">
        <f t="shared" si="5"/>
        <v/>
      </c>
      <c r="AM42" s="46" t="str">
        <f t="shared" si="6"/>
        <v/>
      </c>
      <c r="AN42" s="46" t="str">
        <f t="shared" si="7"/>
        <v/>
      </c>
      <c r="AO42" s="46" t="str">
        <f t="shared" si="8"/>
        <v/>
      </c>
      <c r="AP42" s="46" t="str">
        <f t="shared" si="9"/>
        <v/>
      </c>
      <c r="AQ42" s="59" t="str">
        <f t="shared" si="10"/>
        <v/>
      </c>
      <c r="AR42" s="45" t="str">
        <f>IF($B42="","",AK42*'CẤU HÌNH'!$C$7)</f>
        <v/>
      </c>
    </row>
    <row r="43" ht="21.0" customHeight="1">
      <c r="A43" s="28" t="str">
        <f t="shared" si="2"/>
        <v/>
      </c>
      <c r="B43" s="36" t="str">
        <f>IF('NHÂN VIÊN'!B40="","",'NHÂN VIÊN'!B40)</f>
        <v/>
      </c>
      <c r="C43" s="36" t="str">
        <f>IF(B43="","",'NHÂN VIÊN'!C40)</f>
        <v/>
      </c>
      <c r="D43" s="36" t="str">
        <f>IF(B43="","",'NHÂN VIÊN'!D40)</f>
        <v/>
      </c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46" t="str">
        <f t="shared" si="3"/>
        <v/>
      </c>
      <c r="AK43" s="46" t="str">
        <f t="shared" si="4"/>
        <v/>
      </c>
      <c r="AL43" s="46" t="str">
        <f t="shared" si="5"/>
        <v/>
      </c>
      <c r="AM43" s="46" t="str">
        <f t="shared" si="6"/>
        <v/>
      </c>
      <c r="AN43" s="46" t="str">
        <f t="shared" si="7"/>
        <v/>
      </c>
      <c r="AO43" s="46" t="str">
        <f t="shared" si="8"/>
        <v/>
      </c>
      <c r="AP43" s="46" t="str">
        <f t="shared" si="9"/>
        <v/>
      </c>
      <c r="AQ43" s="59" t="str">
        <f t="shared" si="10"/>
        <v/>
      </c>
      <c r="AR43" s="45" t="str">
        <f>IF($B43="","",AK43*'CẤU HÌNH'!$C$7)</f>
        <v/>
      </c>
    </row>
    <row r="44" ht="21.0" customHeight="1">
      <c r="A44" s="28" t="str">
        <f t="shared" si="2"/>
        <v/>
      </c>
      <c r="B44" s="36" t="str">
        <f>IF('NHÂN VIÊN'!B41="","",'NHÂN VIÊN'!B41)</f>
        <v/>
      </c>
      <c r="C44" s="36" t="str">
        <f>IF(B44="","",'NHÂN VIÊN'!C41)</f>
        <v/>
      </c>
      <c r="D44" s="36" t="str">
        <f>IF(B44="","",'NHÂN VIÊN'!D41)</f>
        <v/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46" t="str">
        <f t="shared" si="3"/>
        <v/>
      </c>
      <c r="AK44" s="46" t="str">
        <f t="shared" si="4"/>
        <v/>
      </c>
      <c r="AL44" s="46" t="str">
        <f t="shared" si="5"/>
        <v/>
      </c>
      <c r="AM44" s="46" t="str">
        <f t="shared" si="6"/>
        <v/>
      </c>
      <c r="AN44" s="46" t="str">
        <f t="shared" si="7"/>
        <v/>
      </c>
      <c r="AO44" s="46" t="str">
        <f t="shared" si="8"/>
        <v/>
      </c>
      <c r="AP44" s="46" t="str">
        <f t="shared" si="9"/>
        <v/>
      </c>
      <c r="AQ44" s="59" t="str">
        <f t="shared" si="10"/>
        <v/>
      </c>
      <c r="AR44" s="45" t="str">
        <f>IF($B44="","",AK44*'CẤU HÌNH'!$C$7)</f>
        <v/>
      </c>
    </row>
    <row r="45" ht="21.0" customHeight="1">
      <c r="A45" s="28" t="str">
        <f t="shared" si="2"/>
        <v/>
      </c>
      <c r="B45" s="36" t="str">
        <f>IF('NHÂN VIÊN'!B42="","",'NHÂN VIÊN'!B42)</f>
        <v/>
      </c>
      <c r="C45" s="36" t="str">
        <f>IF(B45="","",'NHÂN VIÊN'!C42)</f>
        <v/>
      </c>
      <c r="D45" s="36" t="str">
        <f>IF(B45="","",'NHÂN VIÊN'!D42)</f>
        <v/>
      </c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46" t="str">
        <f t="shared" si="3"/>
        <v/>
      </c>
      <c r="AK45" s="46" t="str">
        <f t="shared" si="4"/>
        <v/>
      </c>
      <c r="AL45" s="46" t="str">
        <f t="shared" si="5"/>
        <v/>
      </c>
      <c r="AM45" s="46" t="str">
        <f t="shared" si="6"/>
        <v/>
      </c>
      <c r="AN45" s="46" t="str">
        <f t="shared" si="7"/>
        <v/>
      </c>
      <c r="AO45" s="46" t="str">
        <f t="shared" si="8"/>
        <v/>
      </c>
      <c r="AP45" s="46" t="str">
        <f t="shared" si="9"/>
        <v/>
      </c>
      <c r="AQ45" s="59" t="str">
        <f t="shared" si="10"/>
        <v/>
      </c>
      <c r="AR45" s="45" t="str">
        <f>IF($B45="","",AK45*'CẤU HÌNH'!$C$7)</f>
        <v/>
      </c>
    </row>
    <row r="46" ht="21.0" customHeight="1">
      <c r="A46" s="28" t="str">
        <f t="shared" si="2"/>
        <v/>
      </c>
      <c r="B46" s="36" t="str">
        <f>IF('NHÂN VIÊN'!B43="","",'NHÂN VIÊN'!B43)</f>
        <v/>
      </c>
      <c r="C46" s="36" t="str">
        <f>IF(B46="","",'NHÂN VIÊN'!C43)</f>
        <v/>
      </c>
      <c r="D46" s="36" t="str">
        <f>IF(B46="","",'NHÂN VIÊN'!D43)</f>
        <v/>
      </c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46" t="str">
        <f t="shared" si="3"/>
        <v/>
      </c>
      <c r="AK46" s="46" t="str">
        <f t="shared" si="4"/>
        <v/>
      </c>
      <c r="AL46" s="46" t="str">
        <f t="shared" si="5"/>
        <v/>
      </c>
      <c r="AM46" s="46" t="str">
        <f t="shared" si="6"/>
        <v/>
      </c>
      <c r="AN46" s="46" t="str">
        <f t="shared" si="7"/>
        <v/>
      </c>
      <c r="AO46" s="46" t="str">
        <f t="shared" si="8"/>
        <v/>
      </c>
      <c r="AP46" s="46" t="str">
        <f t="shared" si="9"/>
        <v/>
      </c>
      <c r="AQ46" s="59" t="str">
        <f t="shared" si="10"/>
        <v/>
      </c>
      <c r="AR46" s="45" t="str">
        <f>IF($B46="","",AK46*'CẤU HÌNH'!$C$7)</f>
        <v/>
      </c>
    </row>
    <row r="47" ht="21.0" customHeight="1">
      <c r="A47" s="28" t="str">
        <f t="shared" si="2"/>
        <v/>
      </c>
      <c r="B47" s="36" t="str">
        <f>IF('NHÂN VIÊN'!B44="","",'NHÂN VIÊN'!B44)</f>
        <v/>
      </c>
      <c r="C47" s="36" t="str">
        <f>IF(B47="","",'NHÂN VIÊN'!C44)</f>
        <v/>
      </c>
      <c r="D47" s="36" t="str">
        <f>IF(B47="","",'NHÂN VIÊN'!D44)</f>
        <v/>
      </c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46" t="str">
        <f t="shared" si="3"/>
        <v/>
      </c>
      <c r="AK47" s="46" t="str">
        <f t="shared" si="4"/>
        <v/>
      </c>
      <c r="AL47" s="46" t="str">
        <f t="shared" si="5"/>
        <v/>
      </c>
      <c r="AM47" s="46" t="str">
        <f t="shared" si="6"/>
        <v/>
      </c>
      <c r="AN47" s="46" t="str">
        <f t="shared" si="7"/>
        <v/>
      </c>
      <c r="AO47" s="46" t="str">
        <f t="shared" si="8"/>
        <v/>
      </c>
      <c r="AP47" s="46" t="str">
        <f t="shared" si="9"/>
        <v/>
      </c>
      <c r="AQ47" s="59" t="str">
        <f t="shared" si="10"/>
        <v/>
      </c>
      <c r="AR47" s="45" t="str">
        <f>IF($B47="","",AK47*'CẤU HÌNH'!$C$7)</f>
        <v/>
      </c>
    </row>
    <row r="48" ht="21.0" customHeight="1">
      <c r="A48" s="28" t="str">
        <f t="shared" si="2"/>
        <v/>
      </c>
      <c r="B48" s="36" t="str">
        <f>IF('NHÂN VIÊN'!B45="","",'NHÂN VIÊN'!B45)</f>
        <v/>
      </c>
      <c r="C48" s="36" t="str">
        <f>IF(B48="","",'NHÂN VIÊN'!C45)</f>
        <v/>
      </c>
      <c r="D48" s="36" t="str">
        <f>IF(B48="","",'NHÂN VIÊN'!D45)</f>
        <v/>
      </c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46" t="str">
        <f t="shared" si="3"/>
        <v/>
      </c>
      <c r="AK48" s="46" t="str">
        <f t="shared" si="4"/>
        <v/>
      </c>
      <c r="AL48" s="46" t="str">
        <f t="shared" si="5"/>
        <v/>
      </c>
      <c r="AM48" s="46" t="str">
        <f t="shared" si="6"/>
        <v/>
      </c>
      <c r="AN48" s="46" t="str">
        <f t="shared" si="7"/>
        <v/>
      </c>
      <c r="AO48" s="46" t="str">
        <f t="shared" si="8"/>
        <v/>
      </c>
      <c r="AP48" s="46" t="str">
        <f t="shared" si="9"/>
        <v/>
      </c>
      <c r="AQ48" s="59" t="str">
        <f t="shared" si="10"/>
        <v/>
      </c>
      <c r="AR48" s="45" t="str">
        <f>IF($B48="","",AK48*'CẤU HÌNH'!$C$7)</f>
        <v/>
      </c>
    </row>
    <row r="49" ht="21.0" customHeight="1">
      <c r="A49" s="28" t="str">
        <f t="shared" si="2"/>
        <v/>
      </c>
      <c r="B49" s="36" t="str">
        <f>IF('NHÂN VIÊN'!B46="","",'NHÂN VIÊN'!B46)</f>
        <v/>
      </c>
      <c r="C49" s="36" t="str">
        <f>IF(B49="","",'NHÂN VIÊN'!C46)</f>
        <v/>
      </c>
      <c r="D49" s="36" t="str">
        <f>IF(B49="","",'NHÂN VIÊN'!D46)</f>
        <v/>
      </c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46" t="str">
        <f t="shared" si="3"/>
        <v/>
      </c>
      <c r="AK49" s="46" t="str">
        <f t="shared" si="4"/>
        <v/>
      </c>
      <c r="AL49" s="46" t="str">
        <f t="shared" si="5"/>
        <v/>
      </c>
      <c r="AM49" s="46" t="str">
        <f t="shared" si="6"/>
        <v/>
      </c>
      <c r="AN49" s="46" t="str">
        <f t="shared" si="7"/>
        <v/>
      </c>
      <c r="AO49" s="46" t="str">
        <f t="shared" si="8"/>
        <v/>
      </c>
      <c r="AP49" s="46" t="str">
        <f t="shared" si="9"/>
        <v/>
      </c>
      <c r="AQ49" s="59" t="str">
        <f t="shared" si="10"/>
        <v/>
      </c>
      <c r="AR49" s="45" t="str">
        <f>IF($B49="","",AK49*'CẤU HÌNH'!$C$7)</f>
        <v/>
      </c>
    </row>
    <row r="50" ht="21.0" customHeight="1">
      <c r="A50" s="28" t="str">
        <f t="shared" si="2"/>
        <v/>
      </c>
      <c r="B50" s="36" t="str">
        <f>IF('NHÂN VIÊN'!B47="","",'NHÂN VIÊN'!B47)</f>
        <v/>
      </c>
      <c r="C50" s="36" t="str">
        <f>IF(B50="","",'NHÂN VIÊN'!C47)</f>
        <v/>
      </c>
      <c r="D50" s="36" t="str">
        <f>IF(B50="","",'NHÂN VIÊN'!D47)</f>
        <v/>
      </c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46" t="str">
        <f t="shared" si="3"/>
        <v/>
      </c>
      <c r="AK50" s="46" t="str">
        <f t="shared" si="4"/>
        <v/>
      </c>
      <c r="AL50" s="46" t="str">
        <f t="shared" si="5"/>
        <v/>
      </c>
      <c r="AM50" s="46" t="str">
        <f t="shared" si="6"/>
        <v/>
      </c>
      <c r="AN50" s="46" t="str">
        <f t="shared" si="7"/>
        <v/>
      </c>
      <c r="AO50" s="46" t="str">
        <f t="shared" si="8"/>
        <v/>
      </c>
      <c r="AP50" s="46" t="str">
        <f t="shared" si="9"/>
        <v/>
      </c>
      <c r="AQ50" s="59" t="str">
        <f t="shared" si="10"/>
        <v/>
      </c>
      <c r="AR50" s="45" t="str">
        <f>IF($B50="","",AK50*'CẤU HÌNH'!$C$7)</f>
        <v/>
      </c>
    </row>
    <row r="51" ht="21.0" customHeight="1">
      <c r="A51" s="28" t="str">
        <f t="shared" si="2"/>
        <v/>
      </c>
      <c r="B51" s="36" t="str">
        <f>IF('NHÂN VIÊN'!B48="","",'NHÂN VIÊN'!B48)</f>
        <v/>
      </c>
      <c r="C51" s="36" t="str">
        <f>IF(B51="","",'NHÂN VIÊN'!C48)</f>
        <v/>
      </c>
      <c r="D51" s="36" t="str">
        <f>IF(B51="","",'NHÂN VIÊN'!D48)</f>
        <v/>
      </c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46" t="str">
        <f t="shared" si="3"/>
        <v/>
      </c>
      <c r="AK51" s="46" t="str">
        <f t="shared" si="4"/>
        <v/>
      </c>
      <c r="AL51" s="46" t="str">
        <f t="shared" si="5"/>
        <v/>
      </c>
      <c r="AM51" s="46" t="str">
        <f t="shared" si="6"/>
        <v/>
      </c>
      <c r="AN51" s="46" t="str">
        <f t="shared" si="7"/>
        <v/>
      </c>
      <c r="AO51" s="46" t="str">
        <f t="shared" si="8"/>
        <v/>
      </c>
      <c r="AP51" s="46" t="str">
        <f t="shared" si="9"/>
        <v/>
      </c>
      <c r="AQ51" s="59" t="str">
        <f t="shared" si="10"/>
        <v/>
      </c>
      <c r="AR51" s="45" t="str">
        <f>IF($B51="","",AK51*'CẤU HÌNH'!$C$7)</f>
        <v/>
      </c>
    </row>
    <row r="52" ht="21.0" customHeight="1">
      <c r="A52" s="28" t="str">
        <f t="shared" si="2"/>
        <v/>
      </c>
      <c r="B52" s="36" t="str">
        <f>IF('NHÂN VIÊN'!B49="","",'NHÂN VIÊN'!B49)</f>
        <v/>
      </c>
      <c r="C52" s="36" t="str">
        <f>IF(B52="","",'NHÂN VIÊN'!C49)</f>
        <v/>
      </c>
      <c r="D52" s="36" t="str">
        <f>IF(B52="","",'NHÂN VIÊN'!D49)</f>
        <v/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46" t="str">
        <f t="shared" si="3"/>
        <v/>
      </c>
      <c r="AK52" s="46" t="str">
        <f t="shared" si="4"/>
        <v/>
      </c>
      <c r="AL52" s="46" t="str">
        <f t="shared" si="5"/>
        <v/>
      </c>
      <c r="AM52" s="46" t="str">
        <f t="shared" si="6"/>
        <v/>
      </c>
      <c r="AN52" s="46" t="str">
        <f t="shared" si="7"/>
        <v/>
      </c>
      <c r="AO52" s="46" t="str">
        <f t="shared" si="8"/>
        <v/>
      </c>
      <c r="AP52" s="46" t="str">
        <f t="shared" si="9"/>
        <v/>
      </c>
      <c r="AQ52" s="59" t="str">
        <f t="shared" si="10"/>
        <v/>
      </c>
      <c r="AR52" s="45" t="str">
        <f>IF($B52="","",AK52*'CẤU HÌNH'!$C$7)</f>
        <v/>
      </c>
    </row>
    <row r="53" ht="21.0" customHeight="1">
      <c r="A53" s="28" t="str">
        <f t="shared" si="2"/>
        <v/>
      </c>
      <c r="B53" s="36" t="str">
        <f>IF('NHÂN VIÊN'!B50="","",'NHÂN VIÊN'!B50)</f>
        <v/>
      </c>
      <c r="C53" s="36" t="str">
        <f>IF(B53="","",'NHÂN VIÊN'!C50)</f>
        <v/>
      </c>
      <c r="D53" s="36" t="str">
        <f>IF(B53="","",'NHÂN VIÊN'!D50)</f>
        <v/>
      </c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46" t="str">
        <f t="shared" si="3"/>
        <v/>
      </c>
      <c r="AK53" s="46" t="str">
        <f t="shared" si="4"/>
        <v/>
      </c>
      <c r="AL53" s="46" t="str">
        <f t="shared" si="5"/>
        <v/>
      </c>
      <c r="AM53" s="46" t="str">
        <f t="shared" si="6"/>
        <v/>
      </c>
      <c r="AN53" s="46" t="str">
        <f t="shared" si="7"/>
        <v/>
      </c>
      <c r="AO53" s="46" t="str">
        <f t="shared" si="8"/>
        <v/>
      </c>
      <c r="AP53" s="46" t="str">
        <f t="shared" si="9"/>
        <v/>
      </c>
      <c r="AQ53" s="59" t="str">
        <f t="shared" si="10"/>
        <v/>
      </c>
      <c r="AR53" s="45" t="str">
        <f>IF($B53="","",AK53*'CẤU HÌNH'!$C$7)</f>
        <v/>
      </c>
    </row>
    <row r="54" ht="21.0" customHeight="1">
      <c r="A54" s="28" t="str">
        <f t="shared" si="2"/>
        <v/>
      </c>
      <c r="B54" s="36" t="str">
        <f>IF('NHÂN VIÊN'!B51="","",'NHÂN VIÊN'!B51)</f>
        <v/>
      </c>
      <c r="C54" s="36" t="str">
        <f>IF(B54="","",'NHÂN VIÊN'!C51)</f>
        <v/>
      </c>
      <c r="D54" s="36" t="str">
        <f>IF(B54="","",'NHÂN VIÊN'!D51)</f>
        <v/>
      </c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46" t="str">
        <f t="shared" si="3"/>
        <v/>
      </c>
      <c r="AK54" s="46" t="str">
        <f t="shared" si="4"/>
        <v/>
      </c>
      <c r="AL54" s="46" t="str">
        <f t="shared" si="5"/>
        <v/>
      </c>
      <c r="AM54" s="46" t="str">
        <f t="shared" si="6"/>
        <v/>
      </c>
      <c r="AN54" s="46" t="str">
        <f t="shared" si="7"/>
        <v/>
      </c>
      <c r="AO54" s="46" t="str">
        <f t="shared" si="8"/>
        <v/>
      </c>
      <c r="AP54" s="46" t="str">
        <f t="shared" si="9"/>
        <v/>
      </c>
      <c r="AQ54" s="59" t="str">
        <f t="shared" si="10"/>
        <v/>
      </c>
      <c r="AR54" s="45" t="str">
        <f>IF($B54="","",AK54*'CẤU HÌNH'!$C$7)</f>
        <v/>
      </c>
    </row>
    <row r="55" ht="21.0" customHeight="1">
      <c r="A55" s="28" t="str">
        <f t="shared" si="2"/>
        <v/>
      </c>
      <c r="B55" s="36" t="str">
        <f>IF('NHÂN VIÊN'!B52="","",'NHÂN VIÊN'!B52)</f>
        <v/>
      </c>
      <c r="C55" s="36" t="str">
        <f>IF(B55="","",'NHÂN VIÊN'!C52)</f>
        <v/>
      </c>
      <c r="D55" s="36" t="str">
        <f>IF(B55="","",'NHÂN VIÊN'!D52)</f>
        <v/>
      </c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46" t="str">
        <f t="shared" si="3"/>
        <v/>
      </c>
      <c r="AK55" s="46" t="str">
        <f t="shared" si="4"/>
        <v/>
      </c>
      <c r="AL55" s="46" t="str">
        <f t="shared" si="5"/>
        <v/>
      </c>
      <c r="AM55" s="46" t="str">
        <f t="shared" si="6"/>
        <v/>
      </c>
      <c r="AN55" s="46" t="str">
        <f t="shared" si="7"/>
        <v/>
      </c>
      <c r="AO55" s="46" t="str">
        <f t="shared" si="8"/>
        <v/>
      </c>
      <c r="AP55" s="46" t="str">
        <f t="shared" si="9"/>
        <v/>
      </c>
      <c r="AQ55" s="59" t="str">
        <f t="shared" si="10"/>
        <v/>
      </c>
      <c r="AR55" s="45" t="str">
        <f>IF($B55="","",AK55*'CẤU HÌNH'!$C$7)</f>
        <v/>
      </c>
    </row>
    <row r="56" ht="21.0" customHeight="1">
      <c r="A56" s="28" t="str">
        <f t="shared" si="2"/>
        <v/>
      </c>
      <c r="B56" s="36" t="str">
        <f>IF('NHÂN VIÊN'!B53="","",'NHÂN VIÊN'!B53)</f>
        <v/>
      </c>
      <c r="C56" s="36" t="str">
        <f>IF(B56="","",'NHÂN VIÊN'!C53)</f>
        <v/>
      </c>
      <c r="D56" s="36" t="str">
        <f>IF(B56="","",'NHÂN VIÊN'!D53)</f>
        <v/>
      </c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46" t="str">
        <f t="shared" si="3"/>
        <v/>
      </c>
      <c r="AK56" s="46" t="str">
        <f t="shared" si="4"/>
        <v/>
      </c>
      <c r="AL56" s="46" t="str">
        <f t="shared" si="5"/>
        <v/>
      </c>
      <c r="AM56" s="46" t="str">
        <f t="shared" si="6"/>
        <v/>
      </c>
      <c r="AN56" s="46" t="str">
        <f t="shared" si="7"/>
        <v/>
      </c>
      <c r="AO56" s="46" t="str">
        <f t="shared" si="8"/>
        <v/>
      </c>
      <c r="AP56" s="46" t="str">
        <f t="shared" si="9"/>
        <v/>
      </c>
      <c r="AQ56" s="59" t="str">
        <f t="shared" si="10"/>
        <v/>
      </c>
      <c r="AR56" s="45" t="str">
        <f>IF($B56="","",AK56*'CẤU HÌNH'!$C$7)</f>
        <v/>
      </c>
    </row>
    <row r="57" ht="21.0" customHeight="1">
      <c r="A57" s="28" t="str">
        <f t="shared" si="2"/>
        <v/>
      </c>
      <c r="B57" s="36" t="str">
        <f>IF('NHÂN VIÊN'!B54="","",'NHÂN VIÊN'!B54)</f>
        <v/>
      </c>
      <c r="C57" s="36" t="str">
        <f>IF(B57="","",'NHÂN VIÊN'!C54)</f>
        <v/>
      </c>
      <c r="D57" s="36" t="str">
        <f>IF(B57="","",'NHÂN VIÊN'!D54)</f>
        <v/>
      </c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46" t="str">
        <f t="shared" si="3"/>
        <v/>
      </c>
      <c r="AK57" s="46" t="str">
        <f t="shared" si="4"/>
        <v/>
      </c>
      <c r="AL57" s="46" t="str">
        <f t="shared" si="5"/>
        <v/>
      </c>
      <c r="AM57" s="46" t="str">
        <f t="shared" si="6"/>
        <v/>
      </c>
      <c r="AN57" s="46" t="str">
        <f t="shared" si="7"/>
        <v/>
      </c>
      <c r="AO57" s="46" t="str">
        <f t="shared" si="8"/>
        <v/>
      </c>
      <c r="AP57" s="46" t="str">
        <f t="shared" si="9"/>
        <v/>
      </c>
      <c r="AQ57" s="59" t="str">
        <f t="shared" si="10"/>
        <v/>
      </c>
      <c r="AR57" s="45" t="str">
        <f>IF($B57="","",AK57*'CẤU HÌNH'!$C$7)</f>
        <v/>
      </c>
    </row>
    <row r="58" ht="24.0" customHeight="1">
      <c r="A58" s="60" t="s">
        <v>169</v>
      </c>
      <c r="B58" s="39"/>
      <c r="C58" s="39"/>
      <c r="D58" s="43"/>
      <c r="E58" s="61">
        <f t="shared" ref="E58:AI58" si="11">IF(E$6="","",COUNTIF(E8:E57,"N")+COUNTIF(E8:E57,"Đ"))</f>
        <v>7</v>
      </c>
      <c r="F58" s="61">
        <f t="shared" si="11"/>
        <v>7</v>
      </c>
      <c r="G58" s="61">
        <f t="shared" si="11"/>
        <v>7</v>
      </c>
      <c r="H58" s="61">
        <f t="shared" si="11"/>
        <v>7</v>
      </c>
      <c r="I58" s="61">
        <f t="shared" si="11"/>
        <v>7</v>
      </c>
      <c r="J58" s="61">
        <f t="shared" si="11"/>
        <v>7</v>
      </c>
      <c r="K58" s="61">
        <f t="shared" si="11"/>
        <v>6</v>
      </c>
      <c r="L58" s="61">
        <f t="shared" si="11"/>
        <v>7</v>
      </c>
      <c r="M58" s="61">
        <f t="shared" si="11"/>
        <v>6</v>
      </c>
      <c r="N58" s="61">
        <f t="shared" si="11"/>
        <v>7</v>
      </c>
      <c r="O58" s="61">
        <f t="shared" si="11"/>
        <v>7</v>
      </c>
      <c r="P58" s="61">
        <f t="shared" si="11"/>
        <v>7</v>
      </c>
      <c r="Q58" s="61">
        <f t="shared" si="11"/>
        <v>7</v>
      </c>
      <c r="R58" s="61">
        <f t="shared" si="11"/>
        <v>6</v>
      </c>
      <c r="S58" s="61">
        <f t="shared" si="11"/>
        <v>6</v>
      </c>
      <c r="T58" s="61">
        <f t="shared" si="11"/>
        <v>7</v>
      </c>
      <c r="U58" s="61">
        <f t="shared" si="11"/>
        <v>7</v>
      </c>
      <c r="V58" s="61">
        <f t="shared" si="11"/>
        <v>7</v>
      </c>
      <c r="W58" s="61">
        <f t="shared" si="11"/>
        <v>7</v>
      </c>
      <c r="X58" s="61">
        <f t="shared" si="11"/>
        <v>6</v>
      </c>
      <c r="Y58" s="61">
        <f t="shared" si="11"/>
        <v>6</v>
      </c>
      <c r="Z58" s="61">
        <f t="shared" si="11"/>
        <v>7</v>
      </c>
      <c r="AA58" s="61">
        <f t="shared" si="11"/>
        <v>7</v>
      </c>
      <c r="AB58" s="61">
        <f t="shared" si="11"/>
        <v>6</v>
      </c>
      <c r="AC58" s="61">
        <f t="shared" si="11"/>
        <v>7</v>
      </c>
      <c r="AD58" s="61">
        <f t="shared" si="11"/>
        <v>7</v>
      </c>
      <c r="AE58" s="61">
        <f t="shared" si="11"/>
        <v>7</v>
      </c>
      <c r="AF58" s="61">
        <f t="shared" si="11"/>
        <v>6</v>
      </c>
      <c r="AG58" s="61">
        <f t="shared" si="11"/>
        <v>7</v>
      </c>
      <c r="AH58" s="61">
        <f t="shared" si="11"/>
        <v>7</v>
      </c>
      <c r="AI58" s="61">
        <f t="shared" si="11"/>
        <v>7</v>
      </c>
      <c r="AJ58" s="61">
        <f t="shared" ref="AJ58:AR58" si="12">SUM(AJ8:AJ57)</f>
        <v>105</v>
      </c>
      <c r="AK58" s="61">
        <f t="shared" si="12"/>
        <v>104</v>
      </c>
      <c r="AL58" s="61">
        <f t="shared" si="12"/>
        <v>2</v>
      </c>
      <c r="AM58" s="61">
        <f t="shared" si="12"/>
        <v>0</v>
      </c>
      <c r="AN58" s="61">
        <f t="shared" si="12"/>
        <v>1</v>
      </c>
      <c r="AO58" s="61">
        <f t="shared" si="12"/>
        <v>0</v>
      </c>
      <c r="AP58" s="61">
        <f t="shared" si="12"/>
        <v>1</v>
      </c>
      <c r="AQ58" s="61">
        <f t="shared" si="12"/>
        <v>211</v>
      </c>
      <c r="AR58" s="62">
        <f t="shared" si="12"/>
        <v>832</v>
      </c>
    </row>
    <row r="59" ht="24.0" customHeight="1">
      <c r="A59" s="63" t="s">
        <v>170</v>
      </c>
      <c r="B59" s="39"/>
      <c r="C59" s="39"/>
      <c r="D59" s="43"/>
      <c r="E59" s="64">
        <f t="shared" ref="E59:AI59" si="13">IF(E$6="","",COUNTIF(E8:E57,"Đ"))</f>
        <v>3</v>
      </c>
      <c r="F59" s="64">
        <f t="shared" si="13"/>
        <v>3</v>
      </c>
      <c r="G59" s="64">
        <f t="shared" si="13"/>
        <v>3</v>
      </c>
      <c r="H59" s="64">
        <f t="shared" si="13"/>
        <v>4</v>
      </c>
      <c r="I59" s="64">
        <f t="shared" si="13"/>
        <v>4</v>
      </c>
      <c r="J59" s="64">
        <f t="shared" si="13"/>
        <v>4</v>
      </c>
      <c r="K59" s="64">
        <f t="shared" si="13"/>
        <v>3</v>
      </c>
      <c r="L59" s="64">
        <f t="shared" si="13"/>
        <v>3</v>
      </c>
      <c r="M59" s="64">
        <f t="shared" si="13"/>
        <v>3</v>
      </c>
      <c r="N59" s="64">
        <f t="shared" si="13"/>
        <v>3</v>
      </c>
      <c r="O59" s="64">
        <f t="shared" si="13"/>
        <v>4</v>
      </c>
      <c r="P59" s="64">
        <f t="shared" si="13"/>
        <v>4</v>
      </c>
      <c r="Q59" s="64">
        <f t="shared" si="13"/>
        <v>4</v>
      </c>
      <c r="R59" s="64">
        <f t="shared" si="13"/>
        <v>3</v>
      </c>
      <c r="S59" s="64">
        <f t="shared" si="13"/>
        <v>3</v>
      </c>
      <c r="T59" s="64">
        <f t="shared" si="13"/>
        <v>3</v>
      </c>
      <c r="U59" s="64">
        <f t="shared" si="13"/>
        <v>3</v>
      </c>
      <c r="V59" s="64">
        <f t="shared" si="13"/>
        <v>4</v>
      </c>
      <c r="W59" s="64">
        <f t="shared" si="13"/>
        <v>4</v>
      </c>
      <c r="X59" s="64">
        <f t="shared" si="13"/>
        <v>3</v>
      </c>
      <c r="Y59" s="64">
        <f t="shared" si="13"/>
        <v>3</v>
      </c>
      <c r="Z59" s="64">
        <f t="shared" si="13"/>
        <v>3</v>
      </c>
      <c r="AA59" s="64">
        <f t="shared" si="13"/>
        <v>3</v>
      </c>
      <c r="AB59" s="64">
        <f t="shared" si="13"/>
        <v>3</v>
      </c>
      <c r="AC59" s="64">
        <f t="shared" si="13"/>
        <v>4</v>
      </c>
      <c r="AD59" s="64">
        <f t="shared" si="13"/>
        <v>4</v>
      </c>
      <c r="AE59" s="64">
        <f t="shared" si="13"/>
        <v>4</v>
      </c>
      <c r="AF59" s="64">
        <f t="shared" si="13"/>
        <v>3</v>
      </c>
      <c r="AG59" s="64">
        <f t="shared" si="13"/>
        <v>3</v>
      </c>
      <c r="AH59" s="64">
        <f t="shared" si="13"/>
        <v>3</v>
      </c>
      <c r="AI59" s="64">
        <f t="shared" si="13"/>
        <v>3</v>
      </c>
      <c r="AJ59" s="64"/>
      <c r="AK59" s="64"/>
      <c r="AL59" s="64"/>
      <c r="AM59" s="64"/>
      <c r="AN59" s="64"/>
      <c r="AO59" s="64"/>
      <c r="AP59" s="64"/>
      <c r="AQ59" s="64"/>
      <c r="AR59" s="64"/>
    </row>
    <row r="60" ht="15.75" customHeight="1"/>
    <row r="61" ht="15.75" customHeight="1">
      <c r="B61" s="65" t="s">
        <v>171</v>
      </c>
    </row>
    <row r="62" ht="15.75" customHeight="1">
      <c r="E62" s="66" t="s">
        <v>28</v>
      </c>
      <c r="F62" s="67" t="s">
        <v>172</v>
      </c>
      <c r="I62" s="22" t="s">
        <v>30</v>
      </c>
      <c r="J62" s="67" t="s">
        <v>173</v>
      </c>
      <c r="M62" s="68" t="s">
        <v>32</v>
      </c>
      <c r="N62" s="67" t="s">
        <v>174</v>
      </c>
      <c r="Q62" s="68" t="s">
        <v>34</v>
      </c>
      <c r="R62" s="67" t="s">
        <v>175</v>
      </c>
      <c r="U62" s="68" t="s">
        <v>37</v>
      </c>
      <c r="V62" s="67" t="s">
        <v>176</v>
      </c>
      <c r="Y62" s="69" t="s">
        <v>39</v>
      </c>
      <c r="Z62" s="67" t="s">
        <v>177</v>
      </c>
      <c r="AC62" s="69" t="s">
        <v>41</v>
      </c>
      <c r="AD62" s="67" t="s">
        <v>178</v>
      </c>
    </row>
    <row r="63" ht="15.75" customHeight="1">
      <c r="E63" s="18" t="s">
        <v>179</v>
      </c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7">
    <mergeCell ref="AJ6:AJ7"/>
    <mergeCell ref="AK6:AK7"/>
    <mergeCell ref="AL6:AL7"/>
    <mergeCell ref="AM6:AM7"/>
    <mergeCell ref="AN6:AN7"/>
    <mergeCell ref="AO6:AO7"/>
    <mergeCell ref="AP6:AP7"/>
    <mergeCell ref="AQ6:AQ7"/>
    <mergeCell ref="A1:AR1"/>
    <mergeCell ref="A2:AR2"/>
    <mergeCell ref="E4:F4"/>
    <mergeCell ref="H4:O4"/>
    <mergeCell ref="P4:Q4"/>
    <mergeCell ref="A6:A7"/>
    <mergeCell ref="B6:B7"/>
    <mergeCell ref="AR6:AR7"/>
    <mergeCell ref="R62:T62"/>
    <mergeCell ref="V62:X62"/>
    <mergeCell ref="Z62:AB62"/>
    <mergeCell ref="AD62:AF62"/>
    <mergeCell ref="C6:C7"/>
    <mergeCell ref="D6:D7"/>
    <mergeCell ref="A58:D58"/>
    <mergeCell ref="A59:D59"/>
    <mergeCell ref="F62:H62"/>
    <mergeCell ref="J62:L62"/>
    <mergeCell ref="N62:P62"/>
  </mergeCells>
  <conditionalFormatting sqref="E8:AI57">
    <cfRule type="expression" dxfId="0" priority="1">
      <formula>OR(E8="K",E8="V")</formula>
    </cfRule>
  </conditionalFormatting>
  <conditionalFormatting sqref="E8:AI57">
    <cfRule type="expression" dxfId="1" priority="2">
      <formula>E8="Đ"</formula>
    </cfRule>
  </conditionalFormatting>
  <conditionalFormatting sqref="E8:AI57">
    <cfRule type="expression" dxfId="2" priority="3">
      <formula>E8="N"</formula>
    </cfRule>
  </conditionalFormatting>
  <conditionalFormatting sqref="E8:AI57">
    <cfRule type="expression" dxfId="3" priority="4">
      <formula>OR(E8="P",E8="L",E8="O")</formula>
    </cfRule>
  </conditionalFormatting>
  <conditionalFormatting sqref="E8:AI57">
    <cfRule type="expression" dxfId="4" priority="5">
      <formula>E$7="CN"</formula>
    </cfRule>
  </conditionalFormatting>
  <conditionalFormatting sqref="AP8:AP57">
    <cfRule type="expression" dxfId="5" priority="6">
      <formula>AND(ISNUMBER(AP8),AP8&gt;0)</formula>
    </cfRule>
  </conditionalFormatting>
  <dataValidations>
    <dataValidation type="list" allowBlank="1" showInputMessage="1" showErrorMessage="1" prompt="Ký hiệu - Chọn một trong: N, Đ, P, L, O, V, K." sqref="E8:AI57">
      <formula1>"N,Đ,P,L,O,V,K"</formula1>
    </dataValidation>
    <dataValidation type="decimal" allowBlank="1" showInputMessage="1" showErrorMessage="1" prompt="Tháng từ 1 đến 12." sqref="C4">
      <formula1>1.0</formula1>
      <formula2>12.0</formula2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40.0"/>
    <col customWidth="1" min="3" max="3" width="18.0"/>
    <col customWidth="1" min="4" max="4" width="3.0"/>
    <col customWidth="1" min="5" max="5" width="16.0"/>
    <col customWidth="1" min="6" max="6" width="20.0"/>
    <col customWidth="1" min="7" max="8" width="14.0"/>
    <col customWidth="1" min="9" max="9" width="3.0"/>
    <col customWidth="1" min="10" max="26" width="8.57"/>
  </cols>
  <sheetData>
    <row r="1" ht="33.75" customHeight="1">
      <c r="A1" s="1" t="s">
        <v>10</v>
      </c>
      <c r="B1" s="4"/>
      <c r="C1" s="4"/>
      <c r="D1" s="4"/>
      <c r="E1" s="4"/>
      <c r="F1" s="4"/>
      <c r="G1" s="4"/>
      <c r="H1" s="4"/>
      <c r="I1" s="5"/>
    </row>
    <row r="2" ht="19.5" customHeight="1">
      <c r="A2" s="7" t="s">
        <v>27</v>
      </c>
      <c r="B2" s="4"/>
      <c r="C2" s="4"/>
      <c r="D2" s="4"/>
      <c r="E2" s="4"/>
      <c r="F2" s="4"/>
      <c r="G2" s="4"/>
      <c r="H2" s="4"/>
      <c r="I2" s="5"/>
    </row>
    <row r="3">
      <c r="E3" s="21" t="s">
        <v>43</v>
      </c>
    </row>
    <row r="4" ht="33.75" customHeight="1">
      <c r="B4" s="22" t="s">
        <v>56</v>
      </c>
      <c r="C4" s="22" t="s">
        <v>64</v>
      </c>
      <c r="E4" s="22" t="s">
        <v>66</v>
      </c>
      <c r="F4" s="22" t="s">
        <v>67</v>
      </c>
      <c r="G4" s="22" t="s">
        <v>69</v>
      </c>
      <c r="H4" s="22" t="s">
        <v>71</v>
      </c>
    </row>
    <row r="5" ht="21.75" customHeight="1">
      <c r="B5" s="25" t="s">
        <v>75</v>
      </c>
      <c r="C5" s="27">
        <v>26.0</v>
      </c>
      <c r="E5" s="28">
        <v>1.0</v>
      </c>
      <c r="F5" s="30">
        <v>0.0</v>
      </c>
      <c r="G5" s="31">
        <v>0.05</v>
      </c>
      <c r="H5" s="33">
        <f>G5</f>
        <v>0.05</v>
      </c>
    </row>
    <row r="6" ht="21.75" customHeight="1">
      <c r="B6" s="25" t="s">
        <v>88</v>
      </c>
      <c r="C6" s="34">
        <v>8.0</v>
      </c>
      <c r="E6" s="28">
        <v>2.0</v>
      </c>
      <c r="F6" s="30">
        <v>1.0E7</v>
      </c>
      <c r="G6" s="31">
        <v>0.1</v>
      </c>
      <c r="H6" s="33">
        <f t="shared" ref="H6:H9" si="1">G6-G5</f>
        <v>0.05</v>
      </c>
    </row>
    <row r="7" ht="21.75" customHeight="1">
      <c r="B7" s="25" t="s">
        <v>107</v>
      </c>
      <c r="C7" s="34">
        <v>8.0</v>
      </c>
      <c r="E7" s="28">
        <v>3.0</v>
      </c>
      <c r="F7" s="30">
        <v>3.0E7</v>
      </c>
      <c r="G7" s="31">
        <v>0.2</v>
      </c>
      <c r="H7" s="33">
        <f t="shared" si="1"/>
        <v>0.1</v>
      </c>
    </row>
    <row r="8" ht="21.75" customHeight="1">
      <c r="B8" s="25" t="s">
        <v>108</v>
      </c>
      <c r="C8" s="35">
        <v>0.3</v>
      </c>
      <c r="E8" s="28">
        <v>4.0</v>
      </c>
      <c r="F8" s="30">
        <v>6.0E7</v>
      </c>
      <c r="G8" s="31">
        <v>0.3</v>
      </c>
      <c r="H8" s="33">
        <f t="shared" si="1"/>
        <v>0.1</v>
      </c>
    </row>
    <row r="9" ht="21.75" customHeight="1">
      <c r="B9" s="25" t="s">
        <v>109</v>
      </c>
      <c r="C9" s="34">
        <v>1.5</v>
      </c>
      <c r="E9" s="28">
        <v>5.0</v>
      </c>
      <c r="F9" s="30">
        <v>1.0E8</v>
      </c>
      <c r="G9" s="31">
        <v>0.35</v>
      </c>
      <c r="H9" s="33">
        <f t="shared" si="1"/>
        <v>0.05</v>
      </c>
    </row>
    <row r="10" ht="21.75" customHeight="1">
      <c r="B10" s="25" t="s">
        <v>110</v>
      </c>
      <c r="C10" s="34">
        <v>2.0</v>
      </c>
    </row>
    <row r="11" ht="21.75" customHeight="1">
      <c r="B11" s="25" t="s">
        <v>111</v>
      </c>
      <c r="C11" s="34">
        <v>3.0</v>
      </c>
    </row>
    <row r="12" ht="21.75" customHeight="1">
      <c r="B12" s="25" t="s">
        <v>112</v>
      </c>
      <c r="C12" s="37">
        <v>0.08</v>
      </c>
      <c r="E12" s="21" t="s">
        <v>113</v>
      </c>
    </row>
    <row r="13" ht="21.75" customHeight="1">
      <c r="B13" s="25" t="s">
        <v>114</v>
      </c>
      <c r="C13" s="37">
        <v>0.015</v>
      </c>
      <c r="E13" s="22" t="s">
        <v>115</v>
      </c>
      <c r="F13" s="38" t="s">
        <v>116</v>
      </c>
      <c r="G13" s="39"/>
      <c r="H13" s="19"/>
    </row>
    <row r="14" ht="21.75" customHeight="1">
      <c r="B14" s="25" t="s">
        <v>117</v>
      </c>
      <c r="C14" s="37">
        <v>0.01</v>
      </c>
      <c r="E14" s="41">
        <v>46023.0</v>
      </c>
      <c r="F14" s="42" t="s">
        <v>118</v>
      </c>
      <c r="G14" s="39"/>
      <c r="H14" s="43"/>
    </row>
    <row r="15" ht="21.75" customHeight="1">
      <c r="B15" s="25" t="s">
        <v>119</v>
      </c>
      <c r="C15" s="44">
        <v>5.06E7</v>
      </c>
      <c r="E15" s="41">
        <v>46142.0</v>
      </c>
      <c r="F15" s="42" t="s">
        <v>120</v>
      </c>
      <c r="G15" s="39"/>
      <c r="H15" s="43"/>
    </row>
    <row r="16" ht="21.75" customHeight="1">
      <c r="B16" s="25" t="s">
        <v>121</v>
      </c>
      <c r="C16" s="44">
        <v>1.55E7</v>
      </c>
      <c r="E16" s="41">
        <v>46143.0</v>
      </c>
      <c r="F16" s="42" t="s">
        <v>122</v>
      </c>
      <c r="G16" s="39"/>
      <c r="H16" s="43"/>
    </row>
    <row r="17" ht="21.75" customHeight="1">
      <c r="B17" s="25" t="s">
        <v>123</v>
      </c>
      <c r="C17" s="44">
        <v>6200000.0</v>
      </c>
      <c r="E17" s="41">
        <v>46266.0</v>
      </c>
      <c r="F17" s="42" t="s">
        <v>124</v>
      </c>
      <c r="G17" s="39"/>
      <c r="H17" s="43"/>
    </row>
    <row r="18" ht="21.75" customHeight="1">
      <c r="B18" s="25" t="s">
        <v>125</v>
      </c>
      <c r="C18" s="44">
        <v>730000.0</v>
      </c>
      <c r="E18" s="41">
        <v>46267.0</v>
      </c>
      <c r="F18" s="42" t="s">
        <v>126</v>
      </c>
      <c r="G18" s="39"/>
      <c r="H18" s="43"/>
    </row>
    <row r="19" ht="21.75" customHeight="1">
      <c r="B19" s="25" t="s">
        <v>127</v>
      </c>
      <c r="C19" s="27">
        <v>1.0</v>
      </c>
      <c r="E19" s="41"/>
      <c r="F19" s="42"/>
      <c r="G19" s="39"/>
      <c r="H19" s="43"/>
    </row>
    <row r="20" ht="21.75" customHeight="1">
      <c r="B20" s="25" t="s">
        <v>128</v>
      </c>
      <c r="C20" s="44">
        <v>5310000.0</v>
      </c>
      <c r="E20" s="41"/>
      <c r="F20" s="42"/>
      <c r="G20" s="39"/>
      <c r="H20" s="43"/>
    </row>
    <row r="21" ht="15.75" customHeight="1">
      <c r="E21" s="41"/>
      <c r="F21" s="42"/>
      <c r="G21" s="39"/>
      <c r="H21" s="43"/>
    </row>
    <row r="22" ht="21.75" customHeight="1">
      <c r="B22" s="25" t="s">
        <v>129</v>
      </c>
      <c r="C22" s="47">
        <f>C12+C13+C14</f>
        <v>0.105</v>
      </c>
      <c r="E22" s="41"/>
      <c r="F22" s="42"/>
      <c r="G22" s="39"/>
      <c r="H22" s="43"/>
    </row>
    <row r="23" ht="15.75" customHeight="1">
      <c r="E23" s="41"/>
      <c r="F23" s="42"/>
      <c r="G23" s="39"/>
      <c r="H23" s="43"/>
    </row>
    <row r="24" ht="15.75" customHeight="1">
      <c r="E24" s="41"/>
      <c r="F24" s="42"/>
      <c r="G24" s="39"/>
      <c r="H24" s="43"/>
    </row>
    <row r="25" ht="15.75" customHeight="1">
      <c r="E25" s="41"/>
      <c r="F25" s="42"/>
      <c r="G25" s="39"/>
      <c r="H25" s="43"/>
    </row>
    <row r="26" ht="15.75" customHeight="1">
      <c r="E26" s="41"/>
      <c r="F26" s="42"/>
      <c r="G26" s="39"/>
      <c r="H26" s="43"/>
    </row>
    <row r="27" ht="15.75" customHeight="1">
      <c r="E27" s="41"/>
      <c r="F27" s="42"/>
      <c r="G27" s="39"/>
      <c r="H27" s="43"/>
    </row>
    <row r="28" ht="15.75" customHeight="1">
      <c r="E28" s="41"/>
      <c r="F28" s="42"/>
      <c r="G28" s="39"/>
      <c r="H28" s="43"/>
    </row>
    <row r="29" ht="15.75" customHeight="1">
      <c r="E29" s="41"/>
      <c r="F29" s="42"/>
      <c r="G29" s="39"/>
      <c r="H29" s="43"/>
    </row>
    <row r="30" ht="15.75" customHeight="1">
      <c r="E30" s="41"/>
      <c r="F30" s="42"/>
      <c r="G30" s="39"/>
      <c r="H30" s="43"/>
    </row>
    <row r="31" ht="15.75" customHeight="1">
      <c r="E31" s="41"/>
      <c r="F31" s="42"/>
      <c r="G31" s="39"/>
      <c r="H31" s="43"/>
    </row>
    <row r="32" ht="15.75" customHeight="1">
      <c r="E32" s="41"/>
      <c r="F32" s="42"/>
      <c r="G32" s="39"/>
      <c r="H32" s="43"/>
    </row>
    <row r="33" ht="15.75" customHeight="1">
      <c r="E33" s="41"/>
      <c r="F33" s="42"/>
      <c r="G33" s="39"/>
      <c r="H33" s="43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A1:I1"/>
    <mergeCell ref="A2:I2"/>
    <mergeCell ref="E3:H3"/>
    <mergeCell ref="E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30:H30"/>
    <mergeCell ref="F31:H31"/>
    <mergeCell ref="F32:H32"/>
    <mergeCell ref="F33:H33"/>
    <mergeCell ref="F23:H23"/>
    <mergeCell ref="F24:H24"/>
    <mergeCell ref="F25:H25"/>
    <mergeCell ref="F26:H26"/>
    <mergeCell ref="F27:H27"/>
    <mergeCell ref="F28:H28"/>
    <mergeCell ref="F29:H29"/>
  </mergeCells>
  <dataValidations>
    <dataValidation type="list" allowBlank="1" sqref="C19">
      <formula1>"0,1"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.0"/>
    <col customWidth="1" min="2" max="2" width="11.0"/>
    <col customWidth="1" min="3" max="3" width="26.0"/>
    <col customWidth="1" min="4" max="4" width="20.0"/>
    <col customWidth="1" min="5" max="5" width="16.0"/>
    <col customWidth="1" min="6" max="7" width="18.0"/>
    <col customWidth="1" min="8" max="8" width="16.0"/>
    <col customWidth="1" min="9" max="9" width="18.0"/>
    <col customWidth="1" min="10" max="10" width="14.0"/>
    <col customWidth="1" min="11" max="26" width="8.57"/>
  </cols>
  <sheetData>
    <row r="1" ht="33.75" customHeight="1">
      <c r="A1" s="1" t="s">
        <v>130</v>
      </c>
      <c r="B1" s="4"/>
      <c r="C1" s="4"/>
      <c r="D1" s="4"/>
      <c r="E1" s="4"/>
      <c r="F1" s="4"/>
      <c r="G1" s="4"/>
      <c r="H1" s="4"/>
      <c r="I1" s="4"/>
      <c r="J1" s="5"/>
    </row>
    <row r="2" ht="19.5" customHeight="1">
      <c r="A2" s="7" t="s">
        <v>131</v>
      </c>
      <c r="B2" s="4"/>
      <c r="C2" s="4"/>
      <c r="D2" s="4"/>
      <c r="E2" s="4"/>
      <c r="F2" s="4"/>
      <c r="G2" s="4"/>
      <c r="H2" s="4"/>
      <c r="I2" s="4"/>
      <c r="J2" s="5"/>
    </row>
    <row r="4" ht="39.75" customHeight="1">
      <c r="A4" s="22" t="s">
        <v>76</v>
      </c>
      <c r="B4" s="22" t="s">
        <v>80</v>
      </c>
      <c r="C4" s="22" t="s">
        <v>81</v>
      </c>
      <c r="D4" s="22" t="s">
        <v>82</v>
      </c>
      <c r="E4" s="22" t="s">
        <v>83</v>
      </c>
      <c r="F4" s="22" t="s">
        <v>132</v>
      </c>
      <c r="G4" s="22" t="s">
        <v>133</v>
      </c>
      <c r="H4" s="22" t="s">
        <v>134</v>
      </c>
      <c r="I4" s="22" t="s">
        <v>135</v>
      </c>
      <c r="J4" s="22" t="s">
        <v>136</v>
      </c>
    </row>
    <row r="5" ht="19.5" customHeight="1">
      <c r="A5" s="28">
        <v>1.0</v>
      </c>
      <c r="B5" s="52" t="s">
        <v>137</v>
      </c>
      <c r="C5" s="52" t="s">
        <v>138</v>
      </c>
      <c r="D5" s="52" t="s">
        <v>139</v>
      </c>
      <c r="E5" s="52" t="s">
        <v>140</v>
      </c>
      <c r="F5" s="48">
        <v>7500000.0</v>
      </c>
      <c r="G5" s="48">
        <v>800000.0</v>
      </c>
      <c r="H5" s="48">
        <v>30000.0</v>
      </c>
      <c r="I5" s="48">
        <v>8300000.0</v>
      </c>
      <c r="J5" s="53">
        <v>1.0</v>
      </c>
    </row>
    <row r="6" ht="19.5" customHeight="1">
      <c r="A6" s="28">
        <v>2.0</v>
      </c>
      <c r="B6" s="52" t="s">
        <v>141</v>
      </c>
      <c r="C6" s="52" t="s">
        <v>142</v>
      </c>
      <c r="D6" s="52" t="s">
        <v>139</v>
      </c>
      <c r="E6" s="52" t="s">
        <v>143</v>
      </c>
      <c r="F6" s="48">
        <v>6800000.0</v>
      </c>
      <c r="G6" s="48">
        <v>0.0</v>
      </c>
      <c r="H6" s="48">
        <v>30000.0</v>
      </c>
      <c r="I6" s="48">
        <v>6800000.0</v>
      </c>
      <c r="J6" s="53">
        <v>0.0</v>
      </c>
    </row>
    <row r="7" ht="19.5" customHeight="1">
      <c r="A7" s="28">
        <v>3.0</v>
      </c>
      <c r="B7" s="52" t="s">
        <v>144</v>
      </c>
      <c r="C7" s="52" t="s">
        <v>145</v>
      </c>
      <c r="D7" s="52" t="s">
        <v>146</v>
      </c>
      <c r="E7" s="52" t="s">
        <v>143</v>
      </c>
      <c r="F7" s="48">
        <v>6800000.0</v>
      </c>
      <c r="G7" s="48">
        <v>0.0</v>
      </c>
      <c r="H7" s="48">
        <v>30000.0</v>
      </c>
      <c r="I7" s="48">
        <v>6800000.0</v>
      </c>
      <c r="J7" s="53">
        <v>2.0</v>
      </c>
    </row>
    <row r="8" ht="19.5" customHeight="1">
      <c r="A8" s="28">
        <v>4.0</v>
      </c>
      <c r="B8" s="52" t="s">
        <v>147</v>
      </c>
      <c r="C8" s="52" t="s">
        <v>148</v>
      </c>
      <c r="D8" s="52" t="s">
        <v>149</v>
      </c>
      <c r="E8" s="52" t="s">
        <v>143</v>
      </c>
      <c r="F8" s="48">
        <v>6800000.0</v>
      </c>
      <c r="G8" s="48">
        <v>0.0</v>
      </c>
      <c r="H8" s="48">
        <v>30000.0</v>
      </c>
      <c r="I8" s="48">
        <v>6800000.0</v>
      </c>
      <c r="J8" s="53">
        <v>0.0</v>
      </c>
    </row>
    <row r="9" ht="19.5" customHeight="1">
      <c r="A9" s="28">
        <v>5.0</v>
      </c>
      <c r="B9" s="52" t="s">
        <v>150</v>
      </c>
      <c r="C9" s="52" t="s">
        <v>151</v>
      </c>
      <c r="D9" s="52" t="s">
        <v>139</v>
      </c>
      <c r="E9" s="52" t="s">
        <v>143</v>
      </c>
      <c r="F9" s="48">
        <v>6800000.0</v>
      </c>
      <c r="G9" s="48">
        <v>0.0</v>
      </c>
      <c r="H9" s="48">
        <v>30000.0</v>
      </c>
      <c r="I9" s="48">
        <v>6800000.0</v>
      </c>
      <c r="J9" s="53">
        <v>1.0</v>
      </c>
    </row>
    <row r="10" ht="19.5" customHeight="1">
      <c r="A10" s="28">
        <v>6.0</v>
      </c>
      <c r="B10" s="52" t="s">
        <v>152</v>
      </c>
      <c r="C10" s="52" t="s">
        <v>153</v>
      </c>
      <c r="D10" s="52" t="s">
        <v>146</v>
      </c>
      <c r="E10" s="52" t="s">
        <v>143</v>
      </c>
      <c r="F10" s="48">
        <v>6800000.0</v>
      </c>
      <c r="G10" s="48">
        <v>0.0</v>
      </c>
      <c r="H10" s="48">
        <v>30000.0</v>
      </c>
      <c r="I10" s="48">
        <v>6800000.0</v>
      </c>
      <c r="J10" s="53">
        <v>0.0</v>
      </c>
    </row>
    <row r="11" ht="19.5" customHeight="1">
      <c r="A11" s="28">
        <v>7.0</v>
      </c>
      <c r="B11" s="52" t="s">
        <v>154</v>
      </c>
      <c r="C11" s="52" t="s">
        <v>155</v>
      </c>
      <c r="D11" s="52" t="s">
        <v>149</v>
      </c>
      <c r="E11" s="52" t="s">
        <v>143</v>
      </c>
      <c r="F11" s="48">
        <v>6800000.0</v>
      </c>
      <c r="G11" s="48">
        <v>0.0</v>
      </c>
      <c r="H11" s="48">
        <v>30000.0</v>
      </c>
      <c r="I11" s="48">
        <v>6800000.0</v>
      </c>
      <c r="J11" s="53">
        <v>0.0</v>
      </c>
    </row>
    <row r="12" ht="19.5" customHeight="1">
      <c r="A12" s="28">
        <v>8.0</v>
      </c>
      <c r="B12" s="52" t="s">
        <v>156</v>
      </c>
      <c r="C12" s="52" t="s">
        <v>157</v>
      </c>
      <c r="D12" s="52" t="s">
        <v>158</v>
      </c>
      <c r="E12" s="52" t="s">
        <v>159</v>
      </c>
      <c r="F12" s="48">
        <v>7200000.0</v>
      </c>
      <c r="G12" s="48">
        <v>500000.0</v>
      </c>
      <c r="H12" s="48">
        <v>30000.0</v>
      </c>
      <c r="I12" s="48">
        <v>7700000.0</v>
      </c>
      <c r="J12" s="53">
        <v>2.0</v>
      </c>
    </row>
    <row r="13" ht="19.5" customHeight="1">
      <c r="A13" s="28">
        <v>9.0</v>
      </c>
      <c r="B13" s="52"/>
      <c r="C13" s="52"/>
      <c r="D13" s="52"/>
      <c r="E13" s="52"/>
      <c r="F13" s="48"/>
      <c r="G13" s="48"/>
      <c r="H13" s="48"/>
      <c r="I13" s="48"/>
      <c r="J13" s="53"/>
    </row>
    <row r="14" ht="19.5" customHeight="1">
      <c r="A14" s="28">
        <v>10.0</v>
      </c>
      <c r="B14" s="52"/>
      <c r="C14" s="52"/>
      <c r="D14" s="52"/>
      <c r="E14" s="52"/>
      <c r="F14" s="48"/>
      <c r="G14" s="48"/>
      <c r="H14" s="48"/>
      <c r="I14" s="48"/>
      <c r="J14" s="53"/>
    </row>
    <row r="15" ht="19.5" customHeight="1">
      <c r="A15" s="28">
        <v>11.0</v>
      </c>
      <c r="B15" s="52"/>
      <c r="C15" s="52"/>
      <c r="D15" s="52"/>
      <c r="E15" s="52"/>
      <c r="F15" s="48"/>
      <c r="G15" s="48"/>
      <c r="H15" s="48"/>
      <c r="I15" s="48"/>
      <c r="J15" s="53"/>
    </row>
    <row r="16" ht="19.5" customHeight="1">
      <c r="A16" s="28">
        <v>12.0</v>
      </c>
      <c r="B16" s="52"/>
      <c r="C16" s="52"/>
      <c r="D16" s="52"/>
      <c r="E16" s="52"/>
      <c r="F16" s="48"/>
      <c r="G16" s="48"/>
      <c r="H16" s="48"/>
      <c r="I16" s="48"/>
      <c r="J16" s="53"/>
    </row>
    <row r="17" ht="19.5" customHeight="1">
      <c r="A17" s="28">
        <v>13.0</v>
      </c>
      <c r="B17" s="52"/>
      <c r="C17" s="52"/>
      <c r="D17" s="52"/>
      <c r="E17" s="52"/>
      <c r="F17" s="48"/>
      <c r="G17" s="48"/>
      <c r="H17" s="48"/>
      <c r="I17" s="48"/>
      <c r="J17" s="53"/>
    </row>
    <row r="18" ht="19.5" customHeight="1">
      <c r="A18" s="28">
        <v>14.0</v>
      </c>
      <c r="B18" s="52"/>
      <c r="C18" s="52"/>
      <c r="D18" s="52"/>
      <c r="E18" s="52"/>
      <c r="F18" s="48"/>
      <c r="G18" s="48"/>
      <c r="H18" s="48"/>
      <c r="I18" s="48"/>
      <c r="J18" s="53"/>
    </row>
    <row r="19" ht="19.5" customHeight="1">
      <c r="A19" s="28">
        <v>15.0</v>
      </c>
      <c r="B19" s="52"/>
      <c r="C19" s="52"/>
      <c r="D19" s="52"/>
      <c r="E19" s="52"/>
      <c r="F19" s="48"/>
      <c r="G19" s="48"/>
      <c r="H19" s="48"/>
      <c r="I19" s="48"/>
      <c r="J19" s="53"/>
    </row>
    <row r="20" ht="19.5" customHeight="1">
      <c r="A20" s="28">
        <v>16.0</v>
      </c>
      <c r="B20" s="52"/>
      <c r="C20" s="52"/>
      <c r="D20" s="52"/>
      <c r="E20" s="52"/>
      <c r="F20" s="48"/>
      <c r="G20" s="48"/>
      <c r="H20" s="48"/>
      <c r="I20" s="48"/>
      <c r="J20" s="53"/>
    </row>
    <row r="21" ht="19.5" customHeight="1">
      <c r="A21" s="28">
        <v>17.0</v>
      </c>
      <c r="B21" s="52"/>
      <c r="C21" s="52"/>
      <c r="D21" s="52"/>
      <c r="E21" s="52"/>
      <c r="F21" s="48"/>
      <c r="G21" s="48"/>
      <c r="H21" s="48"/>
      <c r="I21" s="48"/>
      <c r="J21" s="53"/>
    </row>
    <row r="22" ht="19.5" customHeight="1">
      <c r="A22" s="28">
        <v>18.0</v>
      </c>
      <c r="B22" s="52"/>
      <c r="C22" s="52"/>
      <c r="D22" s="52"/>
      <c r="E22" s="52"/>
      <c r="F22" s="48"/>
      <c r="G22" s="48"/>
      <c r="H22" s="48"/>
      <c r="I22" s="48"/>
      <c r="J22" s="53"/>
    </row>
    <row r="23" ht="19.5" customHeight="1">
      <c r="A23" s="28">
        <v>19.0</v>
      </c>
      <c r="B23" s="52"/>
      <c r="C23" s="52"/>
      <c r="D23" s="52"/>
      <c r="E23" s="52"/>
      <c r="F23" s="48"/>
      <c r="G23" s="48"/>
      <c r="H23" s="48"/>
      <c r="I23" s="48"/>
      <c r="J23" s="53"/>
    </row>
    <row r="24" ht="19.5" customHeight="1">
      <c r="A24" s="28">
        <v>20.0</v>
      </c>
      <c r="B24" s="52"/>
      <c r="C24" s="52"/>
      <c r="D24" s="52"/>
      <c r="E24" s="52"/>
      <c r="F24" s="48"/>
      <c r="G24" s="48"/>
      <c r="H24" s="48"/>
      <c r="I24" s="48"/>
      <c r="J24" s="53"/>
    </row>
    <row r="25" ht="19.5" customHeight="1">
      <c r="A25" s="28">
        <v>21.0</v>
      </c>
      <c r="B25" s="52"/>
      <c r="C25" s="52"/>
      <c r="D25" s="52"/>
      <c r="E25" s="52"/>
      <c r="F25" s="48"/>
      <c r="G25" s="48"/>
      <c r="H25" s="48"/>
      <c r="I25" s="48"/>
      <c r="J25" s="53"/>
    </row>
    <row r="26" ht="19.5" customHeight="1">
      <c r="A26" s="28">
        <v>22.0</v>
      </c>
      <c r="B26" s="52"/>
      <c r="C26" s="52"/>
      <c r="D26" s="52"/>
      <c r="E26" s="52"/>
      <c r="F26" s="48"/>
      <c r="G26" s="48"/>
      <c r="H26" s="48"/>
      <c r="I26" s="48"/>
      <c r="J26" s="53"/>
    </row>
    <row r="27" ht="19.5" customHeight="1">
      <c r="A27" s="28">
        <v>23.0</v>
      </c>
      <c r="B27" s="52"/>
      <c r="C27" s="52"/>
      <c r="D27" s="52"/>
      <c r="E27" s="52"/>
      <c r="F27" s="48"/>
      <c r="G27" s="48"/>
      <c r="H27" s="48"/>
      <c r="I27" s="48"/>
      <c r="J27" s="53"/>
    </row>
    <row r="28" ht="19.5" customHeight="1">
      <c r="A28" s="28">
        <v>24.0</v>
      </c>
      <c r="B28" s="52"/>
      <c r="C28" s="52"/>
      <c r="D28" s="52"/>
      <c r="E28" s="52"/>
      <c r="F28" s="48"/>
      <c r="G28" s="48"/>
      <c r="H28" s="48"/>
      <c r="I28" s="48"/>
      <c r="J28" s="53"/>
    </row>
    <row r="29" ht="19.5" customHeight="1">
      <c r="A29" s="28">
        <v>25.0</v>
      </c>
      <c r="B29" s="52"/>
      <c r="C29" s="52"/>
      <c r="D29" s="52"/>
      <c r="E29" s="52"/>
      <c r="F29" s="48"/>
      <c r="G29" s="48"/>
      <c r="H29" s="48"/>
      <c r="I29" s="48"/>
      <c r="J29" s="53"/>
    </row>
    <row r="30" ht="19.5" customHeight="1">
      <c r="A30" s="28">
        <v>26.0</v>
      </c>
      <c r="B30" s="52"/>
      <c r="C30" s="52"/>
      <c r="D30" s="52"/>
      <c r="E30" s="52"/>
      <c r="F30" s="48"/>
      <c r="G30" s="48"/>
      <c r="H30" s="48"/>
      <c r="I30" s="48"/>
      <c r="J30" s="53"/>
    </row>
    <row r="31" ht="19.5" customHeight="1">
      <c r="A31" s="28">
        <v>27.0</v>
      </c>
      <c r="B31" s="52"/>
      <c r="C31" s="52"/>
      <c r="D31" s="52"/>
      <c r="E31" s="52"/>
      <c r="F31" s="48"/>
      <c r="G31" s="48"/>
      <c r="H31" s="48"/>
      <c r="I31" s="48"/>
      <c r="J31" s="53"/>
    </row>
    <row r="32" ht="19.5" customHeight="1">
      <c r="A32" s="28">
        <v>28.0</v>
      </c>
      <c r="B32" s="52"/>
      <c r="C32" s="52"/>
      <c r="D32" s="52"/>
      <c r="E32" s="52"/>
      <c r="F32" s="48"/>
      <c r="G32" s="48"/>
      <c r="H32" s="48"/>
      <c r="I32" s="48"/>
      <c r="J32" s="53"/>
    </row>
    <row r="33" ht="19.5" customHeight="1">
      <c r="A33" s="28">
        <v>29.0</v>
      </c>
      <c r="B33" s="52"/>
      <c r="C33" s="52"/>
      <c r="D33" s="52"/>
      <c r="E33" s="52"/>
      <c r="F33" s="48"/>
      <c r="G33" s="48"/>
      <c r="H33" s="48"/>
      <c r="I33" s="48"/>
      <c r="J33" s="53"/>
    </row>
    <row r="34" ht="19.5" customHeight="1">
      <c r="A34" s="28">
        <v>30.0</v>
      </c>
      <c r="B34" s="52"/>
      <c r="C34" s="52"/>
      <c r="D34" s="52"/>
      <c r="E34" s="52"/>
      <c r="F34" s="48"/>
      <c r="G34" s="48"/>
      <c r="H34" s="48"/>
      <c r="I34" s="48"/>
      <c r="J34" s="53"/>
    </row>
    <row r="35" ht="19.5" customHeight="1">
      <c r="A35" s="28">
        <v>31.0</v>
      </c>
      <c r="B35" s="52"/>
      <c r="C35" s="52"/>
      <c r="D35" s="52"/>
      <c r="E35" s="52"/>
      <c r="F35" s="48"/>
      <c r="G35" s="48"/>
      <c r="H35" s="48"/>
      <c r="I35" s="48"/>
      <c r="J35" s="53"/>
    </row>
    <row r="36" ht="19.5" customHeight="1">
      <c r="A36" s="28">
        <v>32.0</v>
      </c>
      <c r="B36" s="52"/>
      <c r="C36" s="52"/>
      <c r="D36" s="52"/>
      <c r="E36" s="52"/>
      <c r="F36" s="48"/>
      <c r="G36" s="48"/>
      <c r="H36" s="48"/>
      <c r="I36" s="48"/>
      <c r="J36" s="53"/>
    </row>
    <row r="37" ht="19.5" customHeight="1">
      <c r="A37" s="28">
        <v>33.0</v>
      </c>
      <c r="B37" s="52"/>
      <c r="C37" s="52"/>
      <c r="D37" s="52"/>
      <c r="E37" s="52"/>
      <c r="F37" s="48"/>
      <c r="G37" s="48"/>
      <c r="H37" s="48"/>
      <c r="I37" s="48"/>
      <c r="J37" s="53"/>
    </row>
    <row r="38" ht="19.5" customHeight="1">
      <c r="A38" s="28">
        <v>34.0</v>
      </c>
      <c r="B38" s="52"/>
      <c r="C38" s="52"/>
      <c r="D38" s="52"/>
      <c r="E38" s="52"/>
      <c r="F38" s="48"/>
      <c r="G38" s="48"/>
      <c r="H38" s="48"/>
      <c r="I38" s="48"/>
      <c r="J38" s="53"/>
    </row>
    <row r="39" ht="19.5" customHeight="1">
      <c r="A39" s="28">
        <v>35.0</v>
      </c>
      <c r="B39" s="52"/>
      <c r="C39" s="52"/>
      <c r="D39" s="52"/>
      <c r="E39" s="52"/>
      <c r="F39" s="48"/>
      <c r="G39" s="48"/>
      <c r="H39" s="48"/>
      <c r="I39" s="48"/>
      <c r="J39" s="53"/>
    </row>
    <row r="40" ht="19.5" customHeight="1">
      <c r="A40" s="28">
        <v>36.0</v>
      </c>
      <c r="B40" s="52"/>
      <c r="C40" s="52"/>
      <c r="D40" s="52"/>
      <c r="E40" s="52"/>
      <c r="F40" s="48"/>
      <c r="G40" s="48"/>
      <c r="H40" s="48"/>
      <c r="I40" s="48"/>
      <c r="J40" s="53"/>
    </row>
    <row r="41" ht="19.5" customHeight="1">
      <c r="A41" s="28">
        <v>37.0</v>
      </c>
      <c r="B41" s="52"/>
      <c r="C41" s="52"/>
      <c r="D41" s="52"/>
      <c r="E41" s="52"/>
      <c r="F41" s="48"/>
      <c r="G41" s="48"/>
      <c r="H41" s="48"/>
      <c r="I41" s="48"/>
      <c r="J41" s="53"/>
    </row>
    <row r="42" ht="19.5" customHeight="1">
      <c r="A42" s="28">
        <v>38.0</v>
      </c>
      <c r="B42" s="52"/>
      <c r="C42" s="52"/>
      <c r="D42" s="52"/>
      <c r="E42" s="52"/>
      <c r="F42" s="48"/>
      <c r="G42" s="48"/>
      <c r="H42" s="48"/>
      <c r="I42" s="48"/>
      <c r="J42" s="53"/>
    </row>
    <row r="43" ht="19.5" customHeight="1">
      <c r="A43" s="28">
        <v>39.0</v>
      </c>
      <c r="B43" s="52"/>
      <c r="C43" s="52"/>
      <c r="D43" s="52"/>
      <c r="E43" s="52"/>
      <c r="F43" s="48"/>
      <c r="G43" s="48"/>
      <c r="H43" s="48"/>
      <c r="I43" s="48"/>
      <c r="J43" s="53"/>
    </row>
    <row r="44" ht="19.5" customHeight="1">
      <c r="A44" s="28">
        <v>40.0</v>
      </c>
      <c r="B44" s="52"/>
      <c r="C44" s="52"/>
      <c r="D44" s="52"/>
      <c r="E44" s="52"/>
      <c r="F44" s="48"/>
      <c r="G44" s="48"/>
      <c r="H44" s="48"/>
      <c r="I44" s="48"/>
      <c r="J44" s="53"/>
    </row>
    <row r="45" ht="19.5" customHeight="1">
      <c r="A45" s="28">
        <v>41.0</v>
      </c>
      <c r="B45" s="52"/>
      <c r="C45" s="52"/>
      <c r="D45" s="52"/>
      <c r="E45" s="52"/>
      <c r="F45" s="48"/>
      <c r="G45" s="48"/>
      <c r="H45" s="48"/>
      <c r="I45" s="48"/>
      <c r="J45" s="53"/>
    </row>
    <row r="46" ht="19.5" customHeight="1">
      <c r="A46" s="28">
        <v>42.0</v>
      </c>
      <c r="B46" s="52"/>
      <c r="C46" s="52"/>
      <c r="D46" s="52"/>
      <c r="E46" s="52"/>
      <c r="F46" s="48"/>
      <c r="G46" s="48"/>
      <c r="H46" s="48"/>
      <c r="I46" s="48"/>
      <c r="J46" s="53"/>
    </row>
    <row r="47" ht="19.5" customHeight="1">
      <c r="A47" s="28">
        <v>43.0</v>
      </c>
      <c r="B47" s="52"/>
      <c r="C47" s="52"/>
      <c r="D47" s="52"/>
      <c r="E47" s="52"/>
      <c r="F47" s="48"/>
      <c r="G47" s="48"/>
      <c r="H47" s="48"/>
      <c r="I47" s="48"/>
      <c r="J47" s="53"/>
    </row>
    <row r="48" ht="19.5" customHeight="1">
      <c r="A48" s="28">
        <v>44.0</v>
      </c>
      <c r="B48" s="52"/>
      <c r="C48" s="52"/>
      <c r="D48" s="52"/>
      <c r="E48" s="52"/>
      <c r="F48" s="48"/>
      <c r="G48" s="48"/>
      <c r="H48" s="48"/>
      <c r="I48" s="48"/>
      <c r="J48" s="53"/>
    </row>
    <row r="49" ht="19.5" customHeight="1">
      <c r="A49" s="28">
        <v>45.0</v>
      </c>
      <c r="B49" s="52"/>
      <c r="C49" s="52"/>
      <c r="D49" s="52"/>
      <c r="E49" s="52"/>
      <c r="F49" s="48"/>
      <c r="G49" s="48"/>
      <c r="H49" s="48"/>
      <c r="I49" s="48"/>
      <c r="J49" s="53"/>
    </row>
    <row r="50" ht="19.5" customHeight="1">
      <c r="A50" s="28">
        <v>46.0</v>
      </c>
      <c r="B50" s="52"/>
      <c r="C50" s="52"/>
      <c r="D50" s="52"/>
      <c r="E50" s="52"/>
      <c r="F50" s="48"/>
      <c r="G50" s="48"/>
      <c r="H50" s="48"/>
      <c r="I50" s="48"/>
      <c r="J50" s="53"/>
    </row>
    <row r="51" ht="19.5" customHeight="1">
      <c r="A51" s="28">
        <v>47.0</v>
      </c>
      <c r="B51" s="52"/>
      <c r="C51" s="52"/>
      <c r="D51" s="52"/>
      <c r="E51" s="52"/>
      <c r="F51" s="48"/>
      <c r="G51" s="48"/>
      <c r="H51" s="48"/>
      <c r="I51" s="48"/>
      <c r="J51" s="53"/>
    </row>
    <row r="52" ht="19.5" customHeight="1">
      <c r="A52" s="28">
        <v>48.0</v>
      </c>
      <c r="B52" s="52"/>
      <c r="C52" s="52"/>
      <c r="D52" s="52"/>
      <c r="E52" s="52"/>
      <c r="F52" s="48"/>
      <c r="G52" s="48"/>
      <c r="H52" s="48"/>
      <c r="I52" s="48"/>
      <c r="J52" s="53"/>
    </row>
    <row r="53" ht="19.5" customHeight="1">
      <c r="A53" s="28">
        <v>49.0</v>
      </c>
      <c r="B53" s="52"/>
      <c r="C53" s="52"/>
      <c r="D53" s="52"/>
      <c r="E53" s="52"/>
      <c r="F53" s="48"/>
      <c r="G53" s="48"/>
      <c r="H53" s="48"/>
      <c r="I53" s="48"/>
      <c r="J53" s="53"/>
    </row>
    <row r="54" ht="19.5" customHeight="1">
      <c r="A54" s="28">
        <v>50.0</v>
      </c>
      <c r="B54" s="52"/>
      <c r="C54" s="52"/>
      <c r="D54" s="52"/>
      <c r="E54" s="52"/>
      <c r="F54" s="48"/>
      <c r="G54" s="48"/>
      <c r="H54" s="48"/>
      <c r="I54" s="48"/>
      <c r="J54" s="53"/>
    </row>
    <row r="55" ht="15.75" customHeight="1"/>
    <row r="56" ht="15.75" customHeight="1">
      <c r="B56" s="18" t="s">
        <v>168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2026-10-27T07:35:00Z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