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ile\1. pSEO\"/>
    </mc:Choice>
  </mc:AlternateContent>
  <xr:revisionPtr revIDLastSave="0" documentId="13_ncr:1_{6FC87AB5-5F3C-49FC-8D0F-97FA55EA888D}" xr6:coauthVersionLast="47" xr6:coauthVersionMax="47" xr10:uidLastSave="{00000000-0000-0000-0000-000000000000}"/>
  <bookViews>
    <workbookView xWindow="-120" yWindow="-120" windowWidth="29040" windowHeight="15720" tabRatio="500" activeTab="5" xr2:uid="{00000000-000D-0000-FFFF-FFFF00000000}"/>
  </bookViews>
  <sheets>
    <sheet name="Hướng dẫn" sheetId="1" r:id="rId1"/>
    <sheet name="Cấu hình" sheetId="2" r:id="rId2"/>
    <sheet name="Nhập liệu" sheetId="3" r:id="rId3"/>
    <sheet name="Bảng lương" sheetId="4" r:id="rId4"/>
    <sheet name="Phiếu lương" sheetId="5" r:id="rId5"/>
    <sheet name="Tổng hợp" sheetId="6" r:id="rId6"/>
  </sheets>
  <definedNames>
    <definedName name="_xlnm.Print_Area" localSheetId="4">'Phiếu lương'!$A$1:$D$47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" i="6" l="1"/>
  <c r="A2" i="6"/>
  <c r="C11" i="5"/>
  <c r="D41" i="5" s="1"/>
  <c r="C7" i="5"/>
  <c r="A2" i="5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A25" i="4"/>
  <c r="AH24" i="4"/>
  <c r="AG24" i="4"/>
  <c r="AF24" i="4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A24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A23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A22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A21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A20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A19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A18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A17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A16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A15" i="4"/>
  <c r="AH14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A14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A13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A12" i="4"/>
  <c r="AD11" i="4"/>
  <c r="AC11" i="4"/>
  <c r="AB11" i="4"/>
  <c r="Y11" i="4"/>
  <c r="Q11" i="4"/>
  <c r="P11" i="4"/>
  <c r="O11" i="4"/>
  <c r="N11" i="4"/>
  <c r="L11" i="4"/>
  <c r="K11" i="4"/>
  <c r="J11" i="4"/>
  <c r="X11" i="4" s="1"/>
  <c r="I11" i="4"/>
  <c r="H11" i="4"/>
  <c r="G11" i="4"/>
  <c r="F11" i="4"/>
  <c r="E11" i="4"/>
  <c r="M11" i="4" s="1"/>
  <c r="D11" i="4"/>
  <c r="C11" i="4"/>
  <c r="B11" i="4"/>
  <c r="A11" i="4"/>
  <c r="AD10" i="4"/>
  <c r="AC10" i="4"/>
  <c r="AB10" i="4"/>
  <c r="Y10" i="4"/>
  <c r="Q10" i="4"/>
  <c r="P10" i="4"/>
  <c r="O10" i="4"/>
  <c r="N10" i="4"/>
  <c r="K10" i="4"/>
  <c r="J10" i="4"/>
  <c r="I10" i="4"/>
  <c r="H10" i="4"/>
  <c r="G10" i="4"/>
  <c r="F10" i="4"/>
  <c r="E10" i="4"/>
  <c r="M10" i="4" s="1"/>
  <c r="D10" i="4"/>
  <c r="C10" i="4"/>
  <c r="B10" i="4"/>
  <c r="A10" i="4"/>
  <c r="AD9" i="4"/>
  <c r="AC9" i="4"/>
  <c r="AB9" i="4"/>
  <c r="Y9" i="4"/>
  <c r="Q9" i="4"/>
  <c r="P9" i="4"/>
  <c r="O9" i="4"/>
  <c r="N9" i="4"/>
  <c r="L9" i="4"/>
  <c r="K9" i="4"/>
  <c r="J9" i="4"/>
  <c r="I9" i="4"/>
  <c r="H9" i="4"/>
  <c r="G9" i="4"/>
  <c r="F9" i="4"/>
  <c r="R9" i="4" s="1"/>
  <c r="E9" i="4"/>
  <c r="M9" i="4" s="1"/>
  <c r="X9" i="4" s="1"/>
  <c r="D9" i="4"/>
  <c r="C9" i="4"/>
  <c r="B9" i="4"/>
  <c r="A9" i="4"/>
  <c r="AD8" i="4"/>
  <c r="AC8" i="4"/>
  <c r="AB8" i="4"/>
  <c r="Y8" i="4"/>
  <c r="Q8" i="4"/>
  <c r="P8" i="4"/>
  <c r="O8" i="4"/>
  <c r="N8" i="4"/>
  <c r="M8" i="4"/>
  <c r="L8" i="4"/>
  <c r="K8" i="4"/>
  <c r="J8" i="4"/>
  <c r="X8" i="4" s="1"/>
  <c r="I8" i="4"/>
  <c r="H8" i="4"/>
  <c r="G8" i="4"/>
  <c r="F8" i="4"/>
  <c r="R8" i="4" s="1"/>
  <c r="E8" i="4"/>
  <c r="D8" i="4"/>
  <c r="C8" i="4"/>
  <c r="B8" i="4"/>
  <c r="A8" i="4"/>
  <c r="AD7" i="4"/>
  <c r="AC7" i="4"/>
  <c r="AB7" i="4"/>
  <c r="Y7" i="4"/>
  <c r="Q7" i="4"/>
  <c r="P7" i="4"/>
  <c r="O7" i="4"/>
  <c r="N7" i="4"/>
  <c r="M7" i="4"/>
  <c r="L7" i="4"/>
  <c r="K7" i="4"/>
  <c r="J7" i="4"/>
  <c r="X7" i="4" s="1"/>
  <c r="I7" i="4"/>
  <c r="H7" i="4"/>
  <c r="G7" i="4"/>
  <c r="F7" i="4"/>
  <c r="R7" i="4" s="1"/>
  <c r="E7" i="4"/>
  <c r="D7" i="4"/>
  <c r="C7" i="4"/>
  <c r="B7" i="4"/>
  <c r="A7" i="4"/>
  <c r="AD6" i="4"/>
  <c r="AD26" i="4" s="1"/>
  <c r="AC6" i="4"/>
  <c r="AC26" i="4" s="1"/>
  <c r="AB6" i="4"/>
  <c r="AB26" i="4" s="1"/>
  <c r="B9" i="6" s="1"/>
  <c r="Y6" i="4"/>
  <c r="Y26" i="4" s="1"/>
  <c r="Q6" i="4"/>
  <c r="Q26" i="4" s="1"/>
  <c r="P6" i="4"/>
  <c r="P26" i="4" s="1"/>
  <c r="O6" i="4"/>
  <c r="O26" i="4" s="1"/>
  <c r="N6" i="4"/>
  <c r="N26" i="4" s="1"/>
  <c r="M6" i="4"/>
  <c r="L6" i="4"/>
  <c r="K6" i="4"/>
  <c r="K26" i="4" s="1"/>
  <c r="J6" i="4"/>
  <c r="X6" i="4" s="1"/>
  <c r="I6" i="4"/>
  <c r="I26" i="4" s="1"/>
  <c r="H6" i="4"/>
  <c r="H26" i="4" s="1"/>
  <c r="G6" i="4"/>
  <c r="G26" i="4" s="1"/>
  <c r="B19" i="6" s="1"/>
  <c r="F6" i="4"/>
  <c r="F26" i="4" s="1"/>
  <c r="B18" i="6" s="1"/>
  <c r="E6" i="4"/>
  <c r="D6" i="4"/>
  <c r="C6" i="4"/>
  <c r="B6" i="4"/>
  <c r="A6" i="4"/>
  <c r="A2" i="4"/>
  <c r="A2" i="3"/>
  <c r="E31" i="2"/>
  <c r="E30" i="2"/>
  <c r="C30" i="2"/>
  <c r="E29" i="2"/>
  <c r="C29" i="2"/>
  <c r="E28" i="2"/>
  <c r="C28" i="2"/>
  <c r="E27" i="2"/>
  <c r="C27" i="2"/>
  <c r="C20" i="2"/>
  <c r="B20" i="2"/>
  <c r="B11" i="2"/>
  <c r="B9" i="2"/>
  <c r="S7" i="4" s="1"/>
  <c r="X10" i="4" l="1"/>
  <c r="X26" i="4"/>
  <c r="R11" i="4"/>
  <c r="AG7" i="4"/>
  <c r="U7" i="4"/>
  <c r="V7" i="4"/>
  <c r="T7" i="4"/>
  <c r="W7" i="4" s="1"/>
  <c r="B22" i="6"/>
  <c r="M26" i="4"/>
  <c r="AH7" i="4"/>
  <c r="D15" i="5"/>
  <c r="D27" i="5" s="1"/>
  <c r="B12" i="2"/>
  <c r="S10" i="4"/>
  <c r="D16" i="5"/>
  <c r="R6" i="4"/>
  <c r="S9" i="4"/>
  <c r="J26" i="4"/>
  <c r="B20" i="6" s="1"/>
  <c r="D18" i="5"/>
  <c r="D19" i="5"/>
  <c r="S8" i="4"/>
  <c r="C5" i="5"/>
  <c r="D20" i="5"/>
  <c r="D33" i="5"/>
  <c r="S6" i="4"/>
  <c r="S11" i="4"/>
  <c r="D17" i="5"/>
  <c r="L10" i="4"/>
  <c r="R10" i="4" s="1"/>
  <c r="C6" i="5"/>
  <c r="D21" i="5"/>
  <c r="D34" i="5"/>
  <c r="D22" i="5"/>
  <c r="D35" i="5"/>
  <c r="C8" i="5"/>
  <c r="D23" i="5"/>
  <c r="C9" i="5"/>
  <c r="D24" i="5"/>
  <c r="C10" i="5"/>
  <c r="D25" i="5"/>
  <c r="D40" i="5"/>
  <c r="D26" i="5"/>
  <c r="B23" i="6" l="1"/>
  <c r="V11" i="4"/>
  <c r="AG11" i="4"/>
  <c r="AH11" i="4" s="1"/>
  <c r="U11" i="4"/>
  <c r="T11" i="4"/>
  <c r="W11" i="4" s="1"/>
  <c r="AH6" i="4"/>
  <c r="R26" i="4"/>
  <c r="B6" i="6" s="1"/>
  <c r="L26" i="4"/>
  <c r="B21" i="6" s="1"/>
  <c r="T10" i="4"/>
  <c r="V10" i="4"/>
  <c r="AG10" i="4"/>
  <c r="AH10" i="4" s="1"/>
  <c r="U10" i="4"/>
  <c r="Z7" i="4"/>
  <c r="AA7" i="4" s="1"/>
  <c r="AE7" i="4" s="1"/>
  <c r="AF7" i="4" s="1"/>
  <c r="V6" i="4"/>
  <c r="T6" i="4"/>
  <c r="U6" i="4"/>
  <c r="AG6" i="4"/>
  <c r="S26" i="4"/>
  <c r="V8" i="4"/>
  <c r="AG8" i="4"/>
  <c r="AH8" i="4" s="1"/>
  <c r="U8" i="4"/>
  <c r="T8" i="4"/>
  <c r="W8" i="4" s="1"/>
  <c r="V9" i="4"/>
  <c r="AG9" i="4"/>
  <c r="AH9" i="4" s="1"/>
  <c r="U9" i="4"/>
  <c r="T9" i="4"/>
  <c r="W9" i="4" s="1"/>
  <c r="Z9" i="4" l="1"/>
  <c r="AA9" i="4" s="1"/>
  <c r="AE9" i="4" s="1"/>
  <c r="AF9" i="4" s="1"/>
  <c r="AH26" i="4"/>
  <c r="B12" i="6" s="1"/>
  <c r="W10" i="4"/>
  <c r="Z11" i="4"/>
  <c r="AA11" i="4" s="1"/>
  <c r="AE11" i="4" s="1"/>
  <c r="AF11" i="4" s="1"/>
  <c r="V26" i="4"/>
  <c r="D31" i="5"/>
  <c r="AG26" i="4"/>
  <c r="B11" i="6" s="1"/>
  <c r="Z8" i="4"/>
  <c r="AA8" i="4" s="1"/>
  <c r="AE8" i="4" s="1"/>
  <c r="AF8" i="4" s="1"/>
  <c r="U26" i="4"/>
  <c r="D30" i="5"/>
  <c r="T26" i="4"/>
  <c r="W6" i="4"/>
  <c r="D29" i="5"/>
  <c r="C22" i="6"/>
  <c r="C21" i="6"/>
  <c r="C20" i="6"/>
  <c r="C19" i="6"/>
  <c r="C18" i="6"/>
  <c r="C23" i="6" s="1"/>
  <c r="B13" i="6"/>
  <c r="Z10" i="4" l="1"/>
  <c r="AA10" i="4" s="1"/>
  <c r="AE10" i="4" s="1"/>
  <c r="AF10" i="4" s="1"/>
  <c r="W26" i="4"/>
  <c r="B7" i="6" s="1"/>
  <c r="Z6" i="4"/>
  <c r="Z26" i="4" l="1"/>
  <c r="AA6" i="4"/>
  <c r="D42" i="5"/>
  <c r="AA26" i="4" l="1"/>
  <c r="B8" i="6" s="1"/>
  <c r="D32" i="5"/>
  <c r="D36" i="5" s="1"/>
  <c r="D37" i="5" s="1"/>
  <c r="AE6" i="4"/>
  <c r="AE26" i="4" l="1"/>
  <c r="AF6" i="4"/>
  <c r="AF26" i="4" s="1"/>
  <c r="B10" i="6" s="1"/>
  <c r="B14" i="6" s="1"/>
</calcChain>
</file>

<file path=xl/sharedStrings.xml><?xml version="1.0" encoding="utf-8"?>
<sst xmlns="http://schemas.openxmlformats.org/spreadsheetml/2006/main" count="370" uniqueCount="317">
  <si>
    <t>MẪU BẢNG LƯƠNG TÀI XẾ TỰ ĐỘNG – HƯỚNG DẪN SỬ DỤNG</t>
  </si>
  <si>
    <t>1. CẤU TRÚC FILE</t>
  </si>
  <si>
    <t>CauHinh</t>
  </si>
  <si>
    <t>Khai báo công ty, kỳ lương, ngày công chuẩn, vùng lương tối thiểu, tỷ lệ bảo hiểm, giảm trừ gia cảnh, biểu thuế TNCN, đơn giá phụ cấp – thưởng – phạt.</t>
  </si>
  <si>
    <t>NhapLieu</t>
  </si>
  <si>
    <t>Nhập dữ liệu hằng tháng của từng tài xế: ngày công, số chuyến, số km, giờ làm thêm, nhiên liệu, vi phạm, tạm ứng... (tối đa 20 tài xế).</t>
  </si>
  <si>
    <t>BangLuong</t>
  </si>
  <si>
    <t>Bảng lương tự động: thu nhập → bảo hiểm → thuế TNCN → khấu trừ → thực lĩnh và chi phí doanh nghiệp. Không cần nhập.</t>
  </si>
  <si>
    <t>PhieuLuong</t>
  </si>
  <si>
    <t>Phiếu lương cá nhân để in/gửi tài xế: chọn Mã tài xế ở ô C4, toàn bộ nội dung tự điền.</t>
  </si>
  <si>
    <t>TongHop</t>
  </si>
  <si>
    <t>Tổng hợp quỹ lương, cơ cấu thu nhập, chi phí doanh nghiệp và biểu đồ.</t>
  </si>
  <si>
    <t>2. QUY ƯỚC MÀU SẮC</t>
  </si>
  <si>
    <t>Chữ cam đậm, nền cam nhạt</t>
  </si>
  <si>
    <t>Ô cần nhập/ chỉnh sửa. Dữ liệu mẫu (6 tài xế) chỉ để minh họa – hãy xóa và nhập dữ liệu thật.</t>
  </si>
  <si>
    <t>Chữ đen / xám</t>
  </si>
  <si>
    <t>Ô công thức hoặc liên kết tự động – KHÔNG sửa/ xóa.</t>
  </si>
  <si>
    <t>3. QUY TRÌNH SỬ DỤNG</t>
  </si>
  <si>
    <t>Bước 1</t>
  </si>
  <si>
    <t>CauHinh: cập nhật kỳ lương, ngày công chuẩn, vùng lương tối thiểu và các đơn giá theo quy chế của công ty.</t>
  </si>
  <si>
    <t>Bước 2</t>
  </si>
  <si>
    <t>NhapLieu: nhập Mã, Họ tên, Biển số xe, Lương cơ bản hợp đồng, số người phụ thuộc và số liệu của tháng.</t>
  </si>
  <si>
    <t>Bước 3</t>
  </si>
  <si>
    <t>BangLuong: kiểm tra kết quả (tự tính). TongHop: xem quỹ lương và chi phí doanh nghiệp.</t>
  </si>
  <si>
    <t>Bước 4</t>
  </si>
  <si>
    <t>PhieuLuong: chọn Mã tài xế, in phiếu và cho tài xế ký nhận.</t>
  </si>
  <si>
    <t>4. CÁCH TÍNH</t>
  </si>
  <si>
    <t>Lương cơ bản</t>
  </si>
  <si>
    <t>Lương cơ bản hợp đồng ÷ ngày công chuẩn × ngày công thực tế (tối đa bằng ngày công chuẩn; làm vượt tính vào giờ làm thêm).</t>
  </si>
  <si>
    <t>Lương chuyến / lương km</t>
  </si>
  <si>
    <t>Số chuyến × đơn giá chuyến; số km × đơn giá km (để 0 nếu không áp dụng).</t>
  </si>
  <si>
    <t>Phụ cấp</t>
  </si>
  <si>
    <t>Ăn trưa = ngày công × đơn giá/ngày; lưu đêm = số đêm × đơn giá; trách nhiệm/điện thoại nhập trực tiếp.</t>
  </si>
  <si>
    <t>Làm thêm giờ, làm đêm</t>
  </si>
  <si>
    <t>Lương giờ = Lương cơ bản ÷ (ngày công chuẩn × giờ/ngày). OT = giờ × lương giờ × hệ số (150%/200%/300%). Phụ cấp làm đêm = giờ đêm × lương giờ × tỷ lệ.</t>
  </si>
  <si>
    <t>Thưởng – phạt nhiên liệu</t>
  </si>
  <si>
    <t>Tiết kiệm = (định mức − thực tế) × giá nhiên liệu × tỷ lệ thưởng. Vượt định mức = (thực tế − định mức) × giá × tỷ lệ tài xế chịu.</t>
  </si>
  <si>
    <t>Thưởng an toàn / chuyên cần</t>
  </si>
  <si>
    <t>Thưởng an toàn nếu 0 vi phạm giao thông và 0 tai nạn/hư hỏng; thưởng chuyên cần nếu 0 ngày nghỉ không phép.</t>
  </si>
  <si>
    <t>Bảo hiểm (NLĐ)</t>
  </si>
  <si>
    <t>Lương đóng BH = lương cơ bản hợp đồng, không thấp hơn lương tối thiểu vùng và không vượt trần. BHXH 8% + BHYT 1,5% + BHTN 1% (BHTN có trần riêng).</t>
  </si>
  <si>
    <t>Thuế TNCN</t>
  </si>
  <si>
    <t>Thu nhập tính thuế = Tổng thu nhập − Thu nhập miễn thuế − Bảo hiểm NLĐ − Giảm trừ gia cảnh. Tính lũy tiến từng phần 5 bậc.</t>
  </si>
  <si>
    <t>Thu nhập miễn thuế</t>
  </si>
  <si>
    <t>Phụ cấp ăn trưa trong mức tối đa; phần chênh lệch do làm thêm giờ (so với giờ bình thường); toàn bộ phụ cấp làm đêm.</t>
  </si>
  <si>
    <t>Thực lĩnh</t>
  </si>
  <si>
    <t>Tổng thu nhập − Bảo hiểm NLĐ − Thuế TNCN − Phạt vượt nhiên liệu − Phạt vi phạm/hư hỏng − Tạm ứng.</t>
  </si>
  <si>
    <t>5. CĂN CỨ &amp; GIẢ ĐỊNH (cần rà soát trước khi dùng thật)</t>
  </si>
  <si>
    <t>Giảm trừ gia cảnh</t>
  </si>
  <si>
    <t>15.500.000 đ/tháng (bản thân) và 6.200.000 đ/tháng (mỗi người phụ thuộc) – theo Nghị quyết 110/2025 của UBTVQH, áp dụng từ kỳ tính thuế 2026.</t>
  </si>
  <si>
    <t>Biểu thuế</t>
  </si>
  <si>
    <t>Biểu lũy tiến 5 bậc theo Luật Thuế TNCN số 109/2025/QH15: 5% – 10% – 20% – 30% – 35%, các mốc 10/30/60/100 triệu đ/tháng. Cách khấu trừ tạm thời hằng tháng trong 2026 có thể được hướng dẫn thêm; chênh lệch (nếu có) xử lý khi quyết toán.</t>
  </si>
  <si>
    <t>Bảo hiểm</t>
  </si>
  <si>
    <t>NLĐ 10,5% (BHXH 8%, BHYT 1,5%, BHTN 1%); doanh nghiệp 21,5% (BHXH 17%, TNLĐ-BNN 0,5%, BHYT 3%, BHTN 1%).</t>
  </si>
  <si>
    <t>Lương tối thiểu vùng</t>
  </si>
  <si>
    <t>Theo Nghị định 293/2025/NĐ-CP, hiệu lực từ 01/01/2026: Vùng I 5.310.000; II 4.730.000; III 4.140.000; IV 3.700.000 đ/tháng.</t>
  </si>
  <si>
    <t>Lương cơ sở / trần BH</t>
  </si>
  <si>
    <t>Lương cơ sở 2.530.000 đ từ 01/07/2026 → trần đóng BHXH/BHYT = 20 lần = 50.600.000 đ. Trần BHTN = 20 lần lương tối thiểu vùng.</t>
  </si>
  <si>
    <t>Giả định của mẫu</t>
  </si>
  <si>
    <t>Ăn trưa miễn thuế tối đa 730.000 đ/tháng, giá nhiên liệu 21.000 đ/lít, các đơn giá, tỷ lệ thưởng/phạt và dữ liệu 6 tài xế là SỐ LIỆU MẪU do người soạn đề xuất, không phải quy định bắt buộc – hãy chỉnh theo quy chế công ty.</t>
  </si>
  <si>
    <t>Phạm vi</t>
  </si>
  <si>
    <t>Áp dụng cho tài xế cư trú, ký HĐLĐ từ 3 tháng trở lên. Tài xế thời vụ (&lt;3 tháng) hoặc không cư trú có cách khấu trừ thuế khác – mẫu này chưa xử lý. Mẫu mang tính tham khảo, nên đối chiếu với kế toán/ cơ quan BHXH và thuế.</t>
  </si>
  <si>
    <t>CẤU HÌNH BẢNG LƯƠNG TÀI XẾ</t>
  </si>
  <si>
    <t>THÔNG TIN CHUNG &amp; CĂN CỨ BẢO HIỂM</t>
  </si>
  <si>
    <t>Tên công ty</t>
  </si>
  <si>
    <t>CÔNG TY TNHH VẬN TẢI ABC</t>
  </si>
  <si>
    <t>Kỳ lương</t>
  </si>
  <si>
    <t>Tháng 10/2026</t>
  </si>
  <si>
    <t>Số ngày công chuẩn trong tháng</t>
  </si>
  <si>
    <t>Số ngày làm việc tiêu chuẩn theo quy chế công ty (thường 26)</t>
  </si>
  <si>
    <t>Số giờ làm việc mỗi ngày</t>
  </si>
  <si>
    <t>Vùng áp dụng lương tối thiểu</t>
  </si>
  <si>
    <t>Vùng I</t>
  </si>
  <si>
    <t>Theo địa bàn trụ sở/ nơi làm việc của tài xế (chọn từ danh sách)</t>
  </si>
  <si>
    <t>Lương tối thiểu vùng (tự động)</t>
  </si>
  <si>
    <t>Tra từ bảng lương tối thiểu vùng ở cuối sheet</t>
  </si>
  <si>
    <t>Lương cơ sở / mức tham chiếu (đ/tháng)</t>
  </si>
  <si>
    <t>Áp dụng từ 01/07/2026</t>
  </si>
  <si>
    <t>Trần đóng BHXH/BHYT (20 × lương cơ sở)</t>
  </si>
  <si>
    <t>Trần đóng BHTN (20 × lương tối thiểu vùng)</t>
  </si>
  <si>
    <t>TỶ LỆ BẢO HIỂM BẮT BUỘC</t>
  </si>
  <si>
    <t>Khoản bảo hiểm</t>
  </si>
  <si>
    <t>Người lao động</t>
  </si>
  <si>
    <t>Doanh nghiệp</t>
  </si>
  <si>
    <t>BHXH (hưu trí – tử tuất, ốm đau – thai sản)</t>
  </si>
  <si>
    <t>BH tai nạn lao động – bệnh nghề nghiệp</t>
  </si>
  <si>
    <t>BH y tế (BHYT)</t>
  </si>
  <si>
    <t>BH thất nghiệp (BHTN)</t>
  </si>
  <si>
    <t>Tổng tỷ lệ</t>
  </si>
  <si>
    <t>GIẢM TRỪ GIA CẢNH &amp; THU NHẬP MIỄN THUẾ</t>
  </si>
  <si>
    <t>Giảm trừ bản thân (đ/tháng)</t>
  </si>
  <si>
    <t>Nghị quyết 110/2025 – áp dụng từ kỳ tính thuế 2026</t>
  </si>
  <si>
    <t>Giảm trừ mỗi người phụ thuộc (đ/tháng)</t>
  </si>
  <si>
    <t>Phụ cấp ăn trưa miễn thuế tối đa (đ/tháng)</t>
  </si>
  <si>
    <t>Giả định theo quy định đang áp dụng – cần kiểm tra lại khi có văn bản mới</t>
  </si>
  <si>
    <t>BIỂU THUẾ LŨY TIẾN TỪNG PHẦN – 5 BẬC (thu nhập tính thuế/tháng)</t>
  </si>
  <si>
    <t>Bậc thuế</t>
  </si>
  <si>
    <t>Từ (đ)</t>
  </si>
  <si>
    <t>Đến (đ)</t>
  </si>
  <si>
    <t>Thuế suất</t>
  </si>
  <si>
    <t>Thuế suất tăng thêm</t>
  </si>
  <si>
    <t>Bậc 1</t>
  </si>
  <si>
    <t>Bậc 2</t>
  </si>
  <si>
    <t>Bậc 3</t>
  </si>
  <si>
    <t>Bậc 4</t>
  </si>
  <si>
    <t>Bậc 5</t>
  </si>
  <si>
    <t>Trở lên</t>
  </si>
  <si>
    <t>THAM SỐ LƯƠNG – PHỤ CẤP – THƯỞNG – PHẠT TÀI XẾ</t>
  </si>
  <si>
    <t>Phụ cấp ăn trưa (đ/ngày công)</t>
  </si>
  <si>
    <t>Số liệu mẫu</t>
  </si>
  <si>
    <t>Phụ cấp lưu đêm (đ/đêm)</t>
  </si>
  <si>
    <t>Số liệu mẫu – tính vào thu nhập chịu thuế</t>
  </si>
  <si>
    <t>Hệ số làm thêm ngày thường</t>
  </si>
  <si>
    <t>Theo Bộ luật Lao động: tối thiểu 150%</t>
  </si>
  <si>
    <t>Hệ số làm thêm ngày nghỉ hằng tuần</t>
  </si>
  <si>
    <t>Tối thiểu 200%</t>
  </si>
  <si>
    <t>Hệ số làm thêm ngày lễ, Tết</t>
  </si>
  <si>
    <t>Tối thiểu 300% (chưa gồm lương ngày lễ)</t>
  </si>
  <si>
    <t>Phụ cấp làm đêm (% lương giờ)</t>
  </si>
  <si>
    <t>Tối thiểu 30% tiền lương giờ làm việc ban ngày</t>
  </si>
  <si>
    <t>Giá nhiên liệu (đ/lít)</t>
  </si>
  <si>
    <t>Số liệu mẫu – cập nhật theo giá thực tế</t>
  </si>
  <si>
    <t>Tỷ lệ thưởng khi tiết kiệm nhiên liệu</t>
  </si>
  <si>
    <t>% giá trị nhiên liệu tiết kiệm được chia cho tài xế</t>
  </si>
  <si>
    <t>Tỷ lệ tài xế chịu khi vượt định mức nhiên liệu</t>
  </si>
  <si>
    <t>% giá trị nhiên liệu vượt định mức khấu trừ vào lương</t>
  </si>
  <si>
    <t>Thưởng an toàn (đ/tháng)</t>
  </si>
  <si>
    <t>Khi không vi phạm giao thông và không tai nạn/hư hỏng</t>
  </si>
  <si>
    <t>Thưởng chuyên cần (đ/tháng)</t>
  </si>
  <si>
    <t>Khi không nghỉ không phép</t>
  </si>
  <si>
    <t>LƯƠNG TỐI THIỂU THÁNG THEO VÙNG (NĐ 293/2025/NĐ-CP, từ 01/01/2026)</t>
  </si>
  <si>
    <t>Vùng</t>
  </si>
  <si>
    <t>Lương tối thiểu (đ/tháng)</t>
  </si>
  <si>
    <t>Vùng II</t>
  </si>
  <si>
    <t>Vùng III</t>
  </si>
  <si>
    <t>Vùng IV</t>
  </si>
  <si>
    <t>BẢNG NHẬP DỮ LIỆU LƯƠNG TÀI XẾ THEO THÁNG</t>
  </si>
  <si>
    <t>THÔNG TIN TÀI XẾ</t>
  </si>
  <si>
    <t>LƯƠNG &amp; NGƯỜI PHỤ THUỘC</t>
  </si>
  <si>
    <t>CÔNG – CHUYẾN – KM</t>
  </si>
  <si>
    <t>LÀM THÊM &amp; ĐÊM</t>
  </si>
  <si>
    <t>NHIÊN LIỆU</t>
  </si>
  <si>
    <t>AN TOÀN &amp; CHUYÊN CẦN</t>
  </si>
  <si>
    <t>PHỤ CẤP – THƯỞNG – KHẤU TRỪ</t>
  </si>
  <si>
    <t>STT</t>
  </si>
  <si>
    <t>Mã tài xế</t>
  </si>
  <si>
    <t>Họ và tên</t>
  </si>
  <si>
    <t>Biển số xe</t>
  </si>
  <si>
    <t>Lương cơ bản hợp đồng</t>
  </si>
  <si>
    <t>Số người phụ thuộc</t>
  </si>
  <si>
    <t>Ngày công thực tế</t>
  </si>
  <si>
    <t>Số chuyến</t>
  </si>
  <si>
    <t>Đơn giá / chuyến</t>
  </si>
  <si>
    <t>Số km vận hành</t>
  </si>
  <si>
    <t>Đơn giá / km</t>
  </si>
  <si>
    <t>Số đêm lưu</t>
  </si>
  <si>
    <t>OT ngày thường</t>
  </si>
  <si>
    <t>OT ngày nghỉ tuần</t>
  </si>
  <si>
    <t>OT ngày lễ, Tết</t>
  </si>
  <si>
    <t>Giờ làm đêm</t>
  </si>
  <si>
    <t>Nhiên liệu định mức</t>
  </si>
  <si>
    <t>Nhiên liệu thực tế</t>
  </si>
  <si>
    <t>Vi phạm giao thông</t>
  </si>
  <si>
    <t>Tai nạn / hư hỏng</t>
  </si>
  <si>
    <t>Nghỉ không phép</t>
  </si>
  <si>
    <t>Phụ cấp trách nhiệm / điện thoại</t>
  </si>
  <si>
    <t>Thưởng khác</t>
  </si>
  <si>
    <t>Phạt vi phạm / hư hỏng</t>
  </si>
  <si>
    <t>Tạm ứng trong kỳ</t>
  </si>
  <si>
    <t>Ghi chú</t>
  </si>
  <si>
    <t>VNĐ/tháng</t>
  </si>
  <si>
    <t>người</t>
  </si>
  <si>
    <t>ngày</t>
  </si>
  <si>
    <t>chuyến</t>
  </si>
  <si>
    <t>VNĐ/chuyến</t>
  </si>
  <si>
    <t>km</t>
  </si>
  <si>
    <t>VNĐ/km</t>
  </si>
  <si>
    <t>đêm</t>
  </si>
  <si>
    <t>giờ</t>
  </si>
  <si>
    <t>lít</t>
  </si>
  <si>
    <t>lần</t>
  </si>
  <si>
    <t>vụ</t>
  </si>
  <si>
    <t>VNĐ</t>
  </si>
  <si>
    <t>TX001</t>
  </si>
  <si>
    <t>Nguyễn Văn Hùng</t>
  </si>
  <si>
    <t>51C-123.45</t>
  </si>
  <si>
    <t>TX002</t>
  </si>
  <si>
    <t>Trần Minh Đức</t>
  </si>
  <si>
    <t>29H-678.90</t>
  </si>
  <si>
    <t>Vi phạm tốc độ 1 lần</t>
  </si>
  <si>
    <t>TX003</t>
  </si>
  <si>
    <t>Lê Quang Vinh</t>
  </si>
  <si>
    <t>30E-246.80</t>
  </si>
  <si>
    <t>TX004</t>
  </si>
  <si>
    <t>Phạm Thanh Tùng</t>
  </si>
  <si>
    <t>51D-135.79</t>
  </si>
  <si>
    <t>Va quệt khi lùi xe</t>
  </si>
  <si>
    <t>TX005</t>
  </si>
  <si>
    <t>Võ Hoàng Nam</t>
  </si>
  <si>
    <t>61C-864.20</t>
  </si>
  <si>
    <t>TX006</t>
  </si>
  <si>
    <t>Đặng Quốc Việt</t>
  </si>
  <si>
    <t>29C-111.22</t>
  </si>
  <si>
    <t>BẢNG LƯƠNG TÀI XẾ (TỰ ĐỘNG)</t>
  </si>
  <si>
    <t>THÔNG TIN</t>
  </si>
  <si>
    <t>THU NHẬP</t>
  </si>
  <si>
    <t>BẢO HIỂM BẮT BUỘC (NLĐ)</t>
  </si>
  <si>
    <t>THUẾ TNCN</t>
  </si>
  <si>
    <t>KHẤU TRỪ KHÁC</t>
  </si>
  <si>
    <t>KẾT QUẢ</t>
  </si>
  <si>
    <t>CHI PHÍ DOANH NGHIỆP</t>
  </si>
  <si>
    <t>Lương giờ</t>
  </si>
  <si>
    <t>Lương cơ bản theo công</t>
  </si>
  <si>
    <t>Lương chuyến</t>
  </si>
  <si>
    <t>Lương theo km</t>
  </si>
  <si>
    <t>PC lưu đêm</t>
  </si>
  <si>
    <t>PC ăn trưa</t>
  </si>
  <si>
    <t>PC trách nhiệm / điện thoại</t>
  </si>
  <si>
    <t>Lương làm thêm giờ</t>
  </si>
  <si>
    <t>PC làm đêm</t>
  </si>
  <si>
    <t>Thưởng an toàn</t>
  </si>
  <si>
    <t>Thưởng chuyên cần</t>
  </si>
  <si>
    <t>Thưởng tiết kiệm nhiên liệu</t>
  </si>
  <si>
    <t>TỔNG THU NHẬP</t>
  </si>
  <si>
    <t>Lương đóng BH</t>
  </si>
  <si>
    <t>BHXH (8%)</t>
  </si>
  <si>
    <t>BHYT (1,5%)</t>
  </si>
  <si>
    <t>BHTN (1%)</t>
  </si>
  <si>
    <t>Tổng BH người lao động</t>
  </si>
  <si>
    <t>Thu nhập tính thuế</t>
  </si>
  <si>
    <t>Phạt vượt định mức nhiên liệu</t>
  </si>
  <si>
    <t>Tạm ứng</t>
  </si>
  <si>
    <t>Tổng khấu trừ</t>
  </si>
  <si>
    <t>THỰC LĨNH</t>
  </si>
  <si>
    <t>BH phía doanh nghiệp</t>
  </si>
  <si>
    <t>Tổng chi phí doanh nghiệp</t>
  </si>
  <si>
    <t>LCB ÷ (công chuẩn × giờ/ngày)</t>
  </si>
  <si>
    <t>LCB ÷ công chuẩn × công thực tế</t>
  </si>
  <si>
    <t>Số chuyến × đơn giá</t>
  </si>
  <si>
    <t>Số km × đơn giá</t>
  </si>
  <si>
    <t>Số đêm × đơn giá</t>
  </si>
  <si>
    <t>Công × đơn giá/ngày</t>
  </si>
  <si>
    <t>Nhập trực tiếp</t>
  </si>
  <si>
    <t>Giờ OT × lương giờ × hệ số</t>
  </si>
  <si>
    <t>Giờ đêm × lương giờ × %</t>
  </si>
  <si>
    <t>0 vi phạm &amp; 0 tai nạn</t>
  </si>
  <si>
    <t>0 ngày nghỉ KP</t>
  </si>
  <si>
    <t>Lít tiết kiệm × giá × %</t>
  </si>
  <si>
    <t>Cộng các khoản thu nhập</t>
  </si>
  <si>
    <t>Giữa lương tối thiểu vùng &amp; trần</t>
  </si>
  <si>
    <t>Có trần riêng</t>
  </si>
  <si>
    <t>Ăn trưa ≤ mức + phần chênh OT + PC đêm</t>
  </si>
  <si>
    <t>Bản thân + người phụ thuộc</t>
  </si>
  <si>
    <t>Thu nhập − miễn thuế − BH − giảm trừ</t>
  </si>
  <si>
    <t>Biểu lũy tiến 5 bậc</t>
  </si>
  <si>
    <t>Lít vượt × giá × %</t>
  </si>
  <si>
    <t>BH + thuế + phạt + tạm ứng</t>
  </si>
  <si>
    <t>Thu nhập − khấu trừ</t>
  </si>
  <si>
    <t>21,5% lương đóng BH</t>
  </si>
  <si>
    <t>Thu nhập + BH doanh nghiệp</t>
  </si>
  <si>
    <t>TỔNG CỘNG</t>
  </si>
  <si>
    <t>PHIẾU LƯƠNG TÀI XẾ</t>
  </si>
  <si>
    <t>Mã tài xế (chọn)</t>
  </si>
  <si>
    <t>Ngày công thực tế / chuẩn</t>
  </si>
  <si>
    <t>Số chuyến | Số km</t>
  </si>
  <si>
    <t>Vị trí dòng dữ liệu (tự động)</t>
  </si>
  <si>
    <t>Khoản mục</t>
  </si>
  <si>
    <t>Diễn giải</t>
  </si>
  <si>
    <t>Số tiền (VNĐ)</t>
  </si>
  <si>
    <t>I. THU NHẬP</t>
  </si>
  <si>
    <t>Lương cơ bản theo ngày công</t>
  </si>
  <si>
    <t>LCB ÷ ngày công chuẩn × ngày công thực tế</t>
  </si>
  <si>
    <t>Số chuyến × đơn giá/chuyến</t>
  </si>
  <si>
    <t>Số km × đơn giá/km</t>
  </si>
  <si>
    <t>Phụ cấp lưu đêm</t>
  </si>
  <si>
    <t>Số đêm lưu × đơn giá</t>
  </si>
  <si>
    <t>Phụ cấp ăn trưa</t>
  </si>
  <si>
    <t>Ngày công × đơn giá/ngày</t>
  </si>
  <si>
    <t>Theo quy chế</t>
  </si>
  <si>
    <t>Giờ OT × lương giờ × hệ số (150%/200%/300%)</t>
  </si>
  <si>
    <t>Phụ cấp làm đêm</t>
  </si>
  <si>
    <t>Giờ đêm × lương giờ × tỷ lệ phụ cấp</t>
  </si>
  <si>
    <t>Không vi phạm giao thông, không tai nạn/hư hỏng</t>
  </si>
  <si>
    <t>Không nghỉ không phép</t>
  </si>
  <si>
    <t>Nhiên liệu tiết kiệm × giá × tỷ lệ thưởng</t>
  </si>
  <si>
    <t>TỔNG THU NHẬP (I)</t>
  </si>
  <si>
    <t>II. KHẤU TRỪ</t>
  </si>
  <si>
    <t>Trên lương đóng BH</t>
  </si>
  <si>
    <t>Trên lương đóng BH (có trần)</t>
  </si>
  <si>
    <t>Nhiên liệu vượt × giá × tỷ lệ chịu</t>
  </si>
  <si>
    <t>Theo biên bản</t>
  </si>
  <si>
    <t>TỔNG KHẤU TRỪ (II)</t>
  </si>
  <si>
    <t>THỰC LĨNH (I − II)</t>
  </si>
  <si>
    <t>THÔNG TIN TÍNH THUẾ TNCN</t>
  </si>
  <si>
    <t>Người lập biểu</t>
  </si>
  <si>
    <t>Kế toán / Giám đốc</t>
  </si>
  <si>
    <t>Tài xế nhận</t>
  </si>
  <si>
    <t>(Ký, ghi rõ họ tên)</t>
  </si>
  <si>
    <t>TỔNG HỢP QUỸ LƯƠNG TÀI XẾ</t>
  </si>
  <si>
    <t>Chỉ tiêu</t>
  </si>
  <si>
    <t>Giá trị</t>
  </si>
  <si>
    <t>Số tài xế được tính lương</t>
  </si>
  <si>
    <t>Tổng thu nhập (gross)</t>
  </si>
  <si>
    <t>Tổng bảo hiểm người lao động</t>
  </si>
  <si>
    <t>Tổng thuế TNCN khấu trừ</t>
  </si>
  <si>
    <t>Tổng phạt &amp; tạm ứng</t>
  </si>
  <si>
    <t>TỔNG THỰC LĨNH</t>
  </si>
  <si>
    <t>Bảo hiểm phía doanh nghiệp</t>
  </si>
  <si>
    <t>TỔNG CHI PHÍ DOANH NGHIỆP</t>
  </si>
  <si>
    <t>Thu nhập bình quân / tài xế</t>
  </si>
  <si>
    <t>Thực lĩnh bình quân / tài xế</t>
  </si>
  <si>
    <t>Cơ cấu thu nhập</t>
  </si>
  <si>
    <t>Tỷ trọng</t>
  </si>
  <si>
    <t>Lương chuyến + km</t>
  </si>
  <si>
    <t>Làm thêm giờ</t>
  </si>
  <si>
    <t>Thưởng</t>
  </si>
  <si>
    <t>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</si>
</sst>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#,##0.0"/>
    <numFmt numFmtId="167" formatCode="#,##0;\-#,##0;\-"/>
  </numFmts>
  <fonts count="17">
    <font>
      <sz val="11"/>
      <color theme="1"/>
      <name val="Calibri"/>
      <family val="2"/>
      <charset val="1"/>
    </font>
    <font>
      <b/>
      <sz val="14"/>
      <color rgb="FFFFFFFF"/>
      <name val="Inter Tight"/>
      <charset val="1"/>
    </font>
    <font>
      <b/>
      <sz val="10"/>
      <color rgb="FFFFFFFF"/>
      <name val="Inter Tight"/>
      <charset val="1"/>
    </font>
    <font>
      <b/>
      <sz val="10"/>
      <color rgb="FF000000"/>
      <name val="Inter Tight"/>
      <charset val="1"/>
    </font>
    <font>
      <sz val="10"/>
      <color rgb="FF000000"/>
      <name val="Inter Tight"/>
      <charset val="1"/>
    </font>
    <font>
      <b/>
      <sz val="10"/>
      <color rgb="FFC2410C"/>
      <name val="Inter Tight"/>
      <charset val="1"/>
    </font>
    <font>
      <sz val="10"/>
      <color rgb="FFC2410C"/>
      <name val="Inter Tight"/>
      <charset val="1"/>
    </font>
    <font>
      <i/>
      <sz val="9"/>
      <color rgb="FF7F7F7F"/>
      <name val="Inter Tight"/>
      <charset val="1"/>
    </font>
    <font>
      <b/>
      <sz val="11"/>
      <color rgb="FFE8590C"/>
      <name val="Inter Tight"/>
      <charset val="1"/>
    </font>
    <font>
      <b/>
      <sz val="9"/>
      <color rgb="FFFFFFFF"/>
      <name val="Inter Tight"/>
      <charset val="1"/>
    </font>
    <font>
      <i/>
      <sz val="8"/>
      <color rgb="FF7F7F7F"/>
      <name val="Inter Tight"/>
      <charset val="1"/>
    </font>
    <font>
      <sz val="10"/>
      <color rgb="FF595959"/>
      <name val="Inter Tight"/>
      <charset val="1"/>
    </font>
    <font>
      <b/>
      <sz val="12"/>
      <color rgb="FFE8590C"/>
      <name val="Inter Tight"/>
      <charset val="1"/>
    </font>
    <font>
      <b/>
      <sz val="11"/>
      <color rgb="FFC2410C"/>
      <name val="Inter Tight"/>
      <charset val="1"/>
    </font>
    <font>
      <i/>
      <sz val="9"/>
      <color rgb="FF808080"/>
      <name val="Inter Tight"/>
      <charset val="1"/>
    </font>
    <font>
      <sz val="9"/>
      <color rgb="FF7F7F7F"/>
      <name val="Inter Tight"/>
      <charset val="1"/>
    </font>
    <font>
      <b/>
      <sz val="12"/>
      <color rgb="FFFFFFFF"/>
      <name val="Inter Tight"/>
      <charset val="1"/>
    </font>
  </fonts>
  <fills count="8">
    <fill>
      <patternFill patternType="none"/>
    </fill>
    <fill>
      <patternFill patternType="gray125"/>
    </fill>
    <fill>
      <patternFill patternType="solid">
        <fgColor rgb="FFE8590C"/>
        <bgColor rgb="FFC2410C"/>
      </patternFill>
    </fill>
    <fill>
      <patternFill patternType="solid">
        <fgColor rgb="FF595959"/>
        <bgColor rgb="FF7F7F7F"/>
      </patternFill>
    </fill>
    <fill>
      <patternFill patternType="solid">
        <fgColor rgb="FFFFF1E0"/>
        <bgColor rgb="FFF2F2F2"/>
      </patternFill>
    </fill>
    <fill>
      <patternFill patternType="solid">
        <fgColor rgb="FFF2F2F2"/>
        <bgColor rgb="FFFFF1E0"/>
      </patternFill>
    </fill>
    <fill>
      <patternFill patternType="solid">
        <fgColor rgb="FFFDE3CF"/>
        <bgColor rgb="FFFFF1E0"/>
      </patternFill>
    </fill>
    <fill>
      <patternFill patternType="solid">
        <fgColor rgb="FFB8440A"/>
        <bgColor rgb="FFC2410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6" borderId="1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2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167" fontId="3" fillId="6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167" fontId="2" fillId="3" borderId="1" xfId="0" applyNumberFormat="1" applyFont="1" applyFill="1" applyBorder="1" applyAlignment="1">
      <alignment horizontal="right" vertical="center"/>
    </xf>
    <xf numFmtId="167" fontId="2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167" fontId="16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" fontId="3" fillId="0" borderId="1" xfId="0" applyNumberFormat="1" applyFont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1">
    <cellStyle name="Bình thường" xfId="0" builtinId="0"/>
  </cellStyles>
  <dxfs count="1">
    <dxf>
      <font>
        <b/>
        <color rgb="FFFFFFFF"/>
        <name val="Inter Tight"/>
        <charset val="1"/>
      </font>
      <fill>
        <patternFill>
          <bgColor rgb="FF59595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A6A6A6"/>
      <rgbColor rgb="FFC2410C"/>
      <rgbColor rgb="FFFFF1E0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3CF"/>
      <rgbColor rgb="FF3366FF"/>
      <rgbColor rgb="FF33CCCC"/>
      <rgbColor rgb="FF99CC00"/>
      <rgbColor rgb="FFFFCC00"/>
      <rgbColor rgb="FFF28C28"/>
      <rgbColor rgb="FFE8590C"/>
      <rgbColor rgb="FF595959"/>
      <rgbColor rgb="FF878787"/>
      <rgbColor rgb="FF003366"/>
      <rgbColor rgb="FF339966"/>
      <rgbColor rgb="FF003300"/>
      <rgbColor rgb="FF333300"/>
      <rgbColor rgb="FFB8440A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vi-VN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vi-VN" sz="1800" b="1" strike="noStrike" spc="-1">
                <a:solidFill>
                  <a:srgbClr val="000000"/>
                </a:solidFill>
                <a:latin typeface="Calibri"/>
              </a:rPr>
              <a:t>Cơ cấu thu nhập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E8590C"/>
            </a:solidFill>
            <a:ln w="0">
              <a:solidFill>
                <a:srgbClr val="E8590C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vi-VN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'Tổng hợp'!$A$18:$A$22</c:f>
              <c:strCache>
                <c:ptCount val="5"/>
                <c:pt idx="0">
                  <c:v>Lương cơ bản</c:v>
                </c:pt>
                <c:pt idx="1">
                  <c:v>Lương chuyến + km</c:v>
                </c:pt>
                <c:pt idx="2">
                  <c:v>Phụ cấp</c:v>
                </c:pt>
                <c:pt idx="3">
                  <c:v>Làm thêm giờ</c:v>
                </c:pt>
                <c:pt idx="4">
                  <c:v>Thưởng</c:v>
                </c:pt>
              </c:strCache>
            </c:strRef>
          </c:cat>
          <c:val>
            <c:numRef>
              <c:f>'Tổng hợp'!$B$18:$B$22</c:f>
              <c:numCache>
                <c:formatCode>#,##0;\-#,##0;\-</c:formatCode>
                <c:ptCount val="5"/>
                <c:pt idx="0">
                  <c:v>46000000</c:v>
                </c:pt>
                <c:pt idx="1">
                  <c:v>35670000</c:v>
                </c:pt>
                <c:pt idx="2">
                  <c:v>10962788</c:v>
                </c:pt>
                <c:pt idx="3">
                  <c:v>4956731</c:v>
                </c:pt>
                <c:pt idx="4">
                  <c:v>6090000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9-4DD4-B5E4-67BED2621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720702"/>
        <c:axId val="77890720"/>
      </c:barChart>
      <c:catAx>
        <c:axId val="6372070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vi-VN"/>
          </a:p>
        </c:txPr>
        <c:crossAx val="77890720"/>
        <c:crosses val="autoZero"/>
        <c:auto val="1"/>
        <c:lblAlgn val="ctr"/>
        <c:lblOffset val="100"/>
        <c:noMultiLvlLbl val="0"/>
      </c:catAx>
      <c:valAx>
        <c:axId val="77890720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-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vi-VN"/>
          </a:p>
        </c:txPr>
        <c:crossAx val="6372070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vi-VN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vi-VN" sz="1800" b="1" strike="noStrike" spc="-1">
                <a:solidFill>
                  <a:srgbClr val="000000"/>
                </a:solidFill>
                <a:latin typeface="Calibri"/>
              </a:rPr>
              <a:t>Thực lĩnh theo tài xế (VNĐ)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595959"/>
            </a:solidFill>
            <a:ln w="0">
              <a:solidFill>
                <a:srgbClr val="595959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vi-VN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'Bảng lương'!$C$6:$C$25</c:f>
              <c:strCache>
                <c:ptCount val="6"/>
                <c:pt idx="0">
                  <c:v>Nguyễn Văn Hùng</c:v>
                </c:pt>
                <c:pt idx="1">
                  <c:v>Trần Minh Đức</c:v>
                </c:pt>
                <c:pt idx="2">
                  <c:v>Lê Quang Vinh</c:v>
                </c:pt>
                <c:pt idx="3">
                  <c:v>Phạm Thanh Tùng</c:v>
                </c:pt>
                <c:pt idx="4">
                  <c:v>Võ Hoàng Nam</c:v>
                </c:pt>
                <c:pt idx="5">
                  <c:v>Đặng Quốc Việt</c:v>
                </c:pt>
              </c:strCache>
            </c:strRef>
          </c:cat>
          <c:val>
            <c:numRef>
              <c:f>'Bảng lương'!$AF$6:$AF$25</c:f>
              <c:numCache>
                <c:formatCode>#,##0;\-#,##0;\-</c:formatCode>
                <c:ptCount val="20"/>
                <c:pt idx="0">
                  <c:v>15077693</c:v>
                </c:pt>
                <c:pt idx="1">
                  <c:v>13286134</c:v>
                </c:pt>
                <c:pt idx="2">
                  <c:v>20502231</c:v>
                </c:pt>
                <c:pt idx="3">
                  <c:v>7894500</c:v>
                </c:pt>
                <c:pt idx="4">
                  <c:v>21401923</c:v>
                </c:pt>
                <c:pt idx="5">
                  <c:v>12596923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A3-420F-9BB2-B4C2E13DB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336640"/>
        <c:axId val="71234984"/>
      </c:barChart>
      <c:catAx>
        <c:axId val="86336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vi-VN"/>
          </a:p>
        </c:txPr>
        <c:crossAx val="71234984"/>
        <c:crosses val="autoZero"/>
        <c:auto val="1"/>
        <c:lblAlgn val="ctr"/>
        <c:lblOffset val="100"/>
        <c:noMultiLvlLbl val="0"/>
      </c:catAx>
      <c:valAx>
        <c:axId val="7123498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-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vi-VN"/>
          </a:p>
        </c:txPr>
        <c:crossAx val="8633664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12</xdr:col>
      <xdr:colOff>507600</xdr:colOff>
      <xdr:row>17</xdr:row>
      <xdr:rowOff>32760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19</xdr:row>
      <xdr:rowOff>0</xdr:rowOff>
    </xdr:from>
    <xdr:to>
      <xdr:col>18</xdr:col>
      <xdr:colOff>78480</xdr:colOff>
      <xdr:row>35</xdr:row>
      <xdr:rowOff>11520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F7F7F"/>
  </sheetPr>
  <dimension ref="A1:C35"/>
  <sheetViews>
    <sheetView showGridLines="0" zoomScaleNormal="100" workbookViewId="0">
      <selection sqref="A1:C1"/>
    </sheetView>
  </sheetViews>
  <sheetFormatPr defaultColWidth="8.7109375" defaultRowHeight="15"/>
  <cols>
    <col min="1" max="1" width="3" customWidth="1"/>
    <col min="2" max="2" width="28" customWidth="1"/>
    <col min="3" max="3" width="100" customWidth="1"/>
  </cols>
  <sheetData>
    <row r="1" spans="1:3" ht="30" customHeight="1">
      <c r="A1" s="14" t="s">
        <v>0</v>
      </c>
      <c r="B1" s="14"/>
      <c r="C1" s="14"/>
    </row>
    <row r="3" spans="1:3" ht="15" customHeight="1">
      <c r="B3" s="13" t="s">
        <v>1</v>
      </c>
      <c r="C3" s="13"/>
    </row>
    <row r="4" spans="1:3" ht="31.5" customHeight="1">
      <c r="B4" s="15" t="s">
        <v>2</v>
      </c>
      <c r="C4" s="16" t="s">
        <v>3</v>
      </c>
    </row>
    <row r="5" spans="1:3" ht="31.5" customHeight="1">
      <c r="B5" s="15" t="s">
        <v>4</v>
      </c>
      <c r="C5" s="16" t="s">
        <v>5</v>
      </c>
    </row>
    <row r="6" spans="1:3" ht="31.5" customHeight="1">
      <c r="B6" s="15" t="s">
        <v>6</v>
      </c>
      <c r="C6" s="16" t="s">
        <v>7</v>
      </c>
    </row>
    <row r="7" spans="1:3" ht="18" customHeight="1">
      <c r="B7" s="15" t="s">
        <v>8</v>
      </c>
      <c r="C7" s="16" t="s">
        <v>9</v>
      </c>
    </row>
    <row r="8" spans="1:3" ht="18" customHeight="1">
      <c r="B8" s="15" t="s">
        <v>10</v>
      </c>
      <c r="C8" s="16" t="s">
        <v>11</v>
      </c>
    </row>
    <row r="9" spans="1:3" ht="15" customHeight="1">
      <c r="B9" s="13" t="s">
        <v>12</v>
      </c>
      <c r="C9" s="13"/>
    </row>
    <row r="10" spans="1:3" ht="18" customHeight="1">
      <c r="B10" s="17" t="s">
        <v>13</v>
      </c>
      <c r="C10" s="16" t="s">
        <v>14</v>
      </c>
    </row>
    <row r="11" spans="1:3" ht="18" customHeight="1">
      <c r="B11" s="15" t="s">
        <v>15</v>
      </c>
      <c r="C11" s="16" t="s">
        <v>16</v>
      </c>
    </row>
    <row r="12" spans="1:3" ht="15" customHeight="1">
      <c r="B12" s="13" t="s">
        <v>17</v>
      </c>
      <c r="C12" s="13"/>
    </row>
    <row r="13" spans="1:3" ht="31.5" customHeight="1">
      <c r="B13" s="15" t="s">
        <v>18</v>
      </c>
      <c r="C13" s="16" t="s">
        <v>19</v>
      </c>
    </row>
    <row r="14" spans="1:3" ht="18" customHeight="1">
      <c r="B14" s="15" t="s">
        <v>20</v>
      </c>
      <c r="C14" s="16" t="s">
        <v>21</v>
      </c>
    </row>
    <row r="15" spans="1:3" ht="18" customHeight="1">
      <c r="B15" s="15" t="s">
        <v>22</v>
      </c>
      <c r="C15" s="16" t="s">
        <v>23</v>
      </c>
    </row>
    <row r="16" spans="1:3" ht="18" customHeight="1">
      <c r="B16" s="15" t="s">
        <v>24</v>
      </c>
      <c r="C16" s="16" t="s">
        <v>25</v>
      </c>
    </row>
    <row r="17" spans="2:3" ht="15" customHeight="1">
      <c r="B17" s="13" t="s">
        <v>26</v>
      </c>
      <c r="C17" s="13"/>
    </row>
    <row r="18" spans="2:3" ht="31.5" customHeight="1">
      <c r="B18" s="15" t="s">
        <v>27</v>
      </c>
      <c r="C18" s="16" t="s">
        <v>28</v>
      </c>
    </row>
    <row r="19" spans="2:3" ht="18" customHeight="1">
      <c r="B19" s="15" t="s">
        <v>29</v>
      </c>
      <c r="C19" s="16" t="s">
        <v>30</v>
      </c>
    </row>
    <row r="20" spans="2:3" ht="18" customHeight="1">
      <c r="B20" s="15" t="s">
        <v>31</v>
      </c>
      <c r="C20" s="16" t="s">
        <v>32</v>
      </c>
    </row>
    <row r="21" spans="2:3" ht="31.5" customHeight="1">
      <c r="B21" s="15" t="s">
        <v>33</v>
      </c>
      <c r="C21" s="16" t="s">
        <v>34</v>
      </c>
    </row>
    <row r="22" spans="2:3" ht="31.5" customHeight="1">
      <c r="B22" s="15" t="s">
        <v>35</v>
      </c>
      <c r="C22" s="16" t="s">
        <v>36</v>
      </c>
    </row>
    <row r="23" spans="2:3" ht="31.5" customHeight="1">
      <c r="B23" s="15" t="s">
        <v>37</v>
      </c>
      <c r="C23" s="16" t="s">
        <v>38</v>
      </c>
    </row>
    <row r="24" spans="2:3" ht="31.5" customHeight="1">
      <c r="B24" s="15" t="s">
        <v>39</v>
      </c>
      <c r="C24" s="16" t="s">
        <v>40</v>
      </c>
    </row>
    <row r="25" spans="2:3" ht="31.5" customHeight="1">
      <c r="B25" s="15" t="s">
        <v>41</v>
      </c>
      <c r="C25" s="16" t="s">
        <v>42</v>
      </c>
    </row>
    <row r="26" spans="2:3" ht="31.5" customHeight="1">
      <c r="B26" s="15" t="s">
        <v>43</v>
      </c>
      <c r="C26" s="16" t="s">
        <v>44</v>
      </c>
    </row>
    <row r="27" spans="2:3" ht="18" customHeight="1">
      <c r="B27" s="15" t="s">
        <v>45</v>
      </c>
      <c r="C27" s="16" t="s">
        <v>46</v>
      </c>
    </row>
    <row r="28" spans="2:3" ht="15" customHeight="1">
      <c r="B28" s="13" t="s">
        <v>47</v>
      </c>
      <c r="C28" s="13"/>
    </row>
    <row r="29" spans="2:3" ht="31.5" customHeight="1">
      <c r="B29" s="15" t="s">
        <v>48</v>
      </c>
      <c r="C29" s="16" t="s">
        <v>49</v>
      </c>
    </row>
    <row r="30" spans="2:3" ht="45.75" customHeight="1">
      <c r="B30" s="15" t="s">
        <v>50</v>
      </c>
      <c r="C30" s="16" t="s">
        <v>51</v>
      </c>
    </row>
    <row r="31" spans="2:3" ht="18" customHeight="1">
      <c r="B31" s="15" t="s">
        <v>52</v>
      </c>
      <c r="C31" s="16" t="s">
        <v>53</v>
      </c>
    </row>
    <row r="32" spans="2:3" ht="31.5" customHeight="1">
      <c r="B32" s="15" t="s">
        <v>54</v>
      </c>
      <c r="C32" s="16" t="s">
        <v>55</v>
      </c>
    </row>
    <row r="33" spans="2:3" ht="31.5" customHeight="1">
      <c r="B33" s="15" t="s">
        <v>56</v>
      </c>
      <c r="C33" s="16" t="s">
        <v>57</v>
      </c>
    </row>
    <row r="34" spans="2:3" ht="45.75" customHeight="1">
      <c r="B34" s="15" t="s">
        <v>58</v>
      </c>
      <c r="C34" s="16" t="s">
        <v>59</v>
      </c>
    </row>
    <row r="35" spans="2:3" ht="45.75" customHeight="1">
      <c r="B35" s="15" t="s">
        <v>60</v>
      </c>
      <c r="C35" s="16" t="s">
        <v>61</v>
      </c>
    </row>
  </sheetData>
  <mergeCells count="6">
    <mergeCell ref="B28:C28"/>
    <mergeCell ref="A1:C1"/>
    <mergeCell ref="B3:C3"/>
    <mergeCell ref="B9:C9"/>
    <mergeCell ref="B12:C12"/>
    <mergeCell ref="B17:C1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8590C"/>
  </sheetPr>
  <dimension ref="A1:F52"/>
  <sheetViews>
    <sheetView showGridLines="0" zoomScaleNormal="100" workbookViewId="0">
      <selection sqref="A1:F1"/>
    </sheetView>
  </sheetViews>
  <sheetFormatPr defaultColWidth="8.7109375" defaultRowHeight="15"/>
  <cols>
    <col min="1" max="1" width="48" customWidth="1"/>
    <col min="2" max="3" width="20" customWidth="1"/>
    <col min="4" max="4" width="16" customWidth="1"/>
    <col min="5" max="5" width="18" customWidth="1"/>
    <col min="6" max="6" width="40" customWidth="1"/>
  </cols>
  <sheetData>
    <row r="1" spans="1:6" ht="30" customHeight="1">
      <c r="A1" s="14" t="s">
        <v>62</v>
      </c>
      <c r="B1" s="14"/>
      <c r="C1" s="14"/>
      <c r="D1" s="14"/>
      <c r="E1" s="14"/>
      <c r="F1" s="14"/>
    </row>
    <row r="3" spans="1:6" ht="15" customHeight="1">
      <c r="A3" s="13" t="s">
        <v>63</v>
      </c>
      <c r="B3" s="13"/>
      <c r="C3" s="13"/>
      <c r="D3" s="13"/>
      <c r="E3" s="13"/>
      <c r="F3" s="13"/>
    </row>
    <row r="4" spans="1:6" ht="25.5">
      <c r="A4" s="18" t="s">
        <v>64</v>
      </c>
      <c r="B4" s="19" t="s">
        <v>65</v>
      </c>
    </row>
    <row r="5" spans="1:6">
      <c r="A5" s="18" t="s">
        <v>66</v>
      </c>
      <c r="B5" s="19" t="s">
        <v>67</v>
      </c>
    </row>
    <row r="6" spans="1:6" ht="15" customHeight="1">
      <c r="A6" s="18" t="s">
        <v>68</v>
      </c>
      <c r="B6" s="20">
        <v>26</v>
      </c>
      <c r="C6" s="12" t="s">
        <v>69</v>
      </c>
      <c r="D6" s="12"/>
      <c r="E6" s="12"/>
      <c r="F6" s="12"/>
    </row>
    <row r="7" spans="1:6">
      <c r="A7" s="18" t="s">
        <v>70</v>
      </c>
      <c r="B7" s="20">
        <v>8</v>
      </c>
    </row>
    <row r="8" spans="1:6" ht="15" customHeight="1">
      <c r="A8" s="18" t="s">
        <v>71</v>
      </c>
      <c r="B8" s="19" t="s">
        <v>72</v>
      </c>
      <c r="C8" s="12" t="s">
        <v>73</v>
      </c>
      <c r="D8" s="12"/>
      <c r="E8" s="12"/>
      <c r="F8" s="12"/>
    </row>
    <row r="9" spans="1:6" ht="15" customHeight="1">
      <c r="A9" s="18" t="s">
        <v>74</v>
      </c>
      <c r="B9" s="21">
        <f>INDEX($B$49:$B$52,MATCH(B8,$A$49:$A$52,0))</f>
        <v>5310000</v>
      </c>
      <c r="C9" s="12" t="s">
        <v>75</v>
      </c>
      <c r="D9" s="12"/>
      <c r="E9" s="12"/>
      <c r="F9" s="12"/>
    </row>
    <row r="10" spans="1:6" ht="15" customHeight="1">
      <c r="A10" s="18" t="s">
        <v>76</v>
      </c>
      <c r="B10" s="22">
        <v>2530000</v>
      </c>
      <c r="C10" s="12" t="s">
        <v>77</v>
      </c>
      <c r="D10" s="12"/>
      <c r="E10" s="12"/>
      <c r="F10" s="12"/>
    </row>
    <row r="11" spans="1:6">
      <c r="A11" s="18" t="s">
        <v>78</v>
      </c>
      <c r="B11" s="21">
        <f>20*B10</f>
        <v>50600000</v>
      </c>
    </row>
    <row r="12" spans="1:6">
      <c r="A12" s="18" t="s">
        <v>79</v>
      </c>
      <c r="B12" s="21">
        <f>20*B9</f>
        <v>106200000</v>
      </c>
    </row>
    <row r="14" spans="1:6" ht="15" customHeight="1">
      <c r="A14" s="13" t="s">
        <v>80</v>
      </c>
      <c r="B14" s="13"/>
      <c r="C14" s="13"/>
      <c r="D14" s="13"/>
      <c r="E14" s="13"/>
      <c r="F14" s="13"/>
    </row>
    <row r="15" spans="1:6">
      <c r="A15" s="23" t="s">
        <v>81</v>
      </c>
      <c r="B15" s="23" t="s">
        <v>82</v>
      </c>
      <c r="C15" s="23" t="s">
        <v>83</v>
      </c>
    </row>
    <row r="16" spans="1:6">
      <c r="A16" s="18" t="s">
        <v>84</v>
      </c>
      <c r="B16" s="24">
        <v>0.08</v>
      </c>
      <c r="C16" s="24">
        <v>0.17</v>
      </c>
    </row>
    <row r="17" spans="1:6">
      <c r="A17" s="18" t="s">
        <v>85</v>
      </c>
      <c r="B17" s="24">
        <v>0</v>
      </c>
      <c r="C17" s="24">
        <v>5.0000000000000001E-3</v>
      </c>
    </row>
    <row r="18" spans="1:6">
      <c r="A18" s="18" t="s">
        <v>86</v>
      </c>
      <c r="B18" s="24">
        <v>1.4999999999999999E-2</v>
      </c>
      <c r="C18" s="24">
        <v>0.03</v>
      </c>
    </row>
    <row r="19" spans="1:6">
      <c r="A19" s="18" t="s">
        <v>87</v>
      </c>
      <c r="B19" s="24">
        <v>0.01</v>
      </c>
      <c r="C19" s="24">
        <v>0.01</v>
      </c>
    </row>
    <row r="20" spans="1:6">
      <c r="A20" s="25" t="s">
        <v>88</v>
      </c>
      <c r="B20" s="26">
        <f>SUM(B16:B19)</f>
        <v>0.105</v>
      </c>
      <c r="C20" s="26">
        <f>SUM(C16:C19)</f>
        <v>0.21500000000000002</v>
      </c>
    </row>
    <row r="21" spans="1:6" ht="15" customHeight="1">
      <c r="A21" s="13" t="s">
        <v>89</v>
      </c>
      <c r="B21" s="13"/>
      <c r="C21" s="13"/>
      <c r="D21" s="13"/>
      <c r="E21" s="13"/>
      <c r="F21" s="13"/>
    </row>
    <row r="22" spans="1:6" ht="15" customHeight="1">
      <c r="A22" s="18" t="s">
        <v>90</v>
      </c>
      <c r="B22" s="22">
        <v>15500000</v>
      </c>
      <c r="C22" s="12" t="s">
        <v>91</v>
      </c>
      <c r="D22" s="12"/>
      <c r="E22" s="12"/>
      <c r="F22" s="12"/>
    </row>
    <row r="23" spans="1:6" ht="15" customHeight="1">
      <c r="A23" s="18" t="s">
        <v>92</v>
      </c>
      <c r="B23" s="22">
        <v>6200000</v>
      </c>
      <c r="C23" s="12" t="s">
        <v>91</v>
      </c>
      <c r="D23" s="12"/>
      <c r="E23" s="12"/>
      <c r="F23" s="12"/>
    </row>
    <row r="24" spans="1:6" ht="15" customHeight="1">
      <c r="A24" s="18" t="s">
        <v>93</v>
      </c>
      <c r="B24" s="22">
        <v>730000</v>
      </c>
      <c r="C24" s="12" t="s">
        <v>94</v>
      </c>
      <c r="D24" s="12"/>
      <c r="E24" s="12"/>
      <c r="F24" s="12"/>
    </row>
    <row r="25" spans="1:6" ht="15" customHeight="1">
      <c r="A25" s="13" t="s">
        <v>95</v>
      </c>
      <c r="B25" s="13"/>
      <c r="C25" s="13"/>
      <c r="D25" s="13"/>
      <c r="E25" s="13"/>
      <c r="F25" s="13"/>
    </row>
    <row r="26" spans="1:6" ht="30" customHeight="1">
      <c r="A26" s="23" t="s">
        <v>96</v>
      </c>
      <c r="B26" s="23" t="s">
        <v>97</v>
      </c>
      <c r="C26" s="23" t="s">
        <v>98</v>
      </c>
      <c r="D26" s="23" t="s">
        <v>99</v>
      </c>
      <c r="E26" s="23" t="s">
        <v>100</v>
      </c>
    </row>
    <row r="27" spans="1:6">
      <c r="A27" s="27" t="s">
        <v>101</v>
      </c>
      <c r="B27" s="22">
        <v>0</v>
      </c>
      <c r="C27" s="21">
        <f>B28</f>
        <v>10000000</v>
      </c>
      <c r="D27" s="28">
        <v>0.05</v>
      </c>
      <c r="E27" s="29">
        <f>D27</f>
        <v>0.05</v>
      </c>
    </row>
    <row r="28" spans="1:6">
      <c r="A28" s="27" t="s">
        <v>102</v>
      </c>
      <c r="B28" s="22">
        <v>10000000</v>
      </c>
      <c r="C28" s="21">
        <f>B29</f>
        <v>30000000</v>
      </c>
      <c r="D28" s="28">
        <v>0.1</v>
      </c>
      <c r="E28" s="29">
        <f>D28-D27</f>
        <v>0.05</v>
      </c>
    </row>
    <row r="29" spans="1:6">
      <c r="A29" s="27" t="s">
        <v>103</v>
      </c>
      <c r="B29" s="22">
        <v>30000000</v>
      </c>
      <c r="C29" s="21">
        <f>B30</f>
        <v>60000000</v>
      </c>
      <c r="D29" s="28">
        <v>0.2</v>
      </c>
      <c r="E29" s="29">
        <f>D29-D28</f>
        <v>0.1</v>
      </c>
    </row>
    <row r="30" spans="1:6">
      <c r="A30" s="27" t="s">
        <v>104</v>
      </c>
      <c r="B30" s="22">
        <v>60000000</v>
      </c>
      <c r="C30" s="21">
        <f>B31</f>
        <v>100000000</v>
      </c>
      <c r="D30" s="28">
        <v>0.3</v>
      </c>
      <c r="E30" s="29">
        <f>D30-D29</f>
        <v>9.9999999999999978E-2</v>
      </c>
    </row>
    <row r="31" spans="1:6">
      <c r="A31" s="27" t="s">
        <v>105</v>
      </c>
      <c r="B31" s="22">
        <v>100000000</v>
      </c>
      <c r="C31" s="21" t="s">
        <v>106</v>
      </c>
      <c r="D31" s="28">
        <v>0.35</v>
      </c>
      <c r="E31" s="29">
        <f>D31-D30</f>
        <v>4.9999999999999989E-2</v>
      </c>
    </row>
    <row r="34" spans="1:6" ht="15" customHeight="1">
      <c r="A34" s="13" t="s">
        <v>107</v>
      </c>
      <c r="B34" s="13"/>
      <c r="C34" s="13"/>
      <c r="D34" s="13"/>
      <c r="E34" s="13"/>
      <c r="F34" s="13"/>
    </row>
    <row r="35" spans="1:6" ht="15" customHeight="1">
      <c r="A35" s="18" t="s">
        <v>108</v>
      </c>
      <c r="B35" s="22">
        <v>30000</v>
      </c>
      <c r="C35" s="12" t="s">
        <v>109</v>
      </c>
      <c r="D35" s="12"/>
      <c r="E35" s="12"/>
      <c r="F35" s="12"/>
    </row>
    <row r="36" spans="1:6" ht="15" customHeight="1">
      <c r="A36" s="18" t="s">
        <v>110</v>
      </c>
      <c r="B36" s="22">
        <v>150000</v>
      </c>
      <c r="C36" s="12" t="s">
        <v>111</v>
      </c>
      <c r="D36" s="12"/>
      <c r="E36" s="12"/>
      <c r="F36" s="12"/>
    </row>
    <row r="37" spans="1:6" ht="15" customHeight="1">
      <c r="A37" s="18" t="s">
        <v>112</v>
      </c>
      <c r="B37" s="28">
        <v>1.5</v>
      </c>
      <c r="C37" s="12" t="s">
        <v>113</v>
      </c>
      <c r="D37" s="12"/>
      <c r="E37" s="12"/>
      <c r="F37" s="12"/>
    </row>
    <row r="38" spans="1:6" ht="15" customHeight="1">
      <c r="A38" s="18" t="s">
        <v>114</v>
      </c>
      <c r="B38" s="28">
        <v>2</v>
      </c>
      <c r="C38" s="12" t="s">
        <v>115</v>
      </c>
      <c r="D38" s="12"/>
      <c r="E38" s="12"/>
      <c r="F38" s="12"/>
    </row>
    <row r="39" spans="1:6" ht="15" customHeight="1">
      <c r="A39" s="18" t="s">
        <v>116</v>
      </c>
      <c r="B39" s="28">
        <v>3</v>
      </c>
      <c r="C39" s="12" t="s">
        <v>117</v>
      </c>
      <c r="D39" s="12"/>
      <c r="E39" s="12"/>
      <c r="F39" s="12"/>
    </row>
    <row r="40" spans="1:6" ht="15" customHeight="1">
      <c r="A40" s="18" t="s">
        <v>118</v>
      </c>
      <c r="B40" s="28">
        <v>0.3</v>
      </c>
      <c r="C40" s="12" t="s">
        <v>119</v>
      </c>
      <c r="D40" s="12"/>
      <c r="E40" s="12"/>
      <c r="F40" s="12"/>
    </row>
    <row r="41" spans="1:6" ht="15" customHeight="1">
      <c r="A41" s="18" t="s">
        <v>120</v>
      </c>
      <c r="B41" s="22">
        <v>21000</v>
      </c>
      <c r="C41" s="12" t="s">
        <v>121</v>
      </c>
      <c r="D41" s="12"/>
      <c r="E41" s="12"/>
      <c r="F41" s="12"/>
    </row>
    <row r="42" spans="1:6" ht="15" customHeight="1">
      <c r="A42" s="18" t="s">
        <v>122</v>
      </c>
      <c r="B42" s="28">
        <v>0.5</v>
      </c>
      <c r="C42" s="12" t="s">
        <v>123</v>
      </c>
      <c r="D42" s="12"/>
      <c r="E42" s="12"/>
      <c r="F42" s="12"/>
    </row>
    <row r="43" spans="1:6" ht="15" customHeight="1">
      <c r="A43" s="18" t="s">
        <v>124</v>
      </c>
      <c r="B43" s="28">
        <v>0.3</v>
      </c>
      <c r="C43" s="12" t="s">
        <v>125</v>
      </c>
      <c r="D43" s="12"/>
      <c r="E43" s="12"/>
      <c r="F43" s="12"/>
    </row>
    <row r="44" spans="1:6" ht="15" customHeight="1">
      <c r="A44" s="18" t="s">
        <v>126</v>
      </c>
      <c r="B44" s="22">
        <v>500000</v>
      </c>
      <c r="C44" s="12" t="s">
        <v>127</v>
      </c>
      <c r="D44" s="12"/>
      <c r="E44" s="12"/>
      <c r="F44" s="12"/>
    </row>
    <row r="45" spans="1:6" ht="15" customHeight="1">
      <c r="A45" s="18" t="s">
        <v>128</v>
      </c>
      <c r="B45" s="22">
        <v>300000</v>
      </c>
      <c r="C45" s="12" t="s">
        <v>129</v>
      </c>
      <c r="D45" s="12"/>
      <c r="E45" s="12"/>
      <c r="F45" s="12"/>
    </row>
    <row r="47" spans="1:6" ht="15" customHeight="1">
      <c r="A47" s="13" t="s">
        <v>130</v>
      </c>
      <c r="B47" s="13"/>
      <c r="C47" s="13"/>
      <c r="D47" s="13"/>
      <c r="E47" s="13"/>
      <c r="F47" s="13"/>
    </row>
    <row r="48" spans="1:6" ht="25.5">
      <c r="A48" s="23" t="s">
        <v>131</v>
      </c>
      <c r="B48" s="23" t="s">
        <v>132</v>
      </c>
    </row>
    <row r="49" spans="1:2">
      <c r="A49" s="18" t="s">
        <v>72</v>
      </c>
      <c r="B49" s="22">
        <v>5310000</v>
      </c>
    </row>
    <row r="50" spans="1:2">
      <c r="A50" s="18" t="s">
        <v>133</v>
      </c>
      <c r="B50" s="22">
        <v>4730000</v>
      </c>
    </row>
    <row r="51" spans="1:2">
      <c r="A51" s="18" t="s">
        <v>134</v>
      </c>
      <c r="B51" s="22">
        <v>4140000</v>
      </c>
    </row>
    <row r="52" spans="1:2">
      <c r="A52" s="18" t="s">
        <v>135</v>
      </c>
      <c r="B52" s="22">
        <v>3700000</v>
      </c>
    </row>
  </sheetData>
  <mergeCells count="25">
    <mergeCell ref="C42:F42"/>
    <mergeCell ref="C43:F43"/>
    <mergeCell ref="C44:F44"/>
    <mergeCell ref="C45:F45"/>
    <mergeCell ref="A47:F47"/>
    <mergeCell ref="C37:F37"/>
    <mergeCell ref="C38:F38"/>
    <mergeCell ref="C39:F39"/>
    <mergeCell ref="C40:F40"/>
    <mergeCell ref="C41:F41"/>
    <mergeCell ref="C24:F24"/>
    <mergeCell ref="A25:F25"/>
    <mergeCell ref="A34:F34"/>
    <mergeCell ref="C35:F35"/>
    <mergeCell ref="C36:F36"/>
    <mergeCell ref="C10:F10"/>
    <mergeCell ref="A14:F14"/>
    <mergeCell ref="A21:F21"/>
    <mergeCell ref="C22:F22"/>
    <mergeCell ref="C23:F23"/>
    <mergeCell ref="A1:F1"/>
    <mergeCell ref="A3:F3"/>
    <mergeCell ref="C6:F6"/>
    <mergeCell ref="C8:F8"/>
    <mergeCell ref="C9:F9"/>
  </mergeCells>
  <dataValidations count="1">
    <dataValidation type="list" sqref="B8" xr:uid="{00000000-0002-0000-0100-000000000000}">
      <formula1>$A$49:$A$52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28C28"/>
    <pageSetUpPr fitToPage="1"/>
  </sheetPr>
  <dimension ref="A1:Z25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Z1"/>
    </sheetView>
  </sheetViews>
  <sheetFormatPr defaultColWidth="8.7109375" defaultRowHeight="15"/>
  <cols>
    <col min="1" max="1" width="6" customWidth="1"/>
    <col min="2" max="2" width="11" customWidth="1"/>
    <col min="3" max="3" width="24" customWidth="1"/>
    <col min="4" max="4" width="14" customWidth="1"/>
    <col min="5" max="5" width="16" customWidth="1"/>
    <col min="6" max="7" width="11" customWidth="1"/>
    <col min="8" max="8" width="10" customWidth="1"/>
    <col min="9" max="9" width="13" customWidth="1"/>
    <col min="10" max="11" width="11" customWidth="1"/>
    <col min="12" max="12" width="9" customWidth="1"/>
    <col min="13" max="16" width="10" customWidth="1"/>
    <col min="17" max="18" width="12" customWidth="1"/>
    <col min="19" max="20" width="11" customWidth="1"/>
    <col min="21" max="21" width="10" customWidth="1"/>
    <col min="22" max="22" width="15" customWidth="1"/>
    <col min="23" max="23" width="12" customWidth="1"/>
    <col min="24" max="24" width="14" customWidth="1"/>
    <col min="25" max="25" width="13" customWidth="1"/>
    <col min="26" max="26" width="24" customWidth="1"/>
  </cols>
  <sheetData>
    <row r="1" spans="1:26" ht="30" customHeight="1">
      <c r="A1" s="14" t="s">
        <v>136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30" t="str">
        <f>"Công ty: "&amp;'Cấu hình'!B4&amp;"   |   Kỳ lương: "&amp;'Cấu hình'!B5</f>
        <v>Công ty: CÔNG TY TNHH VẬN TẢI ABC   |   Kỳ lương: Tháng 10/2026</v>
      </c>
    </row>
    <row r="3" spans="1:26" ht="22.35" customHeight="1">
      <c r="A3" s="11" t="s">
        <v>137</v>
      </c>
      <c r="B3" s="11"/>
      <c r="C3" s="11"/>
      <c r="D3" s="11"/>
      <c r="E3" s="10" t="s">
        <v>138</v>
      </c>
      <c r="F3" s="10"/>
      <c r="G3" s="11" t="s">
        <v>139</v>
      </c>
      <c r="H3" s="11"/>
      <c r="I3" s="11"/>
      <c r="J3" s="11"/>
      <c r="K3" s="11"/>
      <c r="L3" s="11"/>
      <c r="M3" s="10" t="s">
        <v>140</v>
      </c>
      <c r="N3" s="10"/>
      <c r="O3" s="10"/>
      <c r="P3" s="10"/>
      <c r="Q3" s="11" t="s">
        <v>141</v>
      </c>
      <c r="R3" s="11"/>
      <c r="S3" s="10" t="s">
        <v>142</v>
      </c>
      <c r="T3" s="10"/>
      <c r="U3" s="10"/>
      <c r="V3" s="11" t="s">
        <v>143</v>
      </c>
      <c r="W3" s="11"/>
      <c r="X3" s="11"/>
      <c r="Y3" s="11"/>
      <c r="Z3" s="31"/>
    </row>
    <row r="4" spans="1:26" ht="43.5" customHeight="1">
      <c r="A4" s="23" t="s">
        <v>144</v>
      </c>
      <c r="B4" s="23" t="s">
        <v>145</v>
      </c>
      <c r="C4" s="23" t="s">
        <v>146</v>
      </c>
      <c r="D4" s="23" t="s">
        <v>147</v>
      </c>
      <c r="E4" s="23" t="s">
        <v>148</v>
      </c>
      <c r="F4" s="23" t="s">
        <v>149</v>
      </c>
      <c r="G4" s="23" t="s">
        <v>150</v>
      </c>
      <c r="H4" s="23" t="s">
        <v>151</v>
      </c>
      <c r="I4" s="23" t="s">
        <v>152</v>
      </c>
      <c r="J4" s="23" t="s">
        <v>153</v>
      </c>
      <c r="K4" s="23" t="s">
        <v>154</v>
      </c>
      <c r="L4" s="23" t="s">
        <v>155</v>
      </c>
      <c r="M4" s="23" t="s">
        <v>156</v>
      </c>
      <c r="N4" s="23" t="s">
        <v>157</v>
      </c>
      <c r="O4" s="23" t="s">
        <v>158</v>
      </c>
      <c r="P4" s="23" t="s">
        <v>159</v>
      </c>
      <c r="Q4" s="23" t="s">
        <v>160</v>
      </c>
      <c r="R4" s="23" t="s">
        <v>161</v>
      </c>
      <c r="S4" s="23" t="s">
        <v>162</v>
      </c>
      <c r="T4" s="23" t="s">
        <v>163</v>
      </c>
      <c r="U4" s="23" t="s">
        <v>164</v>
      </c>
      <c r="V4" s="23" t="s">
        <v>165</v>
      </c>
      <c r="W4" s="23" t="s">
        <v>166</v>
      </c>
      <c r="X4" s="23" t="s">
        <v>167</v>
      </c>
      <c r="Y4" s="23" t="s">
        <v>168</v>
      </c>
      <c r="Z4" s="23" t="s">
        <v>169</v>
      </c>
    </row>
    <row r="5" spans="1:26">
      <c r="A5" s="32"/>
      <c r="B5" s="32"/>
      <c r="C5" s="32"/>
      <c r="D5" s="32"/>
      <c r="E5" s="32" t="s">
        <v>170</v>
      </c>
      <c r="F5" s="32" t="s">
        <v>171</v>
      </c>
      <c r="G5" s="32" t="s">
        <v>172</v>
      </c>
      <c r="H5" s="32" t="s">
        <v>173</v>
      </c>
      <c r="I5" s="32" t="s">
        <v>174</v>
      </c>
      <c r="J5" s="32" t="s">
        <v>175</v>
      </c>
      <c r="K5" s="32" t="s">
        <v>176</v>
      </c>
      <c r="L5" s="32" t="s">
        <v>177</v>
      </c>
      <c r="M5" s="32" t="s">
        <v>178</v>
      </c>
      <c r="N5" s="32" t="s">
        <v>178</v>
      </c>
      <c r="O5" s="32" t="s">
        <v>178</v>
      </c>
      <c r="P5" s="32" t="s">
        <v>178</v>
      </c>
      <c r="Q5" s="32" t="s">
        <v>179</v>
      </c>
      <c r="R5" s="32" t="s">
        <v>179</v>
      </c>
      <c r="S5" s="32" t="s">
        <v>180</v>
      </c>
      <c r="T5" s="32" t="s">
        <v>181</v>
      </c>
      <c r="U5" s="32" t="s">
        <v>172</v>
      </c>
      <c r="V5" s="32" t="s">
        <v>182</v>
      </c>
      <c r="W5" s="32" t="s">
        <v>182</v>
      </c>
      <c r="X5" s="32" t="s">
        <v>182</v>
      </c>
      <c r="Y5" s="32" t="s">
        <v>182</v>
      </c>
      <c r="Z5" s="32"/>
    </row>
    <row r="6" spans="1:26">
      <c r="A6" s="33">
        <v>1</v>
      </c>
      <c r="B6" s="34" t="s">
        <v>183</v>
      </c>
      <c r="C6" s="34" t="s">
        <v>184</v>
      </c>
      <c r="D6" s="34" t="s">
        <v>185</v>
      </c>
      <c r="E6" s="22">
        <v>8000000</v>
      </c>
      <c r="F6" s="20">
        <v>2</v>
      </c>
      <c r="G6" s="35">
        <v>26</v>
      </c>
      <c r="H6" s="20">
        <v>38</v>
      </c>
      <c r="I6" s="22">
        <v>150000</v>
      </c>
      <c r="J6" s="22">
        <v>0</v>
      </c>
      <c r="K6" s="22">
        <v>0</v>
      </c>
      <c r="L6" s="20">
        <v>4</v>
      </c>
      <c r="M6" s="35">
        <v>8</v>
      </c>
      <c r="N6" s="35">
        <v>4</v>
      </c>
      <c r="O6" s="35">
        <v>0</v>
      </c>
      <c r="P6" s="35">
        <v>12</v>
      </c>
      <c r="Q6" s="22">
        <v>1800</v>
      </c>
      <c r="R6" s="22">
        <v>1740</v>
      </c>
      <c r="S6" s="20">
        <v>0</v>
      </c>
      <c r="T6" s="20">
        <v>0</v>
      </c>
      <c r="U6" s="20">
        <v>0</v>
      </c>
      <c r="V6" s="22">
        <v>500000</v>
      </c>
      <c r="W6" s="22">
        <v>0</v>
      </c>
      <c r="X6" s="22">
        <v>0</v>
      </c>
      <c r="Y6" s="22">
        <v>2000000</v>
      </c>
      <c r="Z6" s="34"/>
    </row>
    <row r="7" spans="1:26">
      <c r="A7" s="33">
        <v>2</v>
      </c>
      <c r="B7" s="34" t="s">
        <v>186</v>
      </c>
      <c r="C7" s="34" t="s">
        <v>187</v>
      </c>
      <c r="D7" s="34" t="s">
        <v>188</v>
      </c>
      <c r="E7" s="22">
        <v>7500000</v>
      </c>
      <c r="F7" s="20">
        <v>1</v>
      </c>
      <c r="G7" s="35">
        <v>26</v>
      </c>
      <c r="H7" s="20">
        <v>22</v>
      </c>
      <c r="I7" s="22">
        <v>250000</v>
      </c>
      <c r="J7" s="22">
        <v>0</v>
      </c>
      <c r="K7" s="22">
        <v>0</v>
      </c>
      <c r="L7" s="20">
        <v>8</v>
      </c>
      <c r="M7" s="35">
        <v>10</v>
      </c>
      <c r="N7" s="35">
        <v>6</v>
      </c>
      <c r="O7" s="35">
        <v>8</v>
      </c>
      <c r="P7" s="35">
        <v>40</v>
      </c>
      <c r="Q7" s="22">
        <v>2200</v>
      </c>
      <c r="R7" s="22">
        <v>2260</v>
      </c>
      <c r="S7" s="20">
        <v>1</v>
      </c>
      <c r="T7" s="20">
        <v>0</v>
      </c>
      <c r="U7" s="20">
        <v>0</v>
      </c>
      <c r="V7" s="22">
        <v>300000</v>
      </c>
      <c r="W7" s="22">
        <v>0</v>
      </c>
      <c r="X7" s="22">
        <v>400000</v>
      </c>
      <c r="Y7" s="22">
        <v>3000000</v>
      </c>
      <c r="Z7" s="34" t="s">
        <v>189</v>
      </c>
    </row>
    <row r="8" spans="1:26">
      <c r="A8" s="33">
        <v>3</v>
      </c>
      <c r="B8" s="34" t="s">
        <v>190</v>
      </c>
      <c r="C8" s="34" t="s">
        <v>191</v>
      </c>
      <c r="D8" s="34" t="s">
        <v>192</v>
      </c>
      <c r="E8" s="22">
        <v>9000000</v>
      </c>
      <c r="F8" s="20">
        <v>0</v>
      </c>
      <c r="G8" s="35">
        <v>26</v>
      </c>
      <c r="H8" s="20">
        <v>30</v>
      </c>
      <c r="I8" s="22">
        <v>180000</v>
      </c>
      <c r="J8" s="22">
        <v>3000</v>
      </c>
      <c r="K8" s="22">
        <v>800</v>
      </c>
      <c r="L8" s="20">
        <v>2</v>
      </c>
      <c r="M8" s="35">
        <v>12</v>
      </c>
      <c r="N8" s="35">
        <v>4</v>
      </c>
      <c r="O8" s="35">
        <v>0</v>
      </c>
      <c r="P8" s="35">
        <v>8</v>
      </c>
      <c r="Q8" s="22">
        <v>1500</v>
      </c>
      <c r="R8" s="22">
        <v>1430</v>
      </c>
      <c r="S8" s="20">
        <v>0</v>
      </c>
      <c r="T8" s="20">
        <v>0</v>
      </c>
      <c r="U8" s="20">
        <v>0</v>
      </c>
      <c r="V8" s="22">
        <v>500000</v>
      </c>
      <c r="W8" s="22">
        <v>500000</v>
      </c>
      <c r="X8" s="22">
        <v>0</v>
      </c>
      <c r="Y8" s="22">
        <v>0</v>
      </c>
      <c r="Z8" s="34"/>
    </row>
    <row r="9" spans="1:26">
      <c r="A9" s="33">
        <v>4</v>
      </c>
      <c r="B9" s="34" t="s">
        <v>193</v>
      </c>
      <c r="C9" s="34" t="s">
        <v>194</v>
      </c>
      <c r="D9" s="34" t="s">
        <v>195</v>
      </c>
      <c r="E9" s="22">
        <v>6500000</v>
      </c>
      <c r="F9" s="20">
        <v>3</v>
      </c>
      <c r="G9" s="35">
        <v>24</v>
      </c>
      <c r="H9" s="20">
        <v>28</v>
      </c>
      <c r="I9" s="22">
        <v>140000</v>
      </c>
      <c r="J9" s="22">
        <v>0</v>
      </c>
      <c r="K9" s="22">
        <v>0</v>
      </c>
      <c r="L9" s="20">
        <v>0</v>
      </c>
      <c r="M9" s="35">
        <v>0</v>
      </c>
      <c r="N9" s="35">
        <v>0</v>
      </c>
      <c r="O9" s="35">
        <v>0</v>
      </c>
      <c r="P9" s="35">
        <v>0</v>
      </c>
      <c r="Q9" s="22">
        <v>1300</v>
      </c>
      <c r="R9" s="22">
        <v>1310</v>
      </c>
      <c r="S9" s="20">
        <v>0</v>
      </c>
      <c r="T9" s="20">
        <v>1</v>
      </c>
      <c r="U9" s="20">
        <v>2</v>
      </c>
      <c r="V9" s="22">
        <v>0</v>
      </c>
      <c r="W9" s="22">
        <v>0</v>
      </c>
      <c r="X9" s="22">
        <v>1000000</v>
      </c>
      <c r="Y9" s="22">
        <v>1000000</v>
      </c>
      <c r="Z9" s="34" t="s">
        <v>196</v>
      </c>
    </row>
    <row r="10" spans="1:26">
      <c r="A10" s="33">
        <v>5</v>
      </c>
      <c r="B10" s="34" t="s">
        <v>197</v>
      </c>
      <c r="C10" s="34" t="s">
        <v>198</v>
      </c>
      <c r="D10" s="34" t="s">
        <v>199</v>
      </c>
      <c r="E10" s="22">
        <v>8500000</v>
      </c>
      <c r="F10" s="20">
        <v>1</v>
      </c>
      <c r="G10" s="35">
        <v>26</v>
      </c>
      <c r="H10" s="20">
        <v>18</v>
      </c>
      <c r="I10" s="22">
        <v>300000</v>
      </c>
      <c r="J10" s="22">
        <v>4000</v>
      </c>
      <c r="K10" s="22">
        <v>700</v>
      </c>
      <c r="L10" s="20">
        <v>10</v>
      </c>
      <c r="M10" s="35">
        <v>6</v>
      </c>
      <c r="N10" s="35">
        <v>8</v>
      </c>
      <c r="O10" s="35">
        <v>0</v>
      </c>
      <c r="P10" s="35">
        <v>30</v>
      </c>
      <c r="Q10" s="22">
        <v>2000</v>
      </c>
      <c r="R10" s="22">
        <v>1950</v>
      </c>
      <c r="S10" s="20">
        <v>0</v>
      </c>
      <c r="T10" s="20">
        <v>0</v>
      </c>
      <c r="U10" s="20">
        <v>0</v>
      </c>
      <c r="V10" s="22">
        <v>400000</v>
      </c>
      <c r="W10" s="22">
        <v>200000</v>
      </c>
      <c r="X10" s="22">
        <v>0</v>
      </c>
      <c r="Y10" s="22">
        <v>0</v>
      </c>
      <c r="Z10" s="34"/>
    </row>
    <row r="11" spans="1:26">
      <c r="A11" s="33">
        <v>6</v>
      </c>
      <c r="B11" s="34" t="s">
        <v>200</v>
      </c>
      <c r="C11" s="34" t="s">
        <v>201</v>
      </c>
      <c r="D11" s="34" t="s">
        <v>202</v>
      </c>
      <c r="E11" s="22">
        <v>7000000</v>
      </c>
      <c r="F11" s="20">
        <v>0</v>
      </c>
      <c r="G11" s="35">
        <v>26</v>
      </c>
      <c r="H11" s="20">
        <v>35</v>
      </c>
      <c r="I11" s="22">
        <v>130000</v>
      </c>
      <c r="J11" s="22">
        <v>0</v>
      </c>
      <c r="K11" s="22">
        <v>0</v>
      </c>
      <c r="L11" s="20">
        <v>0</v>
      </c>
      <c r="M11" s="35">
        <v>4</v>
      </c>
      <c r="N11" s="35">
        <v>0</v>
      </c>
      <c r="O11" s="35">
        <v>0</v>
      </c>
      <c r="P11" s="35">
        <v>0</v>
      </c>
      <c r="Q11" s="22">
        <v>1600</v>
      </c>
      <c r="R11" s="22">
        <v>1600</v>
      </c>
      <c r="S11" s="20">
        <v>0</v>
      </c>
      <c r="T11" s="20">
        <v>0</v>
      </c>
      <c r="U11" s="20">
        <v>0</v>
      </c>
      <c r="V11" s="22">
        <v>0</v>
      </c>
      <c r="W11" s="22">
        <v>0</v>
      </c>
      <c r="X11" s="22">
        <v>0</v>
      </c>
      <c r="Y11" s="22">
        <v>0</v>
      </c>
      <c r="Z11" s="34"/>
    </row>
    <row r="12" spans="1:26">
      <c r="A12" s="33">
        <v>7</v>
      </c>
      <c r="B12" s="34"/>
      <c r="C12" s="34"/>
      <c r="D12" s="34"/>
      <c r="E12" s="22"/>
      <c r="F12" s="20"/>
      <c r="G12" s="35"/>
      <c r="H12" s="20"/>
      <c r="I12" s="22"/>
      <c r="J12" s="22"/>
      <c r="K12" s="22"/>
      <c r="L12" s="20"/>
      <c r="M12" s="35"/>
      <c r="N12" s="35"/>
      <c r="O12" s="35"/>
      <c r="P12" s="35"/>
      <c r="Q12" s="22"/>
      <c r="R12" s="22"/>
      <c r="S12" s="20"/>
      <c r="T12" s="20"/>
      <c r="U12" s="20"/>
      <c r="V12" s="22"/>
      <c r="W12" s="22"/>
      <c r="X12" s="22"/>
      <c r="Y12" s="22"/>
      <c r="Z12" s="34"/>
    </row>
    <row r="13" spans="1:26">
      <c r="A13" s="33">
        <v>8</v>
      </c>
      <c r="B13" s="34"/>
      <c r="C13" s="34"/>
      <c r="D13" s="34"/>
      <c r="E13" s="22"/>
      <c r="F13" s="20"/>
      <c r="G13" s="35"/>
      <c r="H13" s="20"/>
      <c r="I13" s="22"/>
      <c r="J13" s="22"/>
      <c r="K13" s="22"/>
      <c r="L13" s="20"/>
      <c r="M13" s="35"/>
      <c r="N13" s="35"/>
      <c r="O13" s="35"/>
      <c r="P13" s="35"/>
      <c r="Q13" s="22"/>
      <c r="R13" s="22"/>
      <c r="S13" s="20"/>
      <c r="T13" s="20"/>
      <c r="U13" s="20"/>
      <c r="V13" s="22"/>
      <c r="W13" s="22"/>
      <c r="X13" s="22"/>
      <c r="Y13" s="22"/>
      <c r="Z13" s="34"/>
    </row>
    <row r="14" spans="1:26">
      <c r="A14" s="33">
        <v>9</v>
      </c>
      <c r="B14" s="34"/>
      <c r="C14" s="34"/>
      <c r="D14" s="34"/>
      <c r="E14" s="22"/>
      <c r="F14" s="20"/>
      <c r="G14" s="35"/>
      <c r="H14" s="20"/>
      <c r="I14" s="22"/>
      <c r="J14" s="22"/>
      <c r="K14" s="22"/>
      <c r="L14" s="20"/>
      <c r="M14" s="35"/>
      <c r="N14" s="35"/>
      <c r="O14" s="35"/>
      <c r="P14" s="35"/>
      <c r="Q14" s="22"/>
      <c r="R14" s="22"/>
      <c r="S14" s="20"/>
      <c r="T14" s="20"/>
      <c r="U14" s="20"/>
      <c r="V14" s="22"/>
      <c r="W14" s="22"/>
      <c r="X14" s="22"/>
      <c r="Y14" s="22"/>
      <c r="Z14" s="34"/>
    </row>
    <row r="15" spans="1:26">
      <c r="A15" s="33">
        <v>10</v>
      </c>
      <c r="B15" s="34"/>
      <c r="C15" s="34"/>
      <c r="D15" s="34"/>
      <c r="E15" s="22"/>
      <c r="F15" s="20"/>
      <c r="G15" s="35"/>
      <c r="H15" s="20"/>
      <c r="I15" s="22"/>
      <c r="J15" s="22"/>
      <c r="K15" s="22"/>
      <c r="L15" s="20"/>
      <c r="M15" s="35"/>
      <c r="N15" s="35"/>
      <c r="O15" s="35"/>
      <c r="P15" s="35"/>
      <c r="Q15" s="22"/>
      <c r="R15" s="22"/>
      <c r="S15" s="20"/>
      <c r="T15" s="20"/>
      <c r="U15" s="20"/>
      <c r="V15" s="22"/>
      <c r="W15" s="22"/>
      <c r="X15" s="22"/>
      <c r="Y15" s="22"/>
      <c r="Z15" s="34"/>
    </row>
    <row r="16" spans="1:26">
      <c r="A16" s="33">
        <v>11</v>
      </c>
      <c r="B16" s="34"/>
      <c r="C16" s="34"/>
      <c r="D16" s="34"/>
      <c r="E16" s="22"/>
      <c r="F16" s="20"/>
      <c r="G16" s="35"/>
      <c r="H16" s="20"/>
      <c r="I16" s="22"/>
      <c r="J16" s="22"/>
      <c r="K16" s="22"/>
      <c r="L16" s="20"/>
      <c r="M16" s="35"/>
      <c r="N16" s="35"/>
      <c r="O16" s="35"/>
      <c r="P16" s="35"/>
      <c r="Q16" s="22"/>
      <c r="R16" s="22"/>
      <c r="S16" s="20"/>
      <c r="T16" s="20"/>
      <c r="U16" s="20"/>
      <c r="V16" s="22"/>
      <c r="W16" s="22"/>
      <c r="X16" s="22"/>
      <c r="Y16" s="22"/>
      <c r="Z16" s="34"/>
    </row>
    <row r="17" spans="1:26">
      <c r="A17" s="33">
        <v>12</v>
      </c>
      <c r="B17" s="34"/>
      <c r="C17" s="34"/>
      <c r="D17" s="34"/>
      <c r="E17" s="22"/>
      <c r="F17" s="20"/>
      <c r="G17" s="35"/>
      <c r="H17" s="20"/>
      <c r="I17" s="22"/>
      <c r="J17" s="22"/>
      <c r="K17" s="22"/>
      <c r="L17" s="20"/>
      <c r="M17" s="35"/>
      <c r="N17" s="35"/>
      <c r="O17" s="35"/>
      <c r="P17" s="35"/>
      <c r="Q17" s="22"/>
      <c r="R17" s="22"/>
      <c r="S17" s="20"/>
      <c r="T17" s="20"/>
      <c r="U17" s="20"/>
      <c r="V17" s="22"/>
      <c r="W17" s="22"/>
      <c r="X17" s="22"/>
      <c r="Y17" s="22"/>
      <c r="Z17" s="34"/>
    </row>
    <row r="18" spans="1:26">
      <c r="A18" s="33">
        <v>13</v>
      </c>
      <c r="B18" s="34"/>
      <c r="C18" s="34"/>
      <c r="D18" s="34"/>
      <c r="E18" s="22"/>
      <c r="F18" s="20"/>
      <c r="G18" s="35"/>
      <c r="H18" s="20"/>
      <c r="I18" s="22"/>
      <c r="J18" s="22"/>
      <c r="K18" s="22"/>
      <c r="L18" s="20"/>
      <c r="M18" s="35"/>
      <c r="N18" s="35"/>
      <c r="O18" s="35"/>
      <c r="P18" s="35"/>
      <c r="Q18" s="22"/>
      <c r="R18" s="22"/>
      <c r="S18" s="20"/>
      <c r="T18" s="20"/>
      <c r="U18" s="20"/>
      <c r="V18" s="22"/>
      <c r="W18" s="22"/>
      <c r="X18" s="22"/>
      <c r="Y18" s="22"/>
      <c r="Z18" s="34"/>
    </row>
    <row r="19" spans="1:26">
      <c r="A19" s="33">
        <v>14</v>
      </c>
      <c r="B19" s="34"/>
      <c r="C19" s="34"/>
      <c r="D19" s="34"/>
      <c r="E19" s="22"/>
      <c r="F19" s="20"/>
      <c r="G19" s="35"/>
      <c r="H19" s="20"/>
      <c r="I19" s="22"/>
      <c r="J19" s="22"/>
      <c r="K19" s="22"/>
      <c r="L19" s="20"/>
      <c r="M19" s="35"/>
      <c r="N19" s="35"/>
      <c r="O19" s="35"/>
      <c r="P19" s="35"/>
      <c r="Q19" s="22"/>
      <c r="R19" s="22"/>
      <c r="S19" s="20"/>
      <c r="T19" s="20"/>
      <c r="U19" s="20"/>
      <c r="V19" s="22"/>
      <c r="W19" s="22"/>
      <c r="X19" s="22"/>
      <c r="Y19" s="22"/>
      <c r="Z19" s="34"/>
    </row>
    <row r="20" spans="1:26">
      <c r="A20" s="33">
        <v>15</v>
      </c>
      <c r="B20" s="34"/>
      <c r="C20" s="34"/>
      <c r="D20" s="34"/>
      <c r="E20" s="22"/>
      <c r="F20" s="20"/>
      <c r="G20" s="35"/>
      <c r="H20" s="20"/>
      <c r="I20" s="22"/>
      <c r="J20" s="22"/>
      <c r="K20" s="22"/>
      <c r="L20" s="20"/>
      <c r="M20" s="35"/>
      <c r="N20" s="35"/>
      <c r="O20" s="35"/>
      <c r="P20" s="35"/>
      <c r="Q20" s="22"/>
      <c r="R20" s="22"/>
      <c r="S20" s="20"/>
      <c r="T20" s="20"/>
      <c r="U20" s="20"/>
      <c r="V20" s="22"/>
      <c r="W20" s="22"/>
      <c r="X20" s="22"/>
      <c r="Y20" s="22"/>
      <c r="Z20" s="34"/>
    </row>
    <row r="21" spans="1:26">
      <c r="A21" s="33">
        <v>16</v>
      </c>
      <c r="B21" s="34"/>
      <c r="C21" s="34"/>
      <c r="D21" s="34"/>
      <c r="E21" s="22"/>
      <c r="F21" s="20"/>
      <c r="G21" s="35"/>
      <c r="H21" s="20"/>
      <c r="I21" s="22"/>
      <c r="J21" s="22"/>
      <c r="K21" s="22"/>
      <c r="L21" s="20"/>
      <c r="M21" s="35"/>
      <c r="N21" s="35"/>
      <c r="O21" s="35"/>
      <c r="P21" s="35"/>
      <c r="Q21" s="22"/>
      <c r="R21" s="22"/>
      <c r="S21" s="20"/>
      <c r="T21" s="20"/>
      <c r="U21" s="20"/>
      <c r="V21" s="22"/>
      <c r="W21" s="22"/>
      <c r="X21" s="22"/>
      <c r="Y21" s="22"/>
      <c r="Z21" s="34"/>
    </row>
    <row r="22" spans="1:26">
      <c r="A22" s="33">
        <v>17</v>
      </c>
      <c r="B22" s="34"/>
      <c r="C22" s="34"/>
      <c r="D22" s="34"/>
      <c r="E22" s="22"/>
      <c r="F22" s="20"/>
      <c r="G22" s="35"/>
      <c r="H22" s="20"/>
      <c r="I22" s="22"/>
      <c r="J22" s="22"/>
      <c r="K22" s="22"/>
      <c r="L22" s="20"/>
      <c r="M22" s="35"/>
      <c r="N22" s="35"/>
      <c r="O22" s="35"/>
      <c r="P22" s="35"/>
      <c r="Q22" s="22"/>
      <c r="R22" s="22"/>
      <c r="S22" s="20"/>
      <c r="T22" s="20"/>
      <c r="U22" s="20"/>
      <c r="V22" s="22"/>
      <c r="W22" s="22"/>
      <c r="X22" s="22"/>
      <c r="Y22" s="22"/>
      <c r="Z22" s="34"/>
    </row>
    <row r="23" spans="1:26">
      <c r="A23" s="33">
        <v>18</v>
      </c>
      <c r="B23" s="34"/>
      <c r="C23" s="34"/>
      <c r="D23" s="34"/>
      <c r="E23" s="22"/>
      <c r="F23" s="20"/>
      <c r="G23" s="35"/>
      <c r="H23" s="20"/>
      <c r="I23" s="22"/>
      <c r="J23" s="22"/>
      <c r="K23" s="22"/>
      <c r="L23" s="20"/>
      <c r="M23" s="35"/>
      <c r="N23" s="35"/>
      <c r="O23" s="35"/>
      <c r="P23" s="35"/>
      <c r="Q23" s="22"/>
      <c r="R23" s="22"/>
      <c r="S23" s="20"/>
      <c r="T23" s="20"/>
      <c r="U23" s="20"/>
      <c r="V23" s="22"/>
      <c r="W23" s="22"/>
      <c r="X23" s="22"/>
      <c r="Y23" s="22"/>
      <c r="Z23" s="34"/>
    </row>
    <row r="24" spans="1:26">
      <c r="A24" s="33">
        <v>19</v>
      </c>
      <c r="B24" s="34"/>
      <c r="C24" s="34"/>
      <c r="D24" s="34"/>
      <c r="E24" s="22"/>
      <c r="F24" s="20"/>
      <c r="G24" s="35"/>
      <c r="H24" s="20"/>
      <c r="I24" s="22"/>
      <c r="J24" s="22"/>
      <c r="K24" s="22"/>
      <c r="L24" s="20"/>
      <c r="M24" s="35"/>
      <c r="N24" s="35"/>
      <c r="O24" s="35"/>
      <c r="P24" s="35"/>
      <c r="Q24" s="22"/>
      <c r="R24" s="22"/>
      <c r="S24" s="20"/>
      <c r="T24" s="20"/>
      <c r="U24" s="20"/>
      <c r="V24" s="22"/>
      <c r="W24" s="22"/>
      <c r="X24" s="22"/>
      <c r="Y24" s="22"/>
      <c r="Z24" s="34"/>
    </row>
    <row r="25" spans="1:26">
      <c r="A25" s="33">
        <v>20</v>
      </c>
      <c r="B25" s="34"/>
      <c r="C25" s="34"/>
      <c r="D25" s="34"/>
      <c r="E25" s="22"/>
      <c r="F25" s="20"/>
      <c r="G25" s="35"/>
      <c r="H25" s="20"/>
      <c r="I25" s="22"/>
      <c r="J25" s="22"/>
      <c r="K25" s="22"/>
      <c r="L25" s="20"/>
      <c r="M25" s="35"/>
      <c r="N25" s="35"/>
      <c r="O25" s="35"/>
      <c r="P25" s="35"/>
      <c r="Q25" s="22"/>
      <c r="R25" s="22"/>
      <c r="S25" s="20"/>
      <c r="T25" s="20"/>
      <c r="U25" s="20"/>
      <c r="V25" s="22"/>
      <c r="W25" s="22"/>
      <c r="X25" s="22"/>
      <c r="Y25" s="22"/>
      <c r="Z25" s="34"/>
    </row>
  </sheetData>
  <mergeCells count="8">
    <mergeCell ref="A1:Z1"/>
    <mergeCell ref="A3:D3"/>
    <mergeCell ref="E3:F3"/>
    <mergeCell ref="G3:L3"/>
    <mergeCell ref="M3:P3"/>
    <mergeCell ref="Q3:R3"/>
    <mergeCell ref="S3:U3"/>
    <mergeCell ref="V3:Y3"/>
  </mergeCells>
  <dataValidations count="1">
    <dataValidation type="decimal" operator="greaterThanOrEqual" allowBlank="1" showErrorMessage="1" errorTitle="Giá trị không hợp lệ" error="Vui lòng nhập số ≥ 0." sqref="E6:Y25" xr:uid="{00000000-0002-0000-02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6A6A6"/>
    <pageSetUpPr fitToPage="1"/>
  </sheetPr>
  <dimension ref="A1:AH26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sqref="A1:AH1"/>
    </sheetView>
  </sheetViews>
  <sheetFormatPr defaultColWidth="8.7109375" defaultRowHeight="15"/>
  <cols>
    <col min="1" max="1" width="6" customWidth="1"/>
    <col min="2" max="2" width="10" customWidth="1"/>
    <col min="3" max="3" width="22" customWidth="1"/>
    <col min="4" max="4" width="13" customWidth="1"/>
    <col min="5" max="5" width="11" customWidth="1"/>
    <col min="6" max="6" width="14" customWidth="1"/>
    <col min="7" max="8" width="13" customWidth="1"/>
    <col min="9" max="10" width="12" customWidth="1"/>
    <col min="11" max="12" width="13" customWidth="1"/>
    <col min="13" max="15" width="12" customWidth="1"/>
    <col min="16" max="16" width="13" customWidth="1"/>
    <col min="17" max="17" width="12" customWidth="1"/>
    <col min="18" max="18" width="15" customWidth="1"/>
    <col min="19" max="19" width="14" customWidth="1"/>
    <col min="20" max="22" width="12" customWidth="1"/>
    <col min="23" max="25" width="13" customWidth="1"/>
    <col min="26" max="26" width="14" customWidth="1"/>
    <col min="27" max="27" width="12" customWidth="1"/>
    <col min="28" max="29" width="13" customWidth="1"/>
    <col min="30" max="30" width="12" customWidth="1"/>
    <col min="31" max="31" width="14" customWidth="1"/>
    <col min="32" max="32" width="16" customWidth="1"/>
    <col min="33" max="33" width="14" customWidth="1"/>
    <col min="34" max="34" width="15" customWidth="1"/>
  </cols>
  <sheetData>
    <row r="1" spans="1:34" ht="30" customHeight="1">
      <c r="A1" s="14" t="s">
        <v>203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>
      <c r="A2" s="30" t="str">
        <f>"Công ty: "&amp;'Cấu hình'!B4&amp;"   |   Kỳ lương: "&amp;'Cấu hình'!B5</f>
        <v>Công ty: CÔNG TY TNHH VẬN TẢI ABC   |   Kỳ lương: Tháng 10/2026</v>
      </c>
    </row>
    <row r="3" spans="1:34" ht="15" customHeight="1">
      <c r="A3" s="11" t="s">
        <v>204</v>
      </c>
      <c r="B3" s="11"/>
      <c r="C3" s="11"/>
      <c r="D3" s="11"/>
      <c r="E3" s="11"/>
      <c r="F3" s="10" t="s">
        <v>205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36"/>
      <c r="S3" s="11" t="s">
        <v>206</v>
      </c>
      <c r="T3" s="11"/>
      <c r="U3" s="11"/>
      <c r="V3" s="11"/>
      <c r="W3" s="11"/>
      <c r="X3" s="10" t="s">
        <v>207</v>
      </c>
      <c r="Y3" s="10"/>
      <c r="Z3" s="10"/>
      <c r="AA3" s="10"/>
      <c r="AB3" s="11" t="s">
        <v>208</v>
      </c>
      <c r="AC3" s="11"/>
      <c r="AD3" s="11"/>
      <c r="AE3" s="10" t="s">
        <v>209</v>
      </c>
      <c r="AF3" s="10"/>
      <c r="AG3" s="11" t="s">
        <v>210</v>
      </c>
      <c r="AH3" s="11"/>
    </row>
    <row r="4" spans="1:34" ht="43.5" customHeight="1">
      <c r="A4" s="23" t="s">
        <v>144</v>
      </c>
      <c r="B4" s="23" t="s">
        <v>145</v>
      </c>
      <c r="C4" s="23" t="s">
        <v>146</v>
      </c>
      <c r="D4" s="23" t="s">
        <v>147</v>
      </c>
      <c r="E4" s="23" t="s">
        <v>211</v>
      </c>
      <c r="F4" s="23" t="s">
        <v>212</v>
      </c>
      <c r="G4" s="23" t="s">
        <v>213</v>
      </c>
      <c r="H4" s="23" t="s">
        <v>214</v>
      </c>
      <c r="I4" s="23" t="s">
        <v>215</v>
      </c>
      <c r="J4" s="23" t="s">
        <v>216</v>
      </c>
      <c r="K4" s="23" t="s">
        <v>217</v>
      </c>
      <c r="L4" s="23" t="s">
        <v>218</v>
      </c>
      <c r="M4" s="23" t="s">
        <v>219</v>
      </c>
      <c r="N4" s="23" t="s">
        <v>220</v>
      </c>
      <c r="O4" s="23" t="s">
        <v>221</v>
      </c>
      <c r="P4" s="23" t="s">
        <v>222</v>
      </c>
      <c r="Q4" s="23" t="s">
        <v>166</v>
      </c>
      <c r="R4" s="37" t="s">
        <v>223</v>
      </c>
      <c r="S4" s="23" t="s">
        <v>224</v>
      </c>
      <c r="T4" s="23" t="s">
        <v>225</v>
      </c>
      <c r="U4" s="23" t="s">
        <v>226</v>
      </c>
      <c r="V4" s="23" t="s">
        <v>227</v>
      </c>
      <c r="W4" s="23" t="s">
        <v>228</v>
      </c>
      <c r="X4" s="23" t="s">
        <v>43</v>
      </c>
      <c r="Y4" s="23" t="s">
        <v>48</v>
      </c>
      <c r="Z4" s="23" t="s">
        <v>229</v>
      </c>
      <c r="AA4" s="23" t="s">
        <v>41</v>
      </c>
      <c r="AB4" s="23" t="s">
        <v>230</v>
      </c>
      <c r="AC4" s="23" t="s">
        <v>167</v>
      </c>
      <c r="AD4" s="23" t="s">
        <v>231</v>
      </c>
      <c r="AE4" s="23" t="s">
        <v>232</v>
      </c>
      <c r="AF4" s="38" t="s">
        <v>233</v>
      </c>
      <c r="AG4" s="23" t="s">
        <v>234</v>
      </c>
      <c r="AH4" s="23" t="s">
        <v>235</v>
      </c>
    </row>
    <row r="5" spans="1:34" ht="36" customHeight="1">
      <c r="A5" s="39"/>
      <c r="B5" s="39"/>
      <c r="C5" s="39"/>
      <c r="D5" s="39"/>
      <c r="E5" s="39" t="s">
        <v>236</v>
      </c>
      <c r="F5" s="39" t="s">
        <v>237</v>
      </c>
      <c r="G5" s="39" t="s">
        <v>238</v>
      </c>
      <c r="H5" s="39" t="s">
        <v>239</v>
      </c>
      <c r="I5" s="39" t="s">
        <v>240</v>
      </c>
      <c r="J5" s="39" t="s">
        <v>241</v>
      </c>
      <c r="K5" s="39" t="s">
        <v>242</v>
      </c>
      <c r="L5" s="39" t="s">
        <v>243</v>
      </c>
      <c r="M5" s="39" t="s">
        <v>244</v>
      </c>
      <c r="N5" s="39" t="s">
        <v>245</v>
      </c>
      <c r="O5" s="39" t="s">
        <v>246</v>
      </c>
      <c r="P5" s="39" t="s">
        <v>247</v>
      </c>
      <c r="Q5" s="39" t="s">
        <v>242</v>
      </c>
      <c r="R5" s="39" t="s">
        <v>248</v>
      </c>
      <c r="S5" s="39" t="s">
        <v>249</v>
      </c>
      <c r="T5" s="39"/>
      <c r="U5" s="39"/>
      <c r="V5" s="39" t="s">
        <v>250</v>
      </c>
      <c r="W5" s="39"/>
      <c r="X5" s="39" t="s">
        <v>251</v>
      </c>
      <c r="Y5" s="39" t="s">
        <v>252</v>
      </c>
      <c r="Z5" s="39" t="s">
        <v>253</v>
      </c>
      <c r="AA5" s="39" t="s">
        <v>254</v>
      </c>
      <c r="AB5" s="39" t="s">
        <v>255</v>
      </c>
      <c r="AC5" s="39" t="s">
        <v>242</v>
      </c>
      <c r="AD5" s="39" t="s">
        <v>242</v>
      </c>
      <c r="AE5" s="39" t="s">
        <v>256</v>
      </c>
      <c r="AF5" s="39" t="s">
        <v>257</v>
      </c>
      <c r="AG5" s="39" t="s">
        <v>258</v>
      </c>
      <c r="AH5" s="39" t="s">
        <v>259</v>
      </c>
    </row>
    <row r="6" spans="1:34">
      <c r="A6" s="33">
        <f>'Nhập liệu'!A6</f>
        <v>1</v>
      </c>
      <c r="B6" s="40" t="str">
        <f>IF('Nhập liệu'!$C6="","",'Nhập liệu'!B6)</f>
        <v>TX001</v>
      </c>
      <c r="C6" s="40" t="str">
        <f>IF('Nhập liệu'!$C6="","",'Nhập liệu'!C6)</f>
        <v>Nguyễn Văn Hùng</v>
      </c>
      <c r="D6" s="40" t="str">
        <f>IF('Nhập liệu'!$C6="","",'Nhập liệu'!D6)</f>
        <v>51C-123.45</v>
      </c>
      <c r="E6" s="41">
        <f>IF('Nhập liệu'!$C6="","",'Nhập liệu'!E6/('Cấu hình'!$B$6*'Cấu hình'!$B$7))</f>
        <v>38461.538461538461</v>
      </c>
      <c r="F6" s="42">
        <f>IF('Nhập liệu'!$C6="","",ROUND('Nhập liệu'!E6/'Cấu hình'!$B$6*MIN('Nhập liệu'!G6,'Cấu hình'!$B$6),0))</f>
        <v>8000000</v>
      </c>
      <c r="G6" s="42">
        <f>IF('Nhập liệu'!$C6="","",ROUND('Nhập liệu'!H6*'Nhập liệu'!I6,0))</f>
        <v>5700000</v>
      </c>
      <c r="H6" s="42">
        <f>IF('Nhập liệu'!$C6="","",ROUND('Nhập liệu'!J6*'Nhập liệu'!K6,0))</f>
        <v>0</v>
      </c>
      <c r="I6" s="42">
        <f>IF('Nhập liệu'!$C6="","",ROUND('Nhập liệu'!L6*'Cấu hình'!$B$36,0))</f>
        <v>600000</v>
      </c>
      <c r="J6" s="42">
        <f>IF('Nhập liệu'!$C6="","",ROUND('Nhập liệu'!G6*'Cấu hình'!$B$35,0))</f>
        <v>780000</v>
      </c>
      <c r="K6" s="42">
        <f>IF('Nhập liệu'!$C6="","",'Nhập liệu'!V6)</f>
        <v>500000</v>
      </c>
      <c r="L6" s="42">
        <f>IF('Nhập liệu'!$C6="","",ROUND(E6*('Nhập liệu'!M6*'Cấu hình'!$B$37+'Nhập liệu'!N6*'Cấu hình'!$B$38+'Nhập liệu'!O6*'Cấu hình'!$B$39),0))</f>
        <v>769231</v>
      </c>
      <c r="M6" s="42">
        <f>IF('Nhập liệu'!$C6="","",ROUND(E6*'Nhập liệu'!P6*'Cấu hình'!$B$40,0))</f>
        <v>138462</v>
      </c>
      <c r="N6" s="42">
        <f>IF('Nhập liệu'!$C6="","",IF(AND('Nhập liệu'!S6=0,'Nhập liệu'!T6=0),'Cấu hình'!$B$44,0))</f>
        <v>500000</v>
      </c>
      <c r="O6" s="42">
        <f>IF('Nhập liệu'!$C6="","",IF('Nhập liệu'!U6=0,'Cấu hình'!$B$45,0))</f>
        <v>300000</v>
      </c>
      <c r="P6" s="42">
        <f>IF('Nhập liệu'!$C6="","",ROUND(MAX(0,'Nhập liệu'!Q6-'Nhập liệu'!R6)*'Cấu hình'!$B$41*'Cấu hình'!$B$42,0))</f>
        <v>630000</v>
      </c>
      <c r="Q6" s="42">
        <f>IF('Nhập liệu'!$C6="","",'Nhập liệu'!W6)</f>
        <v>0</v>
      </c>
      <c r="R6" s="43">
        <f>IF('Nhập liệu'!$C6="","",SUM(F6:Q6))</f>
        <v>17917693</v>
      </c>
      <c r="S6" s="42">
        <f>IF('Nhập liệu'!$C6="","",MIN(MAX('Nhập liệu'!E6,'Cấu hình'!$B$9),'Cấu hình'!$B$11))</f>
        <v>8000000</v>
      </c>
      <c r="T6" s="42">
        <f>IF('Nhập liệu'!$C6="","",ROUND(S6*'Cấu hình'!$B$16,0))</f>
        <v>640000</v>
      </c>
      <c r="U6" s="42">
        <f>IF('Nhập liệu'!$C6="","",ROUND(S6*'Cấu hình'!$B$18,0))</f>
        <v>120000</v>
      </c>
      <c r="V6" s="42">
        <f>IF('Nhập liệu'!$C6="","",ROUND(MIN(S6,'Cấu hình'!$B$12)*'Cấu hình'!$B$19,0))</f>
        <v>80000</v>
      </c>
      <c r="W6" s="42">
        <f>IF('Nhập liệu'!$C6="","",SUM(T6:V6))</f>
        <v>840000</v>
      </c>
      <c r="X6" s="42">
        <f>IF('Nhập liệu'!$C6="","",MIN(J6,'Cấu hình'!$B$24)+ROUND(E6*('Nhập liệu'!M6*('Cấu hình'!$B$37-1)+'Nhập liệu'!N6*('Cấu hình'!$B$38-1)+'Nhập liệu'!O6*('Cấu hình'!$B$39-1)),0)+M6)</f>
        <v>1176154</v>
      </c>
      <c r="Y6" s="42">
        <f>IF('Nhập liệu'!$C6="","",'Cấu hình'!$B$22+'Nhập liệu'!F6*'Cấu hình'!$B$23)</f>
        <v>27900000</v>
      </c>
      <c r="Z6" s="42">
        <f>IF('Nhập liệu'!$C6="","",MAX(0,R6-X6-W6-Y6))</f>
        <v>0</v>
      </c>
      <c r="AA6" s="42">
        <f>IF('Nhập liệu'!$C6="","",ROUND(SUMPRODUCT((Z6&gt;'Cấu hình'!$B$27:$B$31)*(Z6-'Cấu hình'!$B$27:$B$31)*'Cấu hình'!$E$27:$E$31),0))</f>
        <v>0</v>
      </c>
      <c r="AB6" s="42">
        <f>IF('Nhập liệu'!$C6="","",ROUND(MAX(0,'Nhập liệu'!R6-'Nhập liệu'!Q6)*'Cấu hình'!$B$41*'Cấu hình'!$B$43,0))</f>
        <v>0</v>
      </c>
      <c r="AC6" s="42">
        <f>IF('Nhập liệu'!$C6="","",'Nhập liệu'!X6)</f>
        <v>0</v>
      </c>
      <c r="AD6" s="42">
        <f>IF('Nhập liệu'!$C6="","",'Nhập liệu'!Y6)</f>
        <v>2000000</v>
      </c>
      <c r="AE6" s="42">
        <f>IF('Nhập liệu'!$C6="","",W6+AA6+AB6+AC6+AD6)</f>
        <v>2840000</v>
      </c>
      <c r="AF6" s="43">
        <f>IF('Nhập liệu'!$C6="","",R6-AE6)</f>
        <v>15077693</v>
      </c>
      <c r="AG6" s="42">
        <f>IF('Nhập liệu'!$C6="","",ROUND(S6*('Cấu hình'!$C$16+'Cấu hình'!$C$17+'Cấu hình'!$C$18)+MIN(S6,'Cấu hình'!$B$12)*'Cấu hình'!$C$19,0))</f>
        <v>1720000</v>
      </c>
      <c r="AH6" s="42">
        <f>IF('Nhập liệu'!$C6="","",R6+AG6)</f>
        <v>19637693</v>
      </c>
    </row>
    <row r="7" spans="1:34">
      <c r="A7" s="33">
        <f>'Nhập liệu'!A7</f>
        <v>2</v>
      </c>
      <c r="B7" s="40" t="str">
        <f>IF('Nhập liệu'!$C7="","",'Nhập liệu'!B7)</f>
        <v>TX002</v>
      </c>
      <c r="C7" s="40" t="str">
        <f>IF('Nhập liệu'!$C7="","",'Nhập liệu'!C7)</f>
        <v>Trần Minh Đức</v>
      </c>
      <c r="D7" s="40" t="str">
        <f>IF('Nhập liệu'!$C7="","",'Nhập liệu'!D7)</f>
        <v>29H-678.90</v>
      </c>
      <c r="E7" s="41">
        <f>IF('Nhập liệu'!$C7="","",'Nhập liệu'!E7/('Cấu hình'!$B$6*'Cấu hình'!$B$7))</f>
        <v>36057.692307692305</v>
      </c>
      <c r="F7" s="42">
        <f>IF('Nhập liệu'!$C7="","",ROUND('Nhập liệu'!E7/'Cấu hình'!$B$6*MIN('Nhập liệu'!G7,'Cấu hình'!$B$6),0))</f>
        <v>7500000</v>
      </c>
      <c r="G7" s="42">
        <f>IF('Nhập liệu'!$C7="","",ROUND('Nhập liệu'!H7*'Nhập liệu'!I7,0))</f>
        <v>5500000</v>
      </c>
      <c r="H7" s="42">
        <f>IF('Nhập liệu'!$C7="","",ROUND('Nhập liệu'!J7*'Nhập liệu'!K7,0))</f>
        <v>0</v>
      </c>
      <c r="I7" s="42">
        <f>IF('Nhập liệu'!$C7="","",ROUND('Nhập liệu'!L7*'Cấu hình'!$B$36,0))</f>
        <v>1200000</v>
      </c>
      <c r="J7" s="42">
        <f>IF('Nhập liệu'!$C7="","",ROUND('Nhập liệu'!G7*'Cấu hình'!$B$35,0))</f>
        <v>780000</v>
      </c>
      <c r="K7" s="42">
        <f>IF('Nhập liệu'!$C7="","",'Nhập liệu'!V7)</f>
        <v>300000</v>
      </c>
      <c r="L7" s="42">
        <f>IF('Nhập liệu'!$C7="","",ROUND(E7*('Nhập liệu'!M7*'Cấu hình'!$B$37+'Nhập liệu'!N7*'Cấu hình'!$B$38+'Nhập liệu'!O7*'Cấu hình'!$B$39),0))</f>
        <v>1838942</v>
      </c>
      <c r="M7" s="42">
        <f>IF('Nhập liệu'!$C7="","",ROUND(E7*'Nhập liệu'!P7*'Cấu hình'!$B$40,0))</f>
        <v>432692</v>
      </c>
      <c r="N7" s="42">
        <f>IF('Nhập liệu'!$C7="","",IF(AND('Nhập liệu'!S7=0,'Nhập liệu'!T7=0),'Cấu hình'!$B$44,0))</f>
        <v>0</v>
      </c>
      <c r="O7" s="42">
        <f>IF('Nhập liệu'!$C7="","",IF('Nhập liệu'!U7=0,'Cấu hình'!$B$45,0))</f>
        <v>300000</v>
      </c>
      <c r="P7" s="42">
        <f>IF('Nhập liệu'!$C7="","",ROUND(MAX(0,'Nhập liệu'!Q7-'Nhập liệu'!R7)*'Cấu hình'!$B$41*'Cấu hình'!$B$42,0))</f>
        <v>0</v>
      </c>
      <c r="Q7" s="42">
        <f>IF('Nhập liệu'!$C7="","",'Nhập liệu'!W7)</f>
        <v>0</v>
      </c>
      <c r="R7" s="43">
        <f>IF('Nhập liệu'!$C7="","",SUM(F7:Q7))</f>
        <v>17851634</v>
      </c>
      <c r="S7" s="42">
        <f>IF('Nhập liệu'!$C7="","",MIN(MAX('Nhập liệu'!E7,'Cấu hình'!$B$9),'Cấu hình'!$B$11))</f>
        <v>7500000</v>
      </c>
      <c r="T7" s="42">
        <f>IF('Nhập liệu'!$C7="","",ROUND(S7*'Cấu hình'!$B$16,0))</f>
        <v>600000</v>
      </c>
      <c r="U7" s="42">
        <f>IF('Nhập liệu'!$C7="","",ROUND(S7*'Cấu hình'!$B$18,0))</f>
        <v>112500</v>
      </c>
      <c r="V7" s="42">
        <f>IF('Nhập liệu'!$C7="","",ROUND(MIN(S7,'Cấu hình'!$B$12)*'Cấu hình'!$B$19,0))</f>
        <v>75000</v>
      </c>
      <c r="W7" s="42">
        <f>IF('Nhập liệu'!$C7="","",SUM(T7:V7))</f>
        <v>787500</v>
      </c>
      <c r="X7" s="42">
        <f>IF('Nhập liệu'!$C7="","",MIN(J7,'Cấu hình'!$B$24)+ROUND(E7*('Nhập liệu'!M7*('Cấu hình'!$B$37-1)+'Nhập liệu'!N7*('Cấu hình'!$B$38-1)+'Nhập liệu'!O7*('Cấu hình'!$B$39-1)),0)+M7)</f>
        <v>2136250</v>
      </c>
      <c r="Y7" s="42">
        <f>IF('Nhập liệu'!$C7="","",'Cấu hình'!$B$22+'Nhập liệu'!F7*'Cấu hình'!$B$23)</f>
        <v>21700000</v>
      </c>
      <c r="Z7" s="42">
        <f>IF('Nhập liệu'!$C7="","",MAX(0,R7-X7-W7-Y7))</f>
        <v>0</v>
      </c>
      <c r="AA7" s="42">
        <f>IF('Nhập liệu'!$C7="","",ROUND(SUMPRODUCT((Z7&gt;'Cấu hình'!$B$27:$B$31)*(Z7-'Cấu hình'!$B$27:$B$31)*'Cấu hình'!$E$27:$E$31),0))</f>
        <v>0</v>
      </c>
      <c r="AB7" s="42">
        <f>IF('Nhập liệu'!$C7="","",ROUND(MAX(0,'Nhập liệu'!R7-'Nhập liệu'!Q7)*'Cấu hình'!$B$41*'Cấu hình'!$B$43,0))</f>
        <v>378000</v>
      </c>
      <c r="AC7" s="42">
        <f>IF('Nhập liệu'!$C7="","",'Nhập liệu'!X7)</f>
        <v>400000</v>
      </c>
      <c r="AD7" s="42">
        <f>IF('Nhập liệu'!$C7="","",'Nhập liệu'!Y7)</f>
        <v>3000000</v>
      </c>
      <c r="AE7" s="42">
        <f>IF('Nhập liệu'!$C7="","",W7+AA7+AB7+AC7+AD7)</f>
        <v>4565500</v>
      </c>
      <c r="AF7" s="43">
        <f>IF('Nhập liệu'!$C7="","",R7-AE7)</f>
        <v>13286134</v>
      </c>
      <c r="AG7" s="42">
        <f>IF('Nhập liệu'!$C7="","",ROUND(S7*('Cấu hình'!$C$16+'Cấu hình'!$C$17+'Cấu hình'!$C$18)+MIN(S7,'Cấu hình'!$B$12)*'Cấu hình'!$C$19,0))</f>
        <v>1612500</v>
      </c>
      <c r="AH7" s="42">
        <f>IF('Nhập liệu'!$C7="","",R7+AG7)</f>
        <v>19464134</v>
      </c>
    </row>
    <row r="8" spans="1:34">
      <c r="A8" s="33">
        <f>'Nhập liệu'!A8</f>
        <v>3</v>
      </c>
      <c r="B8" s="40" t="str">
        <f>IF('Nhập liệu'!$C8="","",'Nhập liệu'!B8)</f>
        <v>TX003</v>
      </c>
      <c r="C8" s="40" t="str">
        <f>IF('Nhập liệu'!$C8="","",'Nhập liệu'!C8)</f>
        <v>Lê Quang Vinh</v>
      </c>
      <c r="D8" s="40" t="str">
        <f>IF('Nhập liệu'!$C8="","",'Nhập liệu'!D8)</f>
        <v>30E-246.80</v>
      </c>
      <c r="E8" s="41">
        <f>IF('Nhập liệu'!$C8="","",'Nhập liệu'!E8/('Cấu hình'!$B$6*'Cấu hình'!$B$7))</f>
        <v>43269.230769230766</v>
      </c>
      <c r="F8" s="42">
        <f>IF('Nhập liệu'!$C8="","",ROUND('Nhập liệu'!E8/'Cấu hình'!$B$6*MIN('Nhập liệu'!G8,'Cấu hình'!$B$6),0))</f>
        <v>9000000</v>
      </c>
      <c r="G8" s="42">
        <f>IF('Nhập liệu'!$C8="","",ROUND('Nhập liệu'!H8*'Nhập liệu'!I8,0))</f>
        <v>5400000</v>
      </c>
      <c r="H8" s="42">
        <f>IF('Nhập liệu'!$C8="","",ROUND('Nhập liệu'!J8*'Nhập liệu'!K8,0))</f>
        <v>2400000</v>
      </c>
      <c r="I8" s="42">
        <f>IF('Nhập liệu'!$C8="","",ROUND('Nhập liệu'!L8*'Cấu hình'!$B$36,0))</f>
        <v>300000</v>
      </c>
      <c r="J8" s="42">
        <f>IF('Nhập liệu'!$C8="","",ROUND('Nhập liệu'!G8*'Cấu hình'!$B$35,0))</f>
        <v>780000</v>
      </c>
      <c r="K8" s="42">
        <f>IF('Nhập liệu'!$C8="","",'Nhập liệu'!V8)</f>
        <v>500000</v>
      </c>
      <c r="L8" s="42">
        <f>IF('Nhập liệu'!$C8="","",ROUND(E8*('Nhập liệu'!M8*'Cấu hình'!$B$37+'Nhập liệu'!N8*'Cấu hình'!$B$38+'Nhập liệu'!O8*'Cấu hình'!$B$39),0))</f>
        <v>1125000</v>
      </c>
      <c r="M8" s="42">
        <f>IF('Nhập liệu'!$C8="","",ROUND(E8*'Nhập liệu'!P8*'Cấu hình'!$B$40,0))</f>
        <v>103846</v>
      </c>
      <c r="N8" s="42">
        <f>IF('Nhập liệu'!$C8="","",IF(AND('Nhập liệu'!S8=0,'Nhập liệu'!T8=0),'Cấu hình'!$B$44,0))</f>
        <v>500000</v>
      </c>
      <c r="O8" s="42">
        <f>IF('Nhập liệu'!$C8="","",IF('Nhập liệu'!U8=0,'Cấu hình'!$B$45,0))</f>
        <v>300000</v>
      </c>
      <c r="P8" s="42">
        <f>IF('Nhập liệu'!$C8="","",ROUND(MAX(0,'Nhập liệu'!Q8-'Nhập liệu'!R8)*'Cấu hình'!$B$41*'Cấu hình'!$B$42,0))</f>
        <v>735000</v>
      </c>
      <c r="Q8" s="42">
        <f>IF('Nhập liệu'!$C8="","",'Nhập liệu'!W8)</f>
        <v>500000</v>
      </c>
      <c r="R8" s="43">
        <f>IF('Nhập liệu'!$C8="","",SUM(F8:Q8))</f>
        <v>21643846</v>
      </c>
      <c r="S8" s="42">
        <f>IF('Nhập liệu'!$C8="","",MIN(MAX('Nhập liệu'!E8,'Cấu hình'!$B$9),'Cấu hình'!$B$11))</f>
        <v>9000000</v>
      </c>
      <c r="T8" s="42">
        <f>IF('Nhập liệu'!$C8="","",ROUND(S8*'Cấu hình'!$B$16,0))</f>
        <v>720000</v>
      </c>
      <c r="U8" s="42">
        <f>IF('Nhập liệu'!$C8="","",ROUND(S8*'Cấu hình'!$B$18,0))</f>
        <v>135000</v>
      </c>
      <c r="V8" s="42">
        <f>IF('Nhập liệu'!$C8="","",ROUND(MIN(S8,'Cấu hình'!$B$12)*'Cấu hình'!$B$19,0))</f>
        <v>90000</v>
      </c>
      <c r="W8" s="42">
        <f>IF('Nhập liệu'!$C8="","",SUM(T8:V8))</f>
        <v>945000</v>
      </c>
      <c r="X8" s="42">
        <f>IF('Nhập liệu'!$C8="","",MIN(J8,'Cấu hình'!$B$24)+ROUND(E8*('Nhập liệu'!M8*('Cấu hình'!$B$37-1)+'Nhập liệu'!N8*('Cấu hình'!$B$38-1)+'Nhập liệu'!O8*('Cấu hình'!$B$39-1)),0)+M8)</f>
        <v>1266538</v>
      </c>
      <c r="Y8" s="42">
        <f>IF('Nhập liệu'!$C8="","",'Cấu hình'!$B$22+'Nhập liệu'!F8*'Cấu hình'!$B$23)</f>
        <v>15500000</v>
      </c>
      <c r="Z8" s="42">
        <f>IF('Nhập liệu'!$C8="","",MAX(0,R8-X8-W8-Y8))</f>
        <v>3932308</v>
      </c>
      <c r="AA8" s="42">
        <f>IF('Nhập liệu'!$C8="","",ROUND(SUMPRODUCT((Z8&gt;'Cấu hình'!$B$27:$B$31)*(Z8-'Cấu hình'!$B$27:$B$31)*'Cấu hình'!$E$27:$E$31),0))</f>
        <v>196615</v>
      </c>
      <c r="AB8" s="42">
        <f>IF('Nhập liệu'!$C8="","",ROUND(MAX(0,'Nhập liệu'!R8-'Nhập liệu'!Q8)*'Cấu hình'!$B$41*'Cấu hình'!$B$43,0))</f>
        <v>0</v>
      </c>
      <c r="AC8" s="42">
        <f>IF('Nhập liệu'!$C8="","",'Nhập liệu'!X8)</f>
        <v>0</v>
      </c>
      <c r="AD8" s="42">
        <f>IF('Nhập liệu'!$C8="","",'Nhập liệu'!Y8)</f>
        <v>0</v>
      </c>
      <c r="AE8" s="42">
        <f>IF('Nhập liệu'!$C8="","",W8+AA8+AB8+AC8+AD8)</f>
        <v>1141615</v>
      </c>
      <c r="AF8" s="43">
        <f>IF('Nhập liệu'!$C8="","",R8-AE8)</f>
        <v>20502231</v>
      </c>
      <c r="AG8" s="42">
        <f>IF('Nhập liệu'!$C8="","",ROUND(S8*('Cấu hình'!$C$16+'Cấu hình'!$C$17+'Cấu hình'!$C$18)+MIN(S8,'Cấu hình'!$B$12)*'Cấu hình'!$C$19,0))</f>
        <v>1935000</v>
      </c>
      <c r="AH8" s="42">
        <f>IF('Nhập liệu'!$C8="","",R8+AG8)</f>
        <v>23578846</v>
      </c>
    </row>
    <row r="9" spans="1:34">
      <c r="A9" s="33">
        <f>'Nhập liệu'!A9</f>
        <v>4</v>
      </c>
      <c r="B9" s="40" t="str">
        <f>IF('Nhập liệu'!$C9="","",'Nhập liệu'!B9)</f>
        <v>TX004</v>
      </c>
      <c r="C9" s="40" t="str">
        <f>IF('Nhập liệu'!$C9="","",'Nhập liệu'!C9)</f>
        <v>Phạm Thanh Tùng</v>
      </c>
      <c r="D9" s="40" t="str">
        <f>IF('Nhập liệu'!$C9="","",'Nhập liệu'!D9)</f>
        <v>51D-135.79</v>
      </c>
      <c r="E9" s="41">
        <f>IF('Nhập liệu'!$C9="","",'Nhập liệu'!E9/('Cấu hình'!$B$6*'Cấu hình'!$B$7))</f>
        <v>31250</v>
      </c>
      <c r="F9" s="42">
        <f>IF('Nhập liệu'!$C9="","",ROUND('Nhập liệu'!E9/'Cấu hình'!$B$6*MIN('Nhập liệu'!G9,'Cấu hình'!$B$6),0))</f>
        <v>6000000</v>
      </c>
      <c r="G9" s="42">
        <f>IF('Nhập liệu'!$C9="","",ROUND('Nhập liệu'!H9*'Nhập liệu'!I9,0))</f>
        <v>3920000</v>
      </c>
      <c r="H9" s="42">
        <f>IF('Nhập liệu'!$C9="","",ROUND('Nhập liệu'!J9*'Nhập liệu'!K9,0))</f>
        <v>0</v>
      </c>
      <c r="I9" s="42">
        <f>IF('Nhập liệu'!$C9="","",ROUND('Nhập liệu'!L9*'Cấu hình'!$B$36,0))</f>
        <v>0</v>
      </c>
      <c r="J9" s="42">
        <f>IF('Nhập liệu'!$C9="","",ROUND('Nhập liệu'!G9*'Cấu hình'!$B$35,0))</f>
        <v>720000</v>
      </c>
      <c r="K9" s="42">
        <f>IF('Nhập liệu'!$C9="","",'Nhập liệu'!V9)</f>
        <v>0</v>
      </c>
      <c r="L9" s="42">
        <f>IF('Nhập liệu'!$C9="","",ROUND(E9*('Nhập liệu'!M9*'Cấu hình'!$B$37+'Nhập liệu'!N9*'Cấu hình'!$B$38+'Nhập liệu'!O9*'Cấu hình'!$B$39),0))</f>
        <v>0</v>
      </c>
      <c r="M9" s="42">
        <f>IF('Nhập liệu'!$C9="","",ROUND(E9*'Nhập liệu'!P9*'Cấu hình'!$B$40,0))</f>
        <v>0</v>
      </c>
      <c r="N9" s="42">
        <f>IF('Nhập liệu'!$C9="","",IF(AND('Nhập liệu'!S9=0,'Nhập liệu'!T9=0),'Cấu hình'!$B$44,0))</f>
        <v>0</v>
      </c>
      <c r="O9" s="42">
        <f>IF('Nhập liệu'!$C9="","",IF('Nhập liệu'!U9=0,'Cấu hình'!$B$45,0))</f>
        <v>0</v>
      </c>
      <c r="P9" s="42">
        <f>IF('Nhập liệu'!$C9="","",ROUND(MAX(0,'Nhập liệu'!Q9-'Nhập liệu'!R9)*'Cấu hình'!$B$41*'Cấu hình'!$B$42,0))</f>
        <v>0</v>
      </c>
      <c r="Q9" s="42">
        <f>IF('Nhập liệu'!$C9="","",'Nhập liệu'!W9)</f>
        <v>0</v>
      </c>
      <c r="R9" s="43">
        <f>IF('Nhập liệu'!$C9="","",SUM(F9:Q9))</f>
        <v>10640000</v>
      </c>
      <c r="S9" s="42">
        <f>IF('Nhập liệu'!$C9="","",MIN(MAX('Nhập liệu'!E9,'Cấu hình'!$B$9),'Cấu hình'!$B$11))</f>
        <v>6500000</v>
      </c>
      <c r="T9" s="42">
        <f>IF('Nhập liệu'!$C9="","",ROUND(S9*'Cấu hình'!$B$16,0))</f>
        <v>520000</v>
      </c>
      <c r="U9" s="42">
        <f>IF('Nhập liệu'!$C9="","",ROUND(S9*'Cấu hình'!$B$18,0))</f>
        <v>97500</v>
      </c>
      <c r="V9" s="42">
        <f>IF('Nhập liệu'!$C9="","",ROUND(MIN(S9,'Cấu hình'!$B$12)*'Cấu hình'!$B$19,0))</f>
        <v>65000</v>
      </c>
      <c r="W9" s="42">
        <f>IF('Nhập liệu'!$C9="","",SUM(T9:V9))</f>
        <v>682500</v>
      </c>
      <c r="X9" s="42">
        <f>IF('Nhập liệu'!$C9="","",MIN(J9,'Cấu hình'!$B$24)+ROUND(E9*('Nhập liệu'!M9*('Cấu hình'!$B$37-1)+'Nhập liệu'!N9*('Cấu hình'!$B$38-1)+'Nhập liệu'!O9*('Cấu hình'!$B$39-1)),0)+M9)</f>
        <v>720000</v>
      </c>
      <c r="Y9" s="42">
        <f>IF('Nhập liệu'!$C9="","",'Cấu hình'!$B$22+'Nhập liệu'!F9*'Cấu hình'!$B$23)</f>
        <v>34100000</v>
      </c>
      <c r="Z9" s="42">
        <f>IF('Nhập liệu'!$C9="","",MAX(0,R9-X9-W9-Y9))</f>
        <v>0</v>
      </c>
      <c r="AA9" s="42">
        <f>IF('Nhập liệu'!$C9="","",ROUND(SUMPRODUCT((Z9&gt;'Cấu hình'!$B$27:$B$31)*(Z9-'Cấu hình'!$B$27:$B$31)*'Cấu hình'!$E$27:$E$31),0))</f>
        <v>0</v>
      </c>
      <c r="AB9" s="42">
        <f>IF('Nhập liệu'!$C9="","",ROUND(MAX(0,'Nhập liệu'!R9-'Nhập liệu'!Q9)*'Cấu hình'!$B$41*'Cấu hình'!$B$43,0))</f>
        <v>63000</v>
      </c>
      <c r="AC9" s="42">
        <f>IF('Nhập liệu'!$C9="","",'Nhập liệu'!X9)</f>
        <v>1000000</v>
      </c>
      <c r="AD9" s="42">
        <f>IF('Nhập liệu'!$C9="","",'Nhập liệu'!Y9)</f>
        <v>1000000</v>
      </c>
      <c r="AE9" s="42">
        <f>IF('Nhập liệu'!$C9="","",W9+AA9+AB9+AC9+AD9)</f>
        <v>2745500</v>
      </c>
      <c r="AF9" s="43">
        <f>IF('Nhập liệu'!$C9="","",R9-AE9)</f>
        <v>7894500</v>
      </c>
      <c r="AG9" s="42">
        <f>IF('Nhập liệu'!$C9="","",ROUND(S9*('Cấu hình'!$C$16+'Cấu hình'!$C$17+'Cấu hình'!$C$18)+MIN(S9,'Cấu hình'!$B$12)*'Cấu hình'!$C$19,0))</f>
        <v>1397500</v>
      </c>
      <c r="AH9" s="42">
        <f>IF('Nhập liệu'!$C9="","",R9+AG9)</f>
        <v>12037500</v>
      </c>
    </row>
    <row r="10" spans="1:34">
      <c r="A10" s="33">
        <f>'Nhập liệu'!A10</f>
        <v>5</v>
      </c>
      <c r="B10" s="40" t="str">
        <f>IF('Nhập liệu'!$C10="","",'Nhập liệu'!B10)</f>
        <v>TX005</v>
      </c>
      <c r="C10" s="40" t="str">
        <f>IF('Nhập liệu'!$C10="","",'Nhập liệu'!C10)</f>
        <v>Võ Hoàng Nam</v>
      </c>
      <c r="D10" s="40" t="str">
        <f>IF('Nhập liệu'!$C10="","",'Nhập liệu'!D10)</f>
        <v>61C-864.20</v>
      </c>
      <c r="E10" s="41">
        <f>IF('Nhập liệu'!$C10="","",'Nhập liệu'!E10/('Cấu hình'!$B$6*'Cấu hình'!$B$7))</f>
        <v>40865.384615384617</v>
      </c>
      <c r="F10" s="42">
        <f>IF('Nhập liệu'!$C10="","",ROUND('Nhập liệu'!E10/'Cấu hình'!$B$6*MIN('Nhập liệu'!G10,'Cấu hình'!$B$6),0))</f>
        <v>8500000</v>
      </c>
      <c r="G10" s="42">
        <f>IF('Nhập liệu'!$C10="","",ROUND('Nhập liệu'!H10*'Nhập liệu'!I10,0))</f>
        <v>5400000</v>
      </c>
      <c r="H10" s="42">
        <f>IF('Nhập liệu'!$C10="","",ROUND('Nhập liệu'!J10*'Nhập liệu'!K10,0))</f>
        <v>2800000</v>
      </c>
      <c r="I10" s="42">
        <f>IF('Nhập liệu'!$C10="","",ROUND('Nhập liệu'!L10*'Cấu hình'!$B$36,0))</f>
        <v>1500000</v>
      </c>
      <c r="J10" s="42">
        <f>IF('Nhập liệu'!$C10="","",ROUND('Nhập liệu'!G10*'Cấu hình'!$B$35,0))</f>
        <v>780000</v>
      </c>
      <c r="K10" s="42">
        <f>IF('Nhập liệu'!$C10="","",'Nhập liệu'!V10)</f>
        <v>400000</v>
      </c>
      <c r="L10" s="42">
        <f>IF('Nhập liệu'!$C10="","",ROUND(E10*('Nhập liệu'!M10*'Cấu hình'!$B$37+'Nhập liệu'!N10*'Cấu hình'!$B$38+'Nhập liệu'!O10*'Cấu hình'!$B$39),0))</f>
        <v>1021635</v>
      </c>
      <c r="M10" s="42">
        <f>IF('Nhập liệu'!$C10="","",ROUND(E10*'Nhập liệu'!P10*'Cấu hình'!$B$40,0))</f>
        <v>367788</v>
      </c>
      <c r="N10" s="42">
        <f>IF('Nhập liệu'!$C10="","",IF(AND('Nhập liệu'!S10=0,'Nhập liệu'!T10=0),'Cấu hình'!$B$44,0))</f>
        <v>500000</v>
      </c>
      <c r="O10" s="42">
        <f>IF('Nhập liệu'!$C10="","",IF('Nhập liệu'!U10=0,'Cấu hình'!$B$45,0))</f>
        <v>300000</v>
      </c>
      <c r="P10" s="42">
        <f>IF('Nhập liệu'!$C10="","",ROUND(MAX(0,'Nhập liệu'!Q10-'Nhập liệu'!R10)*'Cấu hình'!$B$41*'Cấu hình'!$B$42,0))</f>
        <v>525000</v>
      </c>
      <c r="Q10" s="42">
        <f>IF('Nhập liệu'!$C10="","",'Nhập liệu'!W10)</f>
        <v>200000</v>
      </c>
      <c r="R10" s="43">
        <f>IF('Nhập liệu'!$C10="","",SUM(F10:Q10))</f>
        <v>22294423</v>
      </c>
      <c r="S10" s="42">
        <f>IF('Nhập liệu'!$C10="","",MIN(MAX('Nhập liệu'!E10,'Cấu hình'!$B$9),'Cấu hình'!$B$11))</f>
        <v>8500000</v>
      </c>
      <c r="T10" s="42">
        <f>IF('Nhập liệu'!$C10="","",ROUND(S10*'Cấu hình'!$B$16,0))</f>
        <v>680000</v>
      </c>
      <c r="U10" s="42">
        <f>IF('Nhập liệu'!$C10="","",ROUND(S10*'Cấu hình'!$B$18,0))</f>
        <v>127500</v>
      </c>
      <c r="V10" s="42">
        <f>IF('Nhập liệu'!$C10="","",ROUND(MIN(S10,'Cấu hình'!$B$12)*'Cấu hình'!$B$19,0))</f>
        <v>85000</v>
      </c>
      <c r="W10" s="42">
        <f>IF('Nhập liệu'!$C10="","",SUM(T10:V10))</f>
        <v>892500</v>
      </c>
      <c r="X10" s="42">
        <f>IF('Nhập liệu'!$C10="","",MIN(J10,'Cấu hình'!$B$24)+ROUND(E10*('Nhập liệu'!M10*('Cấu hình'!$B$37-1)+'Nhập liệu'!N10*('Cấu hình'!$B$38-1)+'Nhập liệu'!O10*('Cấu hình'!$B$39-1)),0)+M10)</f>
        <v>1547307</v>
      </c>
      <c r="Y10" s="42">
        <f>IF('Nhập liệu'!$C10="","",'Cấu hình'!$B$22+'Nhập liệu'!F10*'Cấu hình'!$B$23)</f>
        <v>21700000</v>
      </c>
      <c r="Z10" s="42">
        <f>IF('Nhập liệu'!$C10="","",MAX(0,R10-X10-W10-Y10))</f>
        <v>0</v>
      </c>
      <c r="AA10" s="42">
        <f>IF('Nhập liệu'!$C10="","",ROUND(SUMPRODUCT((Z10&gt;'Cấu hình'!$B$27:$B$31)*(Z10-'Cấu hình'!$B$27:$B$31)*'Cấu hình'!$E$27:$E$31),0))</f>
        <v>0</v>
      </c>
      <c r="AB10" s="42">
        <f>IF('Nhập liệu'!$C10="","",ROUND(MAX(0,'Nhập liệu'!R10-'Nhập liệu'!Q10)*'Cấu hình'!$B$41*'Cấu hình'!$B$43,0))</f>
        <v>0</v>
      </c>
      <c r="AC10" s="42">
        <f>IF('Nhập liệu'!$C10="","",'Nhập liệu'!X10)</f>
        <v>0</v>
      </c>
      <c r="AD10" s="42">
        <f>IF('Nhập liệu'!$C10="","",'Nhập liệu'!Y10)</f>
        <v>0</v>
      </c>
      <c r="AE10" s="42">
        <f>IF('Nhập liệu'!$C10="","",W10+AA10+AB10+AC10+AD10)</f>
        <v>892500</v>
      </c>
      <c r="AF10" s="43">
        <f>IF('Nhập liệu'!$C10="","",R10-AE10)</f>
        <v>21401923</v>
      </c>
      <c r="AG10" s="42">
        <f>IF('Nhập liệu'!$C10="","",ROUND(S10*('Cấu hình'!$C$16+'Cấu hình'!$C$17+'Cấu hình'!$C$18)+MIN(S10,'Cấu hình'!$B$12)*'Cấu hình'!$C$19,0))</f>
        <v>1827500</v>
      </c>
      <c r="AH10" s="42">
        <f>IF('Nhập liệu'!$C10="","",R10+AG10)</f>
        <v>24121923</v>
      </c>
    </row>
    <row r="11" spans="1:34">
      <c r="A11" s="33">
        <f>'Nhập liệu'!A11</f>
        <v>6</v>
      </c>
      <c r="B11" s="40" t="str">
        <f>IF('Nhập liệu'!$C11="","",'Nhập liệu'!B11)</f>
        <v>TX006</v>
      </c>
      <c r="C11" s="40" t="str">
        <f>IF('Nhập liệu'!$C11="","",'Nhập liệu'!C11)</f>
        <v>Đặng Quốc Việt</v>
      </c>
      <c r="D11" s="40" t="str">
        <f>IF('Nhập liệu'!$C11="","",'Nhập liệu'!D11)</f>
        <v>29C-111.22</v>
      </c>
      <c r="E11" s="41">
        <f>IF('Nhập liệu'!$C11="","",'Nhập liệu'!E11/('Cấu hình'!$B$6*'Cấu hình'!$B$7))</f>
        <v>33653.846153846156</v>
      </c>
      <c r="F11" s="42">
        <f>IF('Nhập liệu'!$C11="","",ROUND('Nhập liệu'!E11/'Cấu hình'!$B$6*MIN('Nhập liệu'!G11,'Cấu hình'!$B$6),0))</f>
        <v>7000000</v>
      </c>
      <c r="G11" s="42">
        <f>IF('Nhập liệu'!$C11="","",ROUND('Nhập liệu'!H11*'Nhập liệu'!I11,0))</f>
        <v>4550000</v>
      </c>
      <c r="H11" s="42">
        <f>IF('Nhập liệu'!$C11="","",ROUND('Nhập liệu'!J11*'Nhập liệu'!K11,0))</f>
        <v>0</v>
      </c>
      <c r="I11" s="42">
        <f>IF('Nhập liệu'!$C11="","",ROUND('Nhập liệu'!L11*'Cấu hình'!$B$36,0))</f>
        <v>0</v>
      </c>
      <c r="J11" s="42">
        <f>IF('Nhập liệu'!$C11="","",ROUND('Nhập liệu'!G11*'Cấu hình'!$B$35,0))</f>
        <v>780000</v>
      </c>
      <c r="K11" s="42">
        <f>IF('Nhập liệu'!$C11="","",'Nhập liệu'!V11)</f>
        <v>0</v>
      </c>
      <c r="L11" s="42">
        <f>IF('Nhập liệu'!$C11="","",ROUND(E11*('Nhập liệu'!M11*'Cấu hình'!$B$37+'Nhập liệu'!N11*'Cấu hình'!$B$38+'Nhập liệu'!O11*'Cấu hình'!$B$39),0))</f>
        <v>201923</v>
      </c>
      <c r="M11" s="42">
        <f>IF('Nhập liệu'!$C11="","",ROUND(E11*'Nhập liệu'!P11*'Cấu hình'!$B$40,0))</f>
        <v>0</v>
      </c>
      <c r="N11" s="42">
        <f>IF('Nhập liệu'!$C11="","",IF(AND('Nhập liệu'!S11=0,'Nhập liệu'!T11=0),'Cấu hình'!$B$44,0))</f>
        <v>500000</v>
      </c>
      <c r="O11" s="42">
        <f>IF('Nhập liệu'!$C11="","",IF('Nhập liệu'!U11=0,'Cấu hình'!$B$45,0))</f>
        <v>300000</v>
      </c>
      <c r="P11" s="42">
        <f>IF('Nhập liệu'!$C11="","",ROUND(MAX(0,'Nhập liệu'!Q11-'Nhập liệu'!R11)*'Cấu hình'!$B$41*'Cấu hình'!$B$42,0))</f>
        <v>0</v>
      </c>
      <c r="Q11" s="42">
        <f>IF('Nhập liệu'!$C11="","",'Nhập liệu'!W11)</f>
        <v>0</v>
      </c>
      <c r="R11" s="43">
        <f>IF('Nhập liệu'!$C11="","",SUM(F11:Q11))</f>
        <v>13331923</v>
      </c>
      <c r="S11" s="42">
        <f>IF('Nhập liệu'!$C11="","",MIN(MAX('Nhập liệu'!E11,'Cấu hình'!$B$9),'Cấu hình'!$B$11))</f>
        <v>7000000</v>
      </c>
      <c r="T11" s="42">
        <f>IF('Nhập liệu'!$C11="","",ROUND(S11*'Cấu hình'!$B$16,0))</f>
        <v>560000</v>
      </c>
      <c r="U11" s="42">
        <f>IF('Nhập liệu'!$C11="","",ROUND(S11*'Cấu hình'!$B$18,0))</f>
        <v>105000</v>
      </c>
      <c r="V11" s="42">
        <f>IF('Nhập liệu'!$C11="","",ROUND(MIN(S11,'Cấu hình'!$B$12)*'Cấu hình'!$B$19,0))</f>
        <v>70000</v>
      </c>
      <c r="W11" s="42">
        <f>IF('Nhập liệu'!$C11="","",SUM(T11:V11))</f>
        <v>735000</v>
      </c>
      <c r="X11" s="42">
        <f>IF('Nhập liệu'!$C11="","",MIN(J11,'Cấu hình'!$B$24)+ROUND(E11*('Nhập liệu'!M11*('Cấu hình'!$B$37-1)+'Nhập liệu'!N11*('Cấu hình'!$B$38-1)+'Nhập liệu'!O11*('Cấu hình'!$B$39-1)),0)+M11)</f>
        <v>797308</v>
      </c>
      <c r="Y11" s="42">
        <f>IF('Nhập liệu'!$C11="","",'Cấu hình'!$B$22+'Nhập liệu'!F11*'Cấu hình'!$B$23)</f>
        <v>15500000</v>
      </c>
      <c r="Z11" s="42">
        <f>IF('Nhập liệu'!$C11="","",MAX(0,R11-X11-W11-Y11))</f>
        <v>0</v>
      </c>
      <c r="AA11" s="42">
        <f>IF('Nhập liệu'!$C11="","",ROUND(SUMPRODUCT((Z11&gt;'Cấu hình'!$B$27:$B$31)*(Z11-'Cấu hình'!$B$27:$B$31)*'Cấu hình'!$E$27:$E$31),0))</f>
        <v>0</v>
      </c>
      <c r="AB11" s="42">
        <f>IF('Nhập liệu'!$C11="","",ROUND(MAX(0,'Nhập liệu'!R11-'Nhập liệu'!Q11)*'Cấu hình'!$B$41*'Cấu hình'!$B$43,0))</f>
        <v>0</v>
      </c>
      <c r="AC11" s="42">
        <f>IF('Nhập liệu'!$C11="","",'Nhập liệu'!X11)</f>
        <v>0</v>
      </c>
      <c r="AD11" s="42">
        <f>IF('Nhập liệu'!$C11="","",'Nhập liệu'!Y11)</f>
        <v>0</v>
      </c>
      <c r="AE11" s="42">
        <f>IF('Nhập liệu'!$C11="","",W11+AA11+AB11+AC11+AD11)</f>
        <v>735000</v>
      </c>
      <c r="AF11" s="43">
        <f>IF('Nhập liệu'!$C11="","",R11-AE11)</f>
        <v>12596923</v>
      </c>
      <c r="AG11" s="42">
        <f>IF('Nhập liệu'!$C11="","",ROUND(S11*('Cấu hình'!$C$16+'Cấu hình'!$C$17+'Cấu hình'!$C$18)+MIN(S11,'Cấu hình'!$B$12)*'Cấu hình'!$C$19,0))</f>
        <v>1505000</v>
      </c>
      <c r="AH11" s="42">
        <f>IF('Nhập liệu'!$C11="","",R11+AG11)</f>
        <v>14836923</v>
      </c>
    </row>
    <row r="12" spans="1:34">
      <c r="A12" s="33">
        <f>'Nhập liệu'!A12</f>
        <v>7</v>
      </c>
      <c r="B12" s="40" t="str">
        <f>IF('Nhập liệu'!$C12="","",'Nhập liệu'!B12)</f>
        <v/>
      </c>
      <c r="C12" s="40" t="str">
        <f>IF('Nhập liệu'!$C12="","",'Nhập liệu'!C12)</f>
        <v/>
      </c>
      <c r="D12" s="40" t="str">
        <f>IF('Nhập liệu'!$C12="","",'Nhập liệu'!D12)</f>
        <v/>
      </c>
      <c r="E12" s="41" t="str">
        <f>IF('Nhập liệu'!$C12="","",'Nhập liệu'!E12/('Cấu hình'!$B$6*'Cấu hình'!$B$7))</f>
        <v/>
      </c>
      <c r="F12" s="42" t="str">
        <f>IF('Nhập liệu'!$C12="","",ROUND('Nhập liệu'!E12/'Cấu hình'!$B$6*MIN('Nhập liệu'!G12,'Cấu hình'!$B$6),0))</f>
        <v/>
      </c>
      <c r="G12" s="42" t="str">
        <f>IF('Nhập liệu'!$C12="","",ROUND('Nhập liệu'!H12*'Nhập liệu'!I12,0))</f>
        <v/>
      </c>
      <c r="H12" s="42" t="str">
        <f>IF('Nhập liệu'!$C12="","",ROUND('Nhập liệu'!J12*'Nhập liệu'!K12,0))</f>
        <v/>
      </c>
      <c r="I12" s="42" t="str">
        <f>IF('Nhập liệu'!$C12="","",ROUND('Nhập liệu'!L12*'Cấu hình'!$B$36,0))</f>
        <v/>
      </c>
      <c r="J12" s="42" t="str">
        <f>IF('Nhập liệu'!$C12="","",ROUND('Nhập liệu'!G12*'Cấu hình'!$B$35,0))</f>
        <v/>
      </c>
      <c r="K12" s="42" t="str">
        <f>IF('Nhập liệu'!$C12="","",'Nhập liệu'!V12)</f>
        <v/>
      </c>
      <c r="L12" s="42" t="str">
        <f>IF('Nhập liệu'!$C12="","",ROUND(E12*('Nhập liệu'!M12*'Cấu hình'!$B$37+'Nhập liệu'!N12*'Cấu hình'!$B$38+'Nhập liệu'!O12*'Cấu hình'!$B$39),0))</f>
        <v/>
      </c>
      <c r="M12" s="42" t="str">
        <f>IF('Nhập liệu'!$C12="","",ROUND(E12*'Nhập liệu'!P12*'Cấu hình'!$B$40,0))</f>
        <v/>
      </c>
      <c r="N12" s="42" t="str">
        <f>IF('Nhập liệu'!$C12="","",IF(AND('Nhập liệu'!S12=0,'Nhập liệu'!T12=0),'Cấu hình'!$B$44,0))</f>
        <v/>
      </c>
      <c r="O12" s="42" t="str">
        <f>IF('Nhập liệu'!$C12="","",IF('Nhập liệu'!U12=0,'Cấu hình'!$B$45,0))</f>
        <v/>
      </c>
      <c r="P12" s="42" t="str">
        <f>IF('Nhập liệu'!$C12="","",ROUND(MAX(0,'Nhập liệu'!Q12-'Nhập liệu'!R12)*'Cấu hình'!$B$41*'Cấu hình'!$B$42,0))</f>
        <v/>
      </c>
      <c r="Q12" s="42" t="str">
        <f>IF('Nhập liệu'!$C12="","",'Nhập liệu'!W12)</f>
        <v/>
      </c>
      <c r="R12" s="43" t="str">
        <f>IF('Nhập liệu'!$C12="","",SUM(F12:Q12))</f>
        <v/>
      </c>
      <c r="S12" s="42" t="str">
        <f>IF('Nhập liệu'!$C12="","",MIN(MAX('Nhập liệu'!E12,'Cấu hình'!$B$9),'Cấu hình'!$B$11))</f>
        <v/>
      </c>
      <c r="T12" s="42" t="str">
        <f>IF('Nhập liệu'!$C12="","",ROUND(S12*'Cấu hình'!$B$16,0))</f>
        <v/>
      </c>
      <c r="U12" s="42" t="str">
        <f>IF('Nhập liệu'!$C12="","",ROUND(S12*'Cấu hình'!$B$18,0))</f>
        <v/>
      </c>
      <c r="V12" s="42" t="str">
        <f>IF('Nhập liệu'!$C12="","",ROUND(MIN(S12,'Cấu hình'!$B$12)*'Cấu hình'!$B$19,0))</f>
        <v/>
      </c>
      <c r="W12" s="42" t="str">
        <f>IF('Nhập liệu'!$C12="","",SUM(T12:V12))</f>
        <v/>
      </c>
      <c r="X12" s="42" t="str">
        <f>IF('Nhập liệu'!$C12="","",MIN(J12,'Cấu hình'!$B$24)+ROUND(E12*('Nhập liệu'!M12*('Cấu hình'!$B$37-1)+'Nhập liệu'!N12*('Cấu hình'!$B$38-1)+'Nhập liệu'!O12*('Cấu hình'!$B$39-1)),0)+M12)</f>
        <v/>
      </c>
      <c r="Y12" s="42" t="str">
        <f>IF('Nhập liệu'!$C12="","",'Cấu hình'!$B$22+'Nhập liệu'!F12*'Cấu hình'!$B$23)</f>
        <v/>
      </c>
      <c r="Z12" s="42" t="str">
        <f>IF('Nhập liệu'!$C12="","",MAX(0,R12-X12-W12-Y12))</f>
        <v/>
      </c>
      <c r="AA12" s="42" t="str">
        <f>IF('Nhập liệu'!$C12="","",ROUND(SUMPRODUCT((Z12&gt;'Cấu hình'!$B$27:$B$31)*(Z12-'Cấu hình'!$B$27:$B$31)*'Cấu hình'!$E$27:$E$31),0))</f>
        <v/>
      </c>
      <c r="AB12" s="42" t="str">
        <f>IF('Nhập liệu'!$C12="","",ROUND(MAX(0,'Nhập liệu'!R12-'Nhập liệu'!Q12)*'Cấu hình'!$B$41*'Cấu hình'!$B$43,0))</f>
        <v/>
      </c>
      <c r="AC12" s="42" t="str">
        <f>IF('Nhập liệu'!$C12="","",'Nhập liệu'!X12)</f>
        <v/>
      </c>
      <c r="AD12" s="42" t="str">
        <f>IF('Nhập liệu'!$C12="","",'Nhập liệu'!Y12)</f>
        <v/>
      </c>
      <c r="AE12" s="42" t="str">
        <f>IF('Nhập liệu'!$C12="","",W12+AA12+AB12+AC12+AD12)</f>
        <v/>
      </c>
      <c r="AF12" s="43" t="str">
        <f>IF('Nhập liệu'!$C12="","",R12-AE12)</f>
        <v/>
      </c>
      <c r="AG12" s="42" t="str">
        <f>IF('Nhập liệu'!$C12="","",ROUND(S12*('Cấu hình'!$C$16+'Cấu hình'!$C$17+'Cấu hình'!$C$18)+MIN(S12,'Cấu hình'!$B$12)*'Cấu hình'!$C$19,0))</f>
        <v/>
      </c>
      <c r="AH12" s="42" t="str">
        <f>IF('Nhập liệu'!$C12="","",R12+AG12)</f>
        <v/>
      </c>
    </row>
    <row r="13" spans="1:34">
      <c r="A13" s="33">
        <f>'Nhập liệu'!A13</f>
        <v>8</v>
      </c>
      <c r="B13" s="40" t="str">
        <f>IF('Nhập liệu'!$C13="","",'Nhập liệu'!B13)</f>
        <v/>
      </c>
      <c r="C13" s="40" t="str">
        <f>IF('Nhập liệu'!$C13="","",'Nhập liệu'!C13)</f>
        <v/>
      </c>
      <c r="D13" s="40" t="str">
        <f>IF('Nhập liệu'!$C13="","",'Nhập liệu'!D13)</f>
        <v/>
      </c>
      <c r="E13" s="41" t="str">
        <f>IF('Nhập liệu'!$C13="","",'Nhập liệu'!E13/('Cấu hình'!$B$6*'Cấu hình'!$B$7))</f>
        <v/>
      </c>
      <c r="F13" s="42" t="str">
        <f>IF('Nhập liệu'!$C13="","",ROUND('Nhập liệu'!E13/'Cấu hình'!$B$6*MIN('Nhập liệu'!G13,'Cấu hình'!$B$6),0))</f>
        <v/>
      </c>
      <c r="G13" s="42" t="str">
        <f>IF('Nhập liệu'!$C13="","",ROUND('Nhập liệu'!H13*'Nhập liệu'!I13,0))</f>
        <v/>
      </c>
      <c r="H13" s="42" t="str">
        <f>IF('Nhập liệu'!$C13="","",ROUND('Nhập liệu'!J13*'Nhập liệu'!K13,0))</f>
        <v/>
      </c>
      <c r="I13" s="42" t="str">
        <f>IF('Nhập liệu'!$C13="","",ROUND('Nhập liệu'!L13*'Cấu hình'!$B$36,0))</f>
        <v/>
      </c>
      <c r="J13" s="42" t="str">
        <f>IF('Nhập liệu'!$C13="","",ROUND('Nhập liệu'!G13*'Cấu hình'!$B$35,0))</f>
        <v/>
      </c>
      <c r="K13" s="42" t="str">
        <f>IF('Nhập liệu'!$C13="","",'Nhập liệu'!V13)</f>
        <v/>
      </c>
      <c r="L13" s="42" t="str">
        <f>IF('Nhập liệu'!$C13="","",ROUND(E13*('Nhập liệu'!M13*'Cấu hình'!$B$37+'Nhập liệu'!N13*'Cấu hình'!$B$38+'Nhập liệu'!O13*'Cấu hình'!$B$39),0))</f>
        <v/>
      </c>
      <c r="M13" s="42" t="str">
        <f>IF('Nhập liệu'!$C13="","",ROUND(E13*'Nhập liệu'!P13*'Cấu hình'!$B$40,0))</f>
        <v/>
      </c>
      <c r="N13" s="42" t="str">
        <f>IF('Nhập liệu'!$C13="","",IF(AND('Nhập liệu'!S13=0,'Nhập liệu'!T13=0),'Cấu hình'!$B$44,0))</f>
        <v/>
      </c>
      <c r="O13" s="42" t="str">
        <f>IF('Nhập liệu'!$C13="","",IF('Nhập liệu'!U13=0,'Cấu hình'!$B$45,0))</f>
        <v/>
      </c>
      <c r="P13" s="42" t="str">
        <f>IF('Nhập liệu'!$C13="","",ROUND(MAX(0,'Nhập liệu'!Q13-'Nhập liệu'!R13)*'Cấu hình'!$B$41*'Cấu hình'!$B$42,0))</f>
        <v/>
      </c>
      <c r="Q13" s="42" t="str">
        <f>IF('Nhập liệu'!$C13="","",'Nhập liệu'!W13)</f>
        <v/>
      </c>
      <c r="R13" s="43" t="str">
        <f>IF('Nhập liệu'!$C13="","",SUM(F13:Q13))</f>
        <v/>
      </c>
      <c r="S13" s="42" t="str">
        <f>IF('Nhập liệu'!$C13="","",MIN(MAX('Nhập liệu'!E13,'Cấu hình'!$B$9),'Cấu hình'!$B$11))</f>
        <v/>
      </c>
      <c r="T13" s="42" t="str">
        <f>IF('Nhập liệu'!$C13="","",ROUND(S13*'Cấu hình'!$B$16,0))</f>
        <v/>
      </c>
      <c r="U13" s="42" t="str">
        <f>IF('Nhập liệu'!$C13="","",ROUND(S13*'Cấu hình'!$B$18,0))</f>
        <v/>
      </c>
      <c r="V13" s="42" t="str">
        <f>IF('Nhập liệu'!$C13="","",ROUND(MIN(S13,'Cấu hình'!$B$12)*'Cấu hình'!$B$19,0))</f>
        <v/>
      </c>
      <c r="W13" s="42" t="str">
        <f>IF('Nhập liệu'!$C13="","",SUM(T13:V13))</f>
        <v/>
      </c>
      <c r="X13" s="42" t="str">
        <f>IF('Nhập liệu'!$C13="","",MIN(J13,'Cấu hình'!$B$24)+ROUND(E13*('Nhập liệu'!M13*('Cấu hình'!$B$37-1)+'Nhập liệu'!N13*('Cấu hình'!$B$38-1)+'Nhập liệu'!O13*('Cấu hình'!$B$39-1)),0)+M13)</f>
        <v/>
      </c>
      <c r="Y13" s="42" t="str">
        <f>IF('Nhập liệu'!$C13="","",'Cấu hình'!$B$22+'Nhập liệu'!F13*'Cấu hình'!$B$23)</f>
        <v/>
      </c>
      <c r="Z13" s="42" t="str">
        <f>IF('Nhập liệu'!$C13="","",MAX(0,R13-X13-W13-Y13))</f>
        <v/>
      </c>
      <c r="AA13" s="42" t="str">
        <f>IF('Nhập liệu'!$C13="","",ROUND(SUMPRODUCT((Z13&gt;'Cấu hình'!$B$27:$B$31)*(Z13-'Cấu hình'!$B$27:$B$31)*'Cấu hình'!$E$27:$E$31),0))</f>
        <v/>
      </c>
      <c r="AB13" s="42" t="str">
        <f>IF('Nhập liệu'!$C13="","",ROUND(MAX(0,'Nhập liệu'!R13-'Nhập liệu'!Q13)*'Cấu hình'!$B$41*'Cấu hình'!$B$43,0))</f>
        <v/>
      </c>
      <c r="AC13" s="42" t="str">
        <f>IF('Nhập liệu'!$C13="","",'Nhập liệu'!X13)</f>
        <v/>
      </c>
      <c r="AD13" s="42" t="str">
        <f>IF('Nhập liệu'!$C13="","",'Nhập liệu'!Y13)</f>
        <v/>
      </c>
      <c r="AE13" s="42" t="str">
        <f>IF('Nhập liệu'!$C13="","",W13+AA13+AB13+AC13+AD13)</f>
        <v/>
      </c>
      <c r="AF13" s="43" t="str">
        <f>IF('Nhập liệu'!$C13="","",R13-AE13)</f>
        <v/>
      </c>
      <c r="AG13" s="42" t="str">
        <f>IF('Nhập liệu'!$C13="","",ROUND(S13*('Cấu hình'!$C$16+'Cấu hình'!$C$17+'Cấu hình'!$C$18)+MIN(S13,'Cấu hình'!$B$12)*'Cấu hình'!$C$19,0))</f>
        <v/>
      </c>
      <c r="AH13" s="42" t="str">
        <f>IF('Nhập liệu'!$C13="","",R13+AG13)</f>
        <v/>
      </c>
    </row>
    <row r="14" spans="1:34">
      <c r="A14" s="33">
        <f>'Nhập liệu'!A14</f>
        <v>9</v>
      </c>
      <c r="B14" s="40" t="str">
        <f>IF('Nhập liệu'!$C14="","",'Nhập liệu'!B14)</f>
        <v/>
      </c>
      <c r="C14" s="40" t="str">
        <f>IF('Nhập liệu'!$C14="","",'Nhập liệu'!C14)</f>
        <v/>
      </c>
      <c r="D14" s="40" t="str">
        <f>IF('Nhập liệu'!$C14="","",'Nhập liệu'!D14)</f>
        <v/>
      </c>
      <c r="E14" s="41" t="str">
        <f>IF('Nhập liệu'!$C14="","",'Nhập liệu'!E14/('Cấu hình'!$B$6*'Cấu hình'!$B$7))</f>
        <v/>
      </c>
      <c r="F14" s="42" t="str">
        <f>IF('Nhập liệu'!$C14="","",ROUND('Nhập liệu'!E14/'Cấu hình'!$B$6*MIN('Nhập liệu'!G14,'Cấu hình'!$B$6),0))</f>
        <v/>
      </c>
      <c r="G14" s="42" t="str">
        <f>IF('Nhập liệu'!$C14="","",ROUND('Nhập liệu'!H14*'Nhập liệu'!I14,0))</f>
        <v/>
      </c>
      <c r="H14" s="42" t="str">
        <f>IF('Nhập liệu'!$C14="","",ROUND('Nhập liệu'!J14*'Nhập liệu'!K14,0))</f>
        <v/>
      </c>
      <c r="I14" s="42" t="str">
        <f>IF('Nhập liệu'!$C14="","",ROUND('Nhập liệu'!L14*'Cấu hình'!$B$36,0))</f>
        <v/>
      </c>
      <c r="J14" s="42" t="str">
        <f>IF('Nhập liệu'!$C14="","",ROUND('Nhập liệu'!G14*'Cấu hình'!$B$35,0))</f>
        <v/>
      </c>
      <c r="K14" s="42" t="str">
        <f>IF('Nhập liệu'!$C14="","",'Nhập liệu'!V14)</f>
        <v/>
      </c>
      <c r="L14" s="42" t="str">
        <f>IF('Nhập liệu'!$C14="","",ROUND(E14*('Nhập liệu'!M14*'Cấu hình'!$B$37+'Nhập liệu'!N14*'Cấu hình'!$B$38+'Nhập liệu'!O14*'Cấu hình'!$B$39),0))</f>
        <v/>
      </c>
      <c r="M14" s="42" t="str">
        <f>IF('Nhập liệu'!$C14="","",ROUND(E14*'Nhập liệu'!P14*'Cấu hình'!$B$40,0))</f>
        <v/>
      </c>
      <c r="N14" s="42" t="str">
        <f>IF('Nhập liệu'!$C14="","",IF(AND('Nhập liệu'!S14=0,'Nhập liệu'!T14=0),'Cấu hình'!$B$44,0))</f>
        <v/>
      </c>
      <c r="O14" s="42" t="str">
        <f>IF('Nhập liệu'!$C14="","",IF('Nhập liệu'!U14=0,'Cấu hình'!$B$45,0))</f>
        <v/>
      </c>
      <c r="P14" s="42" t="str">
        <f>IF('Nhập liệu'!$C14="","",ROUND(MAX(0,'Nhập liệu'!Q14-'Nhập liệu'!R14)*'Cấu hình'!$B$41*'Cấu hình'!$B$42,0))</f>
        <v/>
      </c>
      <c r="Q14" s="42" t="str">
        <f>IF('Nhập liệu'!$C14="","",'Nhập liệu'!W14)</f>
        <v/>
      </c>
      <c r="R14" s="43" t="str">
        <f>IF('Nhập liệu'!$C14="","",SUM(F14:Q14))</f>
        <v/>
      </c>
      <c r="S14" s="42" t="str">
        <f>IF('Nhập liệu'!$C14="","",MIN(MAX('Nhập liệu'!E14,'Cấu hình'!$B$9),'Cấu hình'!$B$11))</f>
        <v/>
      </c>
      <c r="T14" s="42" t="str">
        <f>IF('Nhập liệu'!$C14="","",ROUND(S14*'Cấu hình'!$B$16,0))</f>
        <v/>
      </c>
      <c r="U14" s="42" t="str">
        <f>IF('Nhập liệu'!$C14="","",ROUND(S14*'Cấu hình'!$B$18,0))</f>
        <v/>
      </c>
      <c r="V14" s="42" t="str">
        <f>IF('Nhập liệu'!$C14="","",ROUND(MIN(S14,'Cấu hình'!$B$12)*'Cấu hình'!$B$19,0))</f>
        <v/>
      </c>
      <c r="W14" s="42" t="str">
        <f>IF('Nhập liệu'!$C14="","",SUM(T14:V14))</f>
        <v/>
      </c>
      <c r="X14" s="42" t="str">
        <f>IF('Nhập liệu'!$C14="","",MIN(J14,'Cấu hình'!$B$24)+ROUND(E14*('Nhập liệu'!M14*('Cấu hình'!$B$37-1)+'Nhập liệu'!N14*('Cấu hình'!$B$38-1)+'Nhập liệu'!O14*('Cấu hình'!$B$39-1)),0)+M14)</f>
        <v/>
      </c>
      <c r="Y14" s="42" t="str">
        <f>IF('Nhập liệu'!$C14="","",'Cấu hình'!$B$22+'Nhập liệu'!F14*'Cấu hình'!$B$23)</f>
        <v/>
      </c>
      <c r="Z14" s="42" t="str">
        <f>IF('Nhập liệu'!$C14="","",MAX(0,R14-X14-W14-Y14))</f>
        <v/>
      </c>
      <c r="AA14" s="42" t="str">
        <f>IF('Nhập liệu'!$C14="","",ROUND(SUMPRODUCT((Z14&gt;'Cấu hình'!$B$27:$B$31)*(Z14-'Cấu hình'!$B$27:$B$31)*'Cấu hình'!$E$27:$E$31),0))</f>
        <v/>
      </c>
      <c r="AB14" s="42" t="str">
        <f>IF('Nhập liệu'!$C14="","",ROUND(MAX(0,'Nhập liệu'!R14-'Nhập liệu'!Q14)*'Cấu hình'!$B$41*'Cấu hình'!$B$43,0))</f>
        <v/>
      </c>
      <c r="AC14" s="42" t="str">
        <f>IF('Nhập liệu'!$C14="","",'Nhập liệu'!X14)</f>
        <v/>
      </c>
      <c r="AD14" s="42" t="str">
        <f>IF('Nhập liệu'!$C14="","",'Nhập liệu'!Y14)</f>
        <v/>
      </c>
      <c r="AE14" s="42" t="str">
        <f>IF('Nhập liệu'!$C14="","",W14+AA14+AB14+AC14+AD14)</f>
        <v/>
      </c>
      <c r="AF14" s="43" t="str">
        <f>IF('Nhập liệu'!$C14="","",R14-AE14)</f>
        <v/>
      </c>
      <c r="AG14" s="42" t="str">
        <f>IF('Nhập liệu'!$C14="","",ROUND(S14*('Cấu hình'!$C$16+'Cấu hình'!$C$17+'Cấu hình'!$C$18)+MIN(S14,'Cấu hình'!$B$12)*'Cấu hình'!$C$19,0))</f>
        <v/>
      </c>
      <c r="AH14" s="42" t="str">
        <f>IF('Nhập liệu'!$C14="","",R14+AG14)</f>
        <v/>
      </c>
    </row>
    <row r="15" spans="1:34">
      <c r="A15" s="33">
        <f>'Nhập liệu'!A15</f>
        <v>10</v>
      </c>
      <c r="B15" s="40" t="str">
        <f>IF('Nhập liệu'!$C15="","",'Nhập liệu'!B15)</f>
        <v/>
      </c>
      <c r="C15" s="40" t="str">
        <f>IF('Nhập liệu'!$C15="","",'Nhập liệu'!C15)</f>
        <v/>
      </c>
      <c r="D15" s="40" t="str">
        <f>IF('Nhập liệu'!$C15="","",'Nhập liệu'!D15)</f>
        <v/>
      </c>
      <c r="E15" s="41" t="str">
        <f>IF('Nhập liệu'!$C15="","",'Nhập liệu'!E15/('Cấu hình'!$B$6*'Cấu hình'!$B$7))</f>
        <v/>
      </c>
      <c r="F15" s="42" t="str">
        <f>IF('Nhập liệu'!$C15="","",ROUND('Nhập liệu'!E15/'Cấu hình'!$B$6*MIN('Nhập liệu'!G15,'Cấu hình'!$B$6),0))</f>
        <v/>
      </c>
      <c r="G15" s="42" t="str">
        <f>IF('Nhập liệu'!$C15="","",ROUND('Nhập liệu'!H15*'Nhập liệu'!I15,0))</f>
        <v/>
      </c>
      <c r="H15" s="42" t="str">
        <f>IF('Nhập liệu'!$C15="","",ROUND('Nhập liệu'!J15*'Nhập liệu'!K15,0))</f>
        <v/>
      </c>
      <c r="I15" s="42" t="str">
        <f>IF('Nhập liệu'!$C15="","",ROUND('Nhập liệu'!L15*'Cấu hình'!$B$36,0))</f>
        <v/>
      </c>
      <c r="J15" s="42" t="str">
        <f>IF('Nhập liệu'!$C15="","",ROUND('Nhập liệu'!G15*'Cấu hình'!$B$35,0))</f>
        <v/>
      </c>
      <c r="K15" s="42" t="str">
        <f>IF('Nhập liệu'!$C15="","",'Nhập liệu'!V15)</f>
        <v/>
      </c>
      <c r="L15" s="42" t="str">
        <f>IF('Nhập liệu'!$C15="","",ROUND(E15*('Nhập liệu'!M15*'Cấu hình'!$B$37+'Nhập liệu'!N15*'Cấu hình'!$B$38+'Nhập liệu'!O15*'Cấu hình'!$B$39),0))</f>
        <v/>
      </c>
      <c r="M15" s="42" t="str">
        <f>IF('Nhập liệu'!$C15="","",ROUND(E15*'Nhập liệu'!P15*'Cấu hình'!$B$40,0))</f>
        <v/>
      </c>
      <c r="N15" s="42" t="str">
        <f>IF('Nhập liệu'!$C15="","",IF(AND('Nhập liệu'!S15=0,'Nhập liệu'!T15=0),'Cấu hình'!$B$44,0))</f>
        <v/>
      </c>
      <c r="O15" s="42" t="str">
        <f>IF('Nhập liệu'!$C15="","",IF('Nhập liệu'!U15=0,'Cấu hình'!$B$45,0))</f>
        <v/>
      </c>
      <c r="P15" s="42" t="str">
        <f>IF('Nhập liệu'!$C15="","",ROUND(MAX(0,'Nhập liệu'!Q15-'Nhập liệu'!R15)*'Cấu hình'!$B$41*'Cấu hình'!$B$42,0))</f>
        <v/>
      </c>
      <c r="Q15" s="42" t="str">
        <f>IF('Nhập liệu'!$C15="","",'Nhập liệu'!W15)</f>
        <v/>
      </c>
      <c r="R15" s="43" t="str">
        <f>IF('Nhập liệu'!$C15="","",SUM(F15:Q15))</f>
        <v/>
      </c>
      <c r="S15" s="42" t="str">
        <f>IF('Nhập liệu'!$C15="","",MIN(MAX('Nhập liệu'!E15,'Cấu hình'!$B$9),'Cấu hình'!$B$11))</f>
        <v/>
      </c>
      <c r="T15" s="42" t="str">
        <f>IF('Nhập liệu'!$C15="","",ROUND(S15*'Cấu hình'!$B$16,0))</f>
        <v/>
      </c>
      <c r="U15" s="42" t="str">
        <f>IF('Nhập liệu'!$C15="","",ROUND(S15*'Cấu hình'!$B$18,0))</f>
        <v/>
      </c>
      <c r="V15" s="42" t="str">
        <f>IF('Nhập liệu'!$C15="","",ROUND(MIN(S15,'Cấu hình'!$B$12)*'Cấu hình'!$B$19,0))</f>
        <v/>
      </c>
      <c r="W15" s="42" t="str">
        <f>IF('Nhập liệu'!$C15="","",SUM(T15:V15))</f>
        <v/>
      </c>
      <c r="X15" s="42" t="str">
        <f>IF('Nhập liệu'!$C15="","",MIN(J15,'Cấu hình'!$B$24)+ROUND(E15*('Nhập liệu'!M15*('Cấu hình'!$B$37-1)+'Nhập liệu'!N15*('Cấu hình'!$B$38-1)+'Nhập liệu'!O15*('Cấu hình'!$B$39-1)),0)+M15)</f>
        <v/>
      </c>
      <c r="Y15" s="42" t="str">
        <f>IF('Nhập liệu'!$C15="","",'Cấu hình'!$B$22+'Nhập liệu'!F15*'Cấu hình'!$B$23)</f>
        <v/>
      </c>
      <c r="Z15" s="42" t="str">
        <f>IF('Nhập liệu'!$C15="","",MAX(0,R15-X15-W15-Y15))</f>
        <v/>
      </c>
      <c r="AA15" s="42" t="str">
        <f>IF('Nhập liệu'!$C15="","",ROUND(SUMPRODUCT((Z15&gt;'Cấu hình'!$B$27:$B$31)*(Z15-'Cấu hình'!$B$27:$B$31)*'Cấu hình'!$E$27:$E$31),0))</f>
        <v/>
      </c>
      <c r="AB15" s="42" t="str">
        <f>IF('Nhập liệu'!$C15="","",ROUND(MAX(0,'Nhập liệu'!R15-'Nhập liệu'!Q15)*'Cấu hình'!$B$41*'Cấu hình'!$B$43,0))</f>
        <v/>
      </c>
      <c r="AC15" s="42" t="str">
        <f>IF('Nhập liệu'!$C15="","",'Nhập liệu'!X15)</f>
        <v/>
      </c>
      <c r="AD15" s="42" t="str">
        <f>IF('Nhập liệu'!$C15="","",'Nhập liệu'!Y15)</f>
        <v/>
      </c>
      <c r="AE15" s="42" t="str">
        <f>IF('Nhập liệu'!$C15="","",W15+AA15+AB15+AC15+AD15)</f>
        <v/>
      </c>
      <c r="AF15" s="43" t="str">
        <f>IF('Nhập liệu'!$C15="","",R15-AE15)</f>
        <v/>
      </c>
      <c r="AG15" s="42" t="str">
        <f>IF('Nhập liệu'!$C15="","",ROUND(S15*('Cấu hình'!$C$16+'Cấu hình'!$C$17+'Cấu hình'!$C$18)+MIN(S15,'Cấu hình'!$B$12)*'Cấu hình'!$C$19,0))</f>
        <v/>
      </c>
      <c r="AH15" s="42" t="str">
        <f>IF('Nhập liệu'!$C15="","",R15+AG15)</f>
        <v/>
      </c>
    </row>
    <row r="16" spans="1:34">
      <c r="A16" s="33">
        <f>'Nhập liệu'!A16</f>
        <v>11</v>
      </c>
      <c r="B16" s="40" t="str">
        <f>IF('Nhập liệu'!$C16="","",'Nhập liệu'!B16)</f>
        <v/>
      </c>
      <c r="C16" s="40" t="str">
        <f>IF('Nhập liệu'!$C16="","",'Nhập liệu'!C16)</f>
        <v/>
      </c>
      <c r="D16" s="40" t="str">
        <f>IF('Nhập liệu'!$C16="","",'Nhập liệu'!D16)</f>
        <v/>
      </c>
      <c r="E16" s="41" t="str">
        <f>IF('Nhập liệu'!$C16="","",'Nhập liệu'!E16/('Cấu hình'!$B$6*'Cấu hình'!$B$7))</f>
        <v/>
      </c>
      <c r="F16" s="42" t="str">
        <f>IF('Nhập liệu'!$C16="","",ROUND('Nhập liệu'!E16/'Cấu hình'!$B$6*MIN('Nhập liệu'!G16,'Cấu hình'!$B$6),0))</f>
        <v/>
      </c>
      <c r="G16" s="42" t="str">
        <f>IF('Nhập liệu'!$C16="","",ROUND('Nhập liệu'!H16*'Nhập liệu'!I16,0))</f>
        <v/>
      </c>
      <c r="H16" s="42" t="str">
        <f>IF('Nhập liệu'!$C16="","",ROUND('Nhập liệu'!J16*'Nhập liệu'!K16,0))</f>
        <v/>
      </c>
      <c r="I16" s="42" t="str">
        <f>IF('Nhập liệu'!$C16="","",ROUND('Nhập liệu'!L16*'Cấu hình'!$B$36,0))</f>
        <v/>
      </c>
      <c r="J16" s="42" t="str">
        <f>IF('Nhập liệu'!$C16="","",ROUND('Nhập liệu'!G16*'Cấu hình'!$B$35,0))</f>
        <v/>
      </c>
      <c r="K16" s="42" t="str">
        <f>IF('Nhập liệu'!$C16="","",'Nhập liệu'!V16)</f>
        <v/>
      </c>
      <c r="L16" s="42" t="str">
        <f>IF('Nhập liệu'!$C16="","",ROUND(E16*('Nhập liệu'!M16*'Cấu hình'!$B$37+'Nhập liệu'!N16*'Cấu hình'!$B$38+'Nhập liệu'!O16*'Cấu hình'!$B$39),0))</f>
        <v/>
      </c>
      <c r="M16" s="42" t="str">
        <f>IF('Nhập liệu'!$C16="","",ROUND(E16*'Nhập liệu'!P16*'Cấu hình'!$B$40,0))</f>
        <v/>
      </c>
      <c r="N16" s="42" t="str">
        <f>IF('Nhập liệu'!$C16="","",IF(AND('Nhập liệu'!S16=0,'Nhập liệu'!T16=0),'Cấu hình'!$B$44,0))</f>
        <v/>
      </c>
      <c r="O16" s="42" t="str">
        <f>IF('Nhập liệu'!$C16="","",IF('Nhập liệu'!U16=0,'Cấu hình'!$B$45,0))</f>
        <v/>
      </c>
      <c r="P16" s="42" t="str">
        <f>IF('Nhập liệu'!$C16="","",ROUND(MAX(0,'Nhập liệu'!Q16-'Nhập liệu'!R16)*'Cấu hình'!$B$41*'Cấu hình'!$B$42,0))</f>
        <v/>
      </c>
      <c r="Q16" s="42" t="str">
        <f>IF('Nhập liệu'!$C16="","",'Nhập liệu'!W16)</f>
        <v/>
      </c>
      <c r="R16" s="43" t="str">
        <f>IF('Nhập liệu'!$C16="","",SUM(F16:Q16))</f>
        <v/>
      </c>
      <c r="S16" s="42" t="str">
        <f>IF('Nhập liệu'!$C16="","",MIN(MAX('Nhập liệu'!E16,'Cấu hình'!$B$9),'Cấu hình'!$B$11))</f>
        <v/>
      </c>
      <c r="T16" s="42" t="str">
        <f>IF('Nhập liệu'!$C16="","",ROUND(S16*'Cấu hình'!$B$16,0))</f>
        <v/>
      </c>
      <c r="U16" s="42" t="str">
        <f>IF('Nhập liệu'!$C16="","",ROUND(S16*'Cấu hình'!$B$18,0))</f>
        <v/>
      </c>
      <c r="V16" s="42" t="str">
        <f>IF('Nhập liệu'!$C16="","",ROUND(MIN(S16,'Cấu hình'!$B$12)*'Cấu hình'!$B$19,0))</f>
        <v/>
      </c>
      <c r="W16" s="42" t="str">
        <f>IF('Nhập liệu'!$C16="","",SUM(T16:V16))</f>
        <v/>
      </c>
      <c r="X16" s="42" t="str">
        <f>IF('Nhập liệu'!$C16="","",MIN(J16,'Cấu hình'!$B$24)+ROUND(E16*('Nhập liệu'!M16*('Cấu hình'!$B$37-1)+'Nhập liệu'!N16*('Cấu hình'!$B$38-1)+'Nhập liệu'!O16*('Cấu hình'!$B$39-1)),0)+M16)</f>
        <v/>
      </c>
      <c r="Y16" s="42" t="str">
        <f>IF('Nhập liệu'!$C16="","",'Cấu hình'!$B$22+'Nhập liệu'!F16*'Cấu hình'!$B$23)</f>
        <v/>
      </c>
      <c r="Z16" s="42" t="str">
        <f>IF('Nhập liệu'!$C16="","",MAX(0,R16-X16-W16-Y16))</f>
        <v/>
      </c>
      <c r="AA16" s="42" t="str">
        <f>IF('Nhập liệu'!$C16="","",ROUND(SUMPRODUCT((Z16&gt;'Cấu hình'!$B$27:$B$31)*(Z16-'Cấu hình'!$B$27:$B$31)*'Cấu hình'!$E$27:$E$31),0))</f>
        <v/>
      </c>
      <c r="AB16" s="42" t="str">
        <f>IF('Nhập liệu'!$C16="","",ROUND(MAX(0,'Nhập liệu'!R16-'Nhập liệu'!Q16)*'Cấu hình'!$B$41*'Cấu hình'!$B$43,0))</f>
        <v/>
      </c>
      <c r="AC16" s="42" t="str">
        <f>IF('Nhập liệu'!$C16="","",'Nhập liệu'!X16)</f>
        <v/>
      </c>
      <c r="AD16" s="42" t="str">
        <f>IF('Nhập liệu'!$C16="","",'Nhập liệu'!Y16)</f>
        <v/>
      </c>
      <c r="AE16" s="42" t="str">
        <f>IF('Nhập liệu'!$C16="","",W16+AA16+AB16+AC16+AD16)</f>
        <v/>
      </c>
      <c r="AF16" s="43" t="str">
        <f>IF('Nhập liệu'!$C16="","",R16-AE16)</f>
        <v/>
      </c>
      <c r="AG16" s="42" t="str">
        <f>IF('Nhập liệu'!$C16="","",ROUND(S16*('Cấu hình'!$C$16+'Cấu hình'!$C$17+'Cấu hình'!$C$18)+MIN(S16,'Cấu hình'!$B$12)*'Cấu hình'!$C$19,0))</f>
        <v/>
      </c>
      <c r="AH16" s="42" t="str">
        <f>IF('Nhập liệu'!$C16="","",R16+AG16)</f>
        <v/>
      </c>
    </row>
    <row r="17" spans="1:34">
      <c r="A17" s="33">
        <f>'Nhập liệu'!A17</f>
        <v>12</v>
      </c>
      <c r="B17" s="40" t="str">
        <f>IF('Nhập liệu'!$C17="","",'Nhập liệu'!B17)</f>
        <v/>
      </c>
      <c r="C17" s="40" t="str">
        <f>IF('Nhập liệu'!$C17="","",'Nhập liệu'!C17)</f>
        <v/>
      </c>
      <c r="D17" s="40" t="str">
        <f>IF('Nhập liệu'!$C17="","",'Nhập liệu'!D17)</f>
        <v/>
      </c>
      <c r="E17" s="41" t="str">
        <f>IF('Nhập liệu'!$C17="","",'Nhập liệu'!E17/('Cấu hình'!$B$6*'Cấu hình'!$B$7))</f>
        <v/>
      </c>
      <c r="F17" s="42" t="str">
        <f>IF('Nhập liệu'!$C17="","",ROUND('Nhập liệu'!E17/'Cấu hình'!$B$6*MIN('Nhập liệu'!G17,'Cấu hình'!$B$6),0))</f>
        <v/>
      </c>
      <c r="G17" s="42" t="str">
        <f>IF('Nhập liệu'!$C17="","",ROUND('Nhập liệu'!H17*'Nhập liệu'!I17,0))</f>
        <v/>
      </c>
      <c r="H17" s="42" t="str">
        <f>IF('Nhập liệu'!$C17="","",ROUND('Nhập liệu'!J17*'Nhập liệu'!K17,0))</f>
        <v/>
      </c>
      <c r="I17" s="42" t="str">
        <f>IF('Nhập liệu'!$C17="","",ROUND('Nhập liệu'!L17*'Cấu hình'!$B$36,0))</f>
        <v/>
      </c>
      <c r="J17" s="42" t="str">
        <f>IF('Nhập liệu'!$C17="","",ROUND('Nhập liệu'!G17*'Cấu hình'!$B$35,0))</f>
        <v/>
      </c>
      <c r="K17" s="42" t="str">
        <f>IF('Nhập liệu'!$C17="","",'Nhập liệu'!V17)</f>
        <v/>
      </c>
      <c r="L17" s="42" t="str">
        <f>IF('Nhập liệu'!$C17="","",ROUND(E17*('Nhập liệu'!M17*'Cấu hình'!$B$37+'Nhập liệu'!N17*'Cấu hình'!$B$38+'Nhập liệu'!O17*'Cấu hình'!$B$39),0))</f>
        <v/>
      </c>
      <c r="M17" s="42" t="str">
        <f>IF('Nhập liệu'!$C17="","",ROUND(E17*'Nhập liệu'!P17*'Cấu hình'!$B$40,0))</f>
        <v/>
      </c>
      <c r="N17" s="42" t="str">
        <f>IF('Nhập liệu'!$C17="","",IF(AND('Nhập liệu'!S17=0,'Nhập liệu'!T17=0),'Cấu hình'!$B$44,0))</f>
        <v/>
      </c>
      <c r="O17" s="42" t="str">
        <f>IF('Nhập liệu'!$C17="","",IF('Nhập liệu'!U17=0,'Cấu hình'!$B$45,0))</f>
        <v/>
      </c>
      <c r="P17" s="42" t="str">
        <f>IF('Nhập liệu'!$C17="","",ROUND(MAX(0,'Nhập liệu'!Q17-'Nhập liệu'!R17)*'Cấu hình'!$B$41*'Cấu hình'!$B$42,0))</f>
        <v/>
      </c>
      <c r="Q17" s="42" t="str">
        <f>IF('Nhập liệu'!$C17="","",'Nhập liệu'!W17)</f>
        <v/>
      </c>
      <c r="R17" s="43" t="str">
        <f>IF('Nhập liệu'!$C17="","",SUM(F17:Q17))</f>
        <v/>
      </c>
      <c r="S17" s="42" t="str">
        <f>IF('Nhập liệu'!$C17="","",MIN(MAX('Nhập liệu'!E17,'Cấu hình'!$B$9),'Cấu hình'!$B$11))</f>
        <v/>
      </c>
      <c r="T17" s="42" t="str">
        <f>IF('Nhập liệu'!$C17="","",ROUND(S17*'Cấu hình'!$B$16,0))</f>
        <v/>
      </c>
      <c r="U17" s="42" t="str">
        <f>IF('Nhập liệu'!$C17="","",ROUND(S17*'Cấu hình'!$B$18,0))</f>
        <v/>
      </c>
      <c r="V17" s="42" t="str">
        <f>IF('Nhập liệu'!$C17="","",ROUND(MIN(S17,'Cấu hình'!$B$12)*'Cấu hình'!$B$19,0))</f>
        <v/>
      </c>
      <c r="W17" s="42" t="str">
        <f>IF('Nhập liệu'!$C17="","",SUM(T17:V17))</f>
        <v/>
      </c>
      <c r="X17" s="42" t="str">
        <f>IF('Nhập liệu'!$C17="","",MIN(J17,'Cấu hình'!$B$24)+ROUND(E17*('Nhập liệu'!M17*('Cấu hình'!$B$37-1)+'Nhập liệu'!N17*('Cấu hình'!$B$38-1)+'Nhập liệu'!O17*('Cấu hình'!$B$39-1)),0)+M17)</f>
        <v/>
      </c>
      <c r="Y17" s="42" t="str">
        <f>IF('Nhập liệu'!$C17="","",'Cấu hình'!$B$22+'Nhập liệu'!F17*'Cấu hình'!$B$23)</f>
        <v/>
      </c>
      <c r="Z17" s="42" t="str">
        <f>IF('Nhập liệu'!$C17="","",MAX(0,R17-X17-W17-Y17))</f>
        <v/>
      </c>
      <c r="AA17" s="42" t="str">
        <f>IF('Nhập liệu'!$C17="","",ROUND(SUMPRODUCT((Z17&gt;'Cấu hình'!$B$27:$B$31)*(Z17-'Cấu hình'!$B$27:$B$31)*'Cấu hình'!$E$27:$E$31),0))</f>
        <v/>
      </c>
      <c r="AB17" s="42" t="str">
        <f>IF('Nhập liệu'!$C17="","",ROUND(MAX(0,'Nhập liệu'!R17-'Nhập liệu'!Q17)*'Cấu hình'!$B$41*'Cấu hình'!$B$43,0))</f>
        <v/>
      </c>
      <c r="AC17" s="42" t="str">
        <f>IF('Nhập liệu'!$C17="","",'Nhập liệu'!X17)</f>
        <v/>
      </c>
      <c r="AD17" s="42" t="str">
        <f>IF('Nhập liệu'!$C17="","",'Nhập liệu'!Y17)</f>
        <v/>
      </c>
      <c r="AE17" s="42" t="str">
        <f>IF('Nhập liệu'!$C17="","",W17+AA17+AB17+AC17+AD17)</f>
        <v/>
      </c>
      <c r="AF17" s="43" t="str">
        <f>IF('Nhập liệu'!$C17="","",R17-AE17)</f>
        <v/>
      </c>
      <c r="AG17" s="42" t="str">
        <f>IF('Nhập liệu'!$C17="","",ROUND(S17*('Cấu hình'!$C$16+'Cấu hình'!$C$17+'Cấu hình'!$C$18)+MIN(S17,'Cấu hình'!$B$12)*'Cấu hình'!$C$19,0))</f>
        <v/>
      </c>
      <c r="AH17" s="42" t="str">
        <f>IF('Nhập liệu'!$C17="","",R17+AG17)</f>
        <v/>
      </c>
    </row>
    <row r="18" spans="1:34">
      <c r="A18" s="33">
        <f>'Nhập liệu'!A18</f>
        <v>13</v>
      </c>
      <c r="B18" s="40" t="str">
        <f>IF('Nhập liệu'!$C18="","",'Nhập liệu'!B18)</f>
        <v/>
      </c>
      <c r="C18" s="40" t="str">
        <f>IF('Nhập liệu'!$C18="","",'Nhập liệu'!C18)</f>
        <v/>
      </c>
      <c r="D18" s="40" t="str">
        <f>IF('Nhập liệu'!$C18="","",'Nhập liệu'!D18)</f>
        <v/>
      </c>
      <c r="E18" s="41" t="str">
        <f>IF('Nhập liệu'!$C18="","",'Nhập liệu'!E18/('Cấu hình'!$B$6*'Cấu hình'!$B$7))</f>
        <v/>
      </c>
      <c r="F18" s="42" t="str">
        <f>IF('Nhập liệu'!$C18="","",ROUND('Nhập liệu'!E18/'Cấu hình'!$B$6*MIN('Nhập liệu'!G18,'Cấu hình'!$B$6),0))</f>
        <v/>
      </c>
      <c r="G18" s="42" t="str">
        <f>IF('Nhập liệu'!$C18="","",ROUND('Nhập liệu'!H18*'Nhập liệu'!I18,0))</f>
        <v/>
      </c>
      <c r="H18" s="42" t="str">
        <f>IF('Nhập liệu'!$C18="","",ROUND('Nhập liệu'!J18*'Nhập liệu'!K18,0))</f>
        <v/>
      </c>
      <c r="I18" s="42" t="str">
        <f>IF('Nhập liệu'!$C18="","",ROUND('Nhập liệu'!L18*'Cấu hình'!$B$36,0))</f>
        <v/>
      </c>
      <c r="J18" s="42" t="str">
        <f>IF('Nhập liệu'!$C18="","",ROUND('Nhập liệu'!G18*'Cấu hình'!$B$35,0))</f>
        <v/>
      </c>
      <c r="K18" s="42" t="str">
        <f>IF('Nhập liệu'!$C18="","",'Nhập liệu'!V18)</f>
        <v/>
      </c>
      <c r="L18" s="42" t="str">
        <f>IF('Nhập liệu'!$C18="","",ROUND(E18*('Nhập liệu'!M18*'Cấu hình'!$B$37+'Nhập liệu'!N18*'Cấu hình'!$B$38+'Nhập liệu'!O18*'Cấu hình'!$B$39),0))</f>
        <v/>
      </c>
      <c r="M18" s="42" t="str">
        <f>IF('Nhập liệu'!$C18="","",ROUND(E18*'Nhập liệu'!P18*'Cấu hình'!$B$40,0))</f>
        <v/>
      </c>
      <c r="N18" s="42" t="str">
        <f>IF('Nhập liệu'!$C18="","",IF(AND('Nhập liệu'!S18=0,'Nhập liệu'!T18=0),'Cấu hình'!$B$44,0))</f>
        <v/>
      </c>
      <c r="O18" s="42" t="str">
        <f>IF('Nhập liệu'!$C18="","",IF('Nhập liệu'!U18=0,'Cấu hình'!$B$45,0))</f>
        <v/>
      </c>
      <c r="P18" s="42" t="str">
        <f>IF('Nhập liệu'!$C18="","",ROUND(MAX(0,'Nhập liệu'!Q18-'Nhập liệu'!R18)*'Cấu hình'!$B$41*'Cấu hình'!$B$42,0))</f>
        <v/>
      </c>
      <c r="Q18" s="42" t="str">
        <f>IF('Nhập liệu'!$C18="","",'Nhập liệu'!W18)</f>
        <v/>
      </c>
      <c r="R18" s="43" t="str">
        <f>IF('Nhập liệu'!$C18="","",SUM(F18:Q18))</f>
        <v/>
      </c>
      <c r="S18" s="42" t="str">
        <f>IF('Nhập liệu'!$C18="","",MIN(MAX('Nhập liệu'!E18,'Cấu hình'!$B$9),'Cấu hình'!$B$11))</f>
        <v/>
      </c>
      <c r="T18" s="42" t="str">
        <f>IF('Nhập liệu'!$C18="","",ROUND(S18*'Cấu hình'!$B$16,0))</f>
        <v/>
      </c>
      <c r="U18" s="42" t="str">
        <f>IF('Nhập liệu'!$C18="","",ROUND(S18*'Cấu hình'!$B$18,0))</f>
        <v/>
      </c>
      <c r="V18" s="42" t="str">
        <f>IF('Nhập liệu'!$C18="","",ROUND(MIN(S18,'Cấu hình'!$B$12)*'Cấu hình'!$B$19,0))</f>
        <v/>
      </c>
      <c r="W18" s="42" t="str">
        <f>IF('Nhập liệu'!$C18="","",SUM(T18:V18))</f>
        <v/>
      </c>
      <c r="X18" s="42" t="str">
        <f>IF('Nhập liệu'!$C18="","",MIN(J18,'Cấu hình'!$B$24)+ROUND(E18*('Nhập liệu'!M18*('Cấu hình'!$B$37-1)+'Nhập liệu'!N18*('Cấu hình'!$B$38-1)+'Nhập liệu'!O18*('Cấu hình'!$B$39-1)),0)+M18)</f>
        <v/>
      </c>
      <c r="Y18" s="42" t="str">
        <f>IF('Nhập liệu'!$C18="","",'Cấu hình'!$B$22+'Nhập liệu'!F18*'Cấu hình'!$B$23)</f>
        <v/>
      </c>
      <c r="Z18" s="42" t="str">
        <f>IF('Nhập liệu'!$C18="","",MAX(0,R18-X18-W18-Y18))</f>
        <v/>
      </c>
      <c r="AA18" s="42" t="str">
        <f>IF('Nhập liệu'!$C18="","",ROUND(SUMPRODUCT((Z18&gt;'Cấu hình'!$B$27:$B$31)*(Z18-'Cấu hình'!$B$27:$B$31)*'Cấu hình'!$E$27:$E$31),0))</f>
        <v/>
      </c>
      <c r="AB18" s="42" t="str">
        <f>IF('Nhập liệu'!$C18="","",ROUND(MAX(0,'Nhập liệu'!R18-'Nhập liệu'!Q18)*'Cấu hình'!$B$41*'Cấu hình'!$B$43,0))</f>
        <v/>
      </c>
      <c r="AC18" s="42" t="str">
        <f>IF('Nhập liệu'!$C18="","",'Nhập liệu'!X18)</f>
        <v/>
      </c>
      <c r="AD18" s="42" t="str">
        <f>IF('Nhập liệu'!$C18="","",'Nhập liệu'!Y18)</f>
        <v/>
      </c>
      <c r="AE18" s="42" t="str">
        <f>IF('Nhập liệu'!$C18="","",W18+AA18+AB18+AC18+AD18)</f>
        <v/>
      </c>
      <c r="AF18" s="43" t="str">
        <f>IF('Nhập liệu'!$C18="","",R18-AE18)</f>
        <v/>
      </c>
      <c r="AG18" s="42" t="str">
        <f>IF('Nhập liệu'!$C18="","",ROUND(S18*('Cấu hình'!$C$16+'Cấu hình'!$C$17+'Cấu hình'!$C$18)+MIN(S18,'Cấu hình'!$B$12)*'Cấu hình'!$C$19,0))</f>
        <v/>
      </c>
      <c r="AH18" s="42" t="str">
        <f>IF('Nhập liệu'!$C18="","",R18+AG18)</f>
        <v/>
      </c>
    </row>
    <row r="19" spans="1:34">
      <c r="A19" s="33">
        <f>'Nhập liệu'!A19</f>
        <v>14</v>
      </c>
      <c r="B19" s="40" t="str">
        <f>IF('Nhập liệu'!$C19="","",'Nhập liệu'!B19)</f>
        <v/>
      </c>
      <c r="C19" s="40" t="str">
        <f>IF('Nhập liệu'!$C19="","",'Nhập liệu'!C19)</f>
        <v/>
      </c>
      <c r="D19" s="40" t="str">
        <f>IF('Nhập liệu'!$C19="","",'Nhập liệu'!D19)</f>
        <v/>
      </c>
      <c r="E19" s="41" t="str">
        <f>IF('Nhập liệu'!$C19="","",'Nhập liệu'!E19/('Cấu hình'!$B$6*'Cấu hình'!$B$7))</f>
        <v/>
      </c>
      <c r="F19" s="42" t="str">
        <f>IF('Nhập liệu'!$C19="","",ROUND('Nhập liệu'!E19/'Cấu hình'!$B$6*MIN('Nhập liệu'!G19,'Cấu hình'!$B$6),0))</f>
        <v/>
      </c>
      <c r="G19" s="42" t="str">
        <f>IF('Nhập liệu'!$C19="","",ROUND('Nhập liệu'!H19*'Nhập liệu'!I19,0))</f>
        <v/>
      </c>
      <c r="H19" s="42" t="str">
        <f>IF('Nhập liệu'!$C19="","",ROUND('Nhập liệu'!J19*'Nhập liệu'!K19,0))</f>
        <v/>
      </c>
      <c r="I19" s="42" t="str">
        <f>IF('Nhập liệu'!$C19="","",ROUND('Nhập liệu'!L19*'Cấu hình'!$B$36,0))</f>
        <v/>
      </c>
      <c r="J19" s="42" t="str">
        <f>IF('Nhập liệu'!$C19="","",ROUND('Nhập liệu'!G19*'Cấu hình'!$B$35,0))</f>
        <v/>
      </c>
      <c r="K19" s="42" t="str">
        <f>IF('Nhập liệu'!$C19="","",'Nhập liệu'!V19)</f>
        <v/>
      </c>
      <c r="L19" s="42" t="str">
        <f>IF('Nhập liệu'!$C19="","",ROUND(E19*('Nhập liệu'!M19*'Cấu hình'!$B$37+'Nhập liệu'!N19*'Cấu hình'!$B$38+'Nhập liệu'!O19*'Cấu hình'!$B$39),0))</f>
        <v/>
      </c>
      <c r="M19" s="42" t="str">
        <f>IF('Nhập liệu'!$C19="","",ROUND(E19*'Nhập liệu'!P19*'Cấu hình'!$B$40,0))</f>
        <v/>
      </c>
      <c r="N19" s="42" t="str">
        <f>IF('Nhập liệu'!$C19="","",IF(AND('Nhập liệu'!S19=0,'Nhập liệu'!T19=0),'Cấu hình'!$B$44,0))</f>
        <v/>
      </c>
      <c r="O19" s="42" t="str">
        <f>IF('Nhập liệu'!$C19="","",IF('Nhập liệu'!U19=0,'Cấu hình'!$B$45,0))</f>
        <v/>
      </c>
      <c r="P19" s="42" t="str">
        <f>IF('Nhập liệu'!$C19="","",ROUND(MAX(0,'Nhập liệu'!Q19-'Nhập liệu'!R19)*'Cấu hình'!$B$41*'Cấu hình'!$B$42,0))</f>
        <v/>
      </c>
      <c r="Q19" s="42" t="str">
        <f>IF('Nhập liệu'!$C19="","",'Nhập liệu'!W19)</f>
        <v/>
      </c>
      <c r="R19" s="43" t="str">
        <f>IF('Nhập liệu'!$C19="","",SUM(F19:Q19))</f>
        <v/>
      </c>
      <c r="S19" s="42" t="str">
        <f>IF('Nhập liệu'!$C19="","",MIN(MAX('Nhập liệu'!E19,'Cấu hình'!$B$9),'Cấu hình'!$B$11))</f>
        <v/>
      </c>
      <c r="T19" s="42" t="str">
        <f>IF('Nhập liệu'!$C19="","",ROUND(S19*'Cấu hình'!$B$16,0))</f>
        <v/>
      </c>
      <c r="U19" s="42" t="str">
        <f>IF('Nhập liệu'!$C19="","",ROUND(S19*'Cấu hình'!$B$18,0))</f>
        <v/>
      </c>
      <c r="V19" s="42" t="str">
        <f>IF('Nhập liệu'!$C19="","",ROUND(MIN(S19,'Cấu hình'!$B$12)*'Cấu hình'!$B$19,0))</f>
        <v/>
      </c>
      <c r="W19" s="42" t="str">
        <f>IF('Nhập liệu'!$C19="","",SUM(T19:V19))</f>
        <v/>
      </c>
      <c r="X19" s="42" t="str">
        <f>IF('Nhập liệu'!$C19="","",MIN(J19,'Cấu hình'!$B$24)+ROUND(E19*('Nhập liệu'!M19*('Cấu hình'!$B$37-1)+'Nhập liệu'!N19*('Cấu hình'!$B$38-1)+'Nhập liệu'!O19*('Cấu hình'!$B$39-1)),0)+M19)</f>
        <v/>
      </c>
      <c r="Y19" s="42" t="str">
        <f>IF('Nhập liệu'!$C19="","",'Cấu hình'!$B$22+'Nhập liệu'!F19*'Cấu hình'!$B$23)</f>
        <v/>
      </c>
      <c r="Z19" s="42" t="str">
        <f>IF('Nhập liệu'!$C19="","",MAX(0,R19-X19-W19-Y19))</f>
        <v/>
      </c>
      <c r="AA19" s="42" t="str">
        <f>IF('Nhập liệu'!$C19="","",ROUND(SUMPRODUCT((Z19&gt;'Cấu hình'!$B$27:$B$31)*(Z19-'Cấu hình'!$B$27:$B$31)*'Cấu hình'!$E$27:$E$31),0))</f>
        <v/>
      </c>
      <c r="AB19" s="42" t="str">
        <f>IF('Nhập liệu'!$C19="","",ROUND(MAX(0,'Nhập liệu'!R19-'Nhập liệu'!Q19)*'Cấu hình'!$B$41*'Cấu hình'!$B$43,0))</f>
        <v/>
      </c>
      <c r="AC19" s="42" t="str">
        <f>IF('Nhập liệu'!$C19="","",'Nhập liệu'!X19)</f>
        <v/>
      </c>
      <c r="AD19" s="42" t="str">
        <f>IF('Nhập liệu'!$C19="","",'Nhập liệu'!Y19)</f>
        <v/>
      </c>
      <c r="AE19" s="42" t="str">
        <f>IF('Nhập liệu'!$C19="","",W19+AA19+AB19+AC19+AD19)</f>
        <v/>
      </c>
      <c r="AF19" s="43" t="str">
        <f>IF('Nhập liệu'!$C19="","",R19-AE19)</f>
        <v/>
      </c>
      <c r="AG19" s="42" t="str">
        <f>IF('Nhập liệu'!$C19="","",ROUND(S19*('Cấu hình'!$C$16+'Cấu hình'!$C$17+'Cấu hình'!$C$18)+MIN(S19,'Cấu hình'!$B$12)*'Cấu hình'!$C$19,0))</f>
        <v/>
      </c>
      <c r="AH19" s="42" t="str">
        <f>IF('Nhập liệu'!$C19="","",R19+AG19)</f>
        <v/>
      </c>
    </row>
    <row r="20" spans="1:34">
      <c r="A20" s="33">
        <f>'Nhập liệu'!A20</f>
        <v>15</v>
      </c>
      <c r="B20" s="40" t="str">
        <f>IF('Nhập liệu'!$C20="","",'Nhập liệu'!B20)</f>
        <v/>
      </c>
      <c r="C20" s="40" t="str">
        <f>IF('Nhập liệu'!$C20="","",'Nhập liệu'!C20)</f>
        <v/>
      </c>
      <c r="D20" s="40" t="str">
        <f>IF('Nhập liệu'!$C20="","",'Nhập liệu'!D20)</f>
        <v/>
      </c>
      <c r="E20" s="41" t="str">
        <f>IF('Nhập liệu'!$C20="","",'Nhập liệu'!E20/('Cấu hình'!$B$6*'Cấu hình'!$B$7))</f>
        <v/>
      </c>
      <c r="F20" s="42" t="str">
        <f>IF('Nhập liệu'!$C20="","",ROUND('Nhập liệu'!E20/'Cấu hình'!$B$6*MIN('Nhập liệu'!G20,'Cấu hình'!$B$6),0))</f>
        <v/>
      </c>
      <c r="G20" s="42" t="str">
        <f>IF('Nhập liệu'!$C20="","",ROUND('Nhập liệu'!H20*'Nhập liệu'!I20,0))</f>
        <v/>
      </c>
      <c r="H20" s="42" t="str">
        <f>IF('Nhập liệu'!$C20="","",ROUND('Nhập liệu'!J20*'Nhập liệu'!K20,0))</f>
        <v/>
      </c>
      <c r="I20" s="42" t="str">
        <f>IF('Nhập liệu'!$C20="","",ROUND('Nhập liệu'!L20*'Cấu hình'!$B$36,0))</f>
        <v/>
      </c>
      <c r="J20" s="42" t="str">
        <f>IF('Nhập liệu'!$C20="","",ROUND('Nhập liệu'!G20*'Cấu hình'!$B$35,0))</f>
        <v/>
      </c>
      <c r="K20" s="42" t="str">
        <f>IF('Nhập liệu'!$C20="","",'Nhập liệu'!V20)</f>
        <v/>
      </c>
      <c r="L20" s="42" t="str">
        <f>IF('Nhập liệu'!$C20="","",ROUND(E20*('Nhập liệu'!M20*'Cấu hình'!$B$37+'Nhập liệu'!N20*'Cấu hình'!$B$38+'Nhập liệu'!O20*'Cấu hình'!$B$39),0))</f>
        <v/>
      </c>
      <c r="M20" s="42" t="str">
        <f>IF('Nhập liệu'!$C20="","",ROUND(E20*'Nhập liệu'!P20*'Cấu hình'!$B$40,0))</f>
        <v/>
      </c>
      <c r="N20" s="42" t="str">
        <f>IF('Nhập liệu'!$C20="","",IF(AND('Nhập liệu'!S20=0,'Nhập liệu'!T20=0),'Cấu hình'!$B$44,0))</f>
        <v/>
      </c>
      <c r="O20" s="42" t="str">
        <f>IF('Nhập liệu'!$C20="","",IF('Nhập liệu'!U20=0,'Cấu hình'!$B$45,0))</f>
        <v/>
      </c>
      <c r="P20" s="42" t="str">
        <f>IF('Nhập liệu'!$C20="","",ROUND(MAX(0,'Nhập liệu'!Q20-'Nhập liệu'!R20)*'Cấu hình'!$B$41*'Cấu hình'!$B$42,0))</f>
        <v/>
      </c>
      <c r="Q20" s="42" t="str">
        <f>IF('Nhập liệu'!$C20="","",'Nhập liệu'!W20)</f>
        <v/>
      </c>
      <c r="R20" s="43" t="str">
        <f>IF('Nhập liệu'!$C20="","",SUM(F20:Q20))</f>
        <v/>
      </c>
      <c r="S20" s="42" t="str">
        <f>IF('Nhập liệu'!$C20="","",MIN(MAX('Nhập liệu'!E20,'Cấu hình'!$B$9),'Cấu hình'!$B$11))</f>
        <v/>
      </c>
      <c r="T20" s="42" t="str">
        <f>IF('Nhập liệu'!$C20="","",ROUND(S20*'Cấu hình'!$B$16,0))</f>
        <v/>
      </c>
      <c r="U20" s="42" t="str">
        <f>IF('Nhập liệu'!$C20="","",ROUND(S20*'Cấu hình'!$B$18,0))</f>
        <v/>
      </c>
      <c r="V20" s="42" t="str">
        <f>IF('Nhập liệu'!$C20="","",ROUND(MIN(S20,'Cấu hình'!$B$12)*'Cấu hình'!$B$19,0))</f>
        <v/>
      </c>
      <c r="W20" s="42" t="str">
        <f>IF('Nhập liệu'!$C20="","",SUM(T20:V20))</f>
        <v/>
      </c>
      <c r="X20" s="42" t="str">
        <f>IF('Nhập liệu'!$C20="","",MIN(J20,'Cấu hình'!$B$24)+ROUND(E20*('Nhập liệu'!M20*('Cấu hình'!$B$37-1)+'Nhập liệu'!N20*('Cấu hình'!$B$38-1)+'Nhập liệu'!O20*('Cấu hình'!$B$39-1)),0)+M20)</f>
        <v/>
      </c>
      <c r="Y20" s="42" t="str">
        <f>IF('Nhập liệu'!$C20="","",'Cấu hình'!$B$22+'Nhập liệu'!F20*'Cấu hình'!$B$23)</f>
        <v/>
      </c>
      <c r="Z20" s="42" t="str">
        <f>IF('Nhập liệu'!$C20="","",MAX(0,R20-X20-W20-Y20))</f>
        <v/>
      </c>
      <c r="AA20" s="42" t="str">
        <f>IF('Nhập liệu'!$C20="","",ROUND(SUMPRODUCT((Z20&gt;'Cấu hình'!$B$27:$B$31)*(Z20-'Cấu hình'!$B$27:$B$31)*'Cấu hình'!$E$27:$E$31),0))</f>
        <v/>
      </c>
      <c r="AB20" s="42" t="str">
        <f>IF('Nhập liệu'!$C20="","",ROUND(MAX(0,'Nhập liệu'!R20-'Nhập liệu'!Q20)*'Cấu hình'!$B$41*'Cấu hình'!$B$43,0))</f>
        <v/>
      </c>
      <c r="AC20" s="42" t="str">
        <f>IF('Nhập liệu'!$C20="","",'Nhập liệu'!X20)</f>
        <v/>
      </c>
      <c r="AD20" s="42" t="str">
        <f>IF('Nhập liệu'!$C20="","",'Nhập liệu'!Y20)</f>
        <v/>
      </c>
      <c r="AE20" s="42" t="str">
        <f>IF('Nhập liệu'!$C20="","",W20+AA20+AB20+AC20+AD20)</f>
        <v/>
      </c>
      <c r="AF20" s="43" t="str">
        <f>IF('Nhập liệu'!$C20="","",R20-AE20)</f>
        <v/>
      </c>
      <c r="AG20" s="42" t="str">
        <f>IF('Nhập liệu'!$C20="","",ROUND(S20*('Cấu hình'!$C$16+'Cấu hình'!$C$17+'Cấu hình'!$C$18)+MIN(S20,'Cấu hình'!$B$12)*'Cấu hình'!$C$19,0))</f>
        <v/>
      </c>
      <c r="AH20" s="42" t="str">
        <f>IF('Nhập liệu'!$C20="","",R20+AG20)</f>
        <v/>
      </c>
    </row>
    <row r="21" spans="1:34">
      <c r="A21" s="33">
        <f>'Nhập liệu'!A21</f>
        <v>16</v>
      </c>
      <c r="B21" s="40" t="str">
        <f>IF('Nhập liệu'!$C21="","",'Nhập liệu'!B21)</f>
        <v/>
      </c>
      <c r="C21" s="40" t="str">
        <f>IF('Nhập liệu'!$C21="","",'Nhập liệu'!C21)</f>
        <v/>
      </c>
      <c r="D21" s="40" t="str">
        <f>IF('Nhập liệu'!$C21="","",'Nhập liệu'!D21)</f>
        <v/>
      </c>
      <c r="E21" s="41" t="str">
        <f>IF('Nhập liệu'!$C21="","",'Nhập liệu'!E21/('Cấu hình'!$B$6*'Cấu hình'!$B$7))</f>
        <v/>
      </c>
      <c r="F21" s="42" t="str">
        <f>IF('Nhập liệu'!$C21="","",ROUND('Nhập liệu'!E21/'Cấu hình'!$B$6*MIN('Nhập liệu'!G21,'Cấu hình'!$B$6),0))</f>
        <v/>
      </c>
      <c r="G21" s="42" t="str">
        <f>IF('Nhập liệu'!$C21="","",ROUND('Nhập liệu'!H21*'Nhập liệu'!I21,0))</f>
        <v/>
      </c>
      <c r="H21" s="42" t="str">
        <f>IF('Nhập liệu'!$C21="","",ROUND('Nhập liệu'!J21*'Nhập liệu'!K21,0))</f>
        <v/>
      </c>
      <c r="I21" s="42" t="str">
        <f>IF('Nhập liệu'!$C21="","",ROUND('Nhập liệu'!L21*'Cấu hình'!$B$36,0))</f>
        <v/>
      </c>
      <c r="J21" s="42" t="str">
        <f>IF('Nhập liệu'!$C21="","",ROUND('Nhập liệu'!G21*'Cấu hình'!$B$35,0))</f>
        <v/>
      </c>
      <c r="K21" s="42" t="str">
        <f>IF('Nhập liệu'!$C21="","",'Nhập liệu'!V21)</f>
        <v/>
      </c>
      <c r="L21" s="42" t="str">
        <f>IF('Nhập liệu'!$C21="","",ROUND(E21*('Nhập liệu'!M21*'Cấu hình'!$B$37+'Nhập liệu'!N21*'Cấu hình'!$B$38+'Nhập liệu'!O21*'Cấu hình'!$B$39),0))</f>
        <v/>
      </c>
      <c r="M21" s="42" t="str">
        <f>IF('Nhập liệu'!$C21="","",ROUND(E21*'Nhập liệu'!P21*'Cấu hình'!$B$40,0))</f>
        <v/>
      </c>
      <c r="N21" s="42" t="str">
        <f>IF('Nhập liệu'!$C21="","",IF(AND('Nhập liệu'!S21=0,'Nhập liệu'!T21=0),'Cấu hình'!$B$44,0))</f>
        <v/>
      </c>
      <c r="O21" s="42" t="str">
        <f>IF('Nhập liệu'!$C21="","",IF('Nhập liệu'!U21=0,'Cấu hình'!$B$45,0))</f>
        <v/>
      </c>
      <c r="P21" s="42" t="str">
        <f>IF('Nhập liệu'!$C21="","",ROUND(MAX(0,'Nhập liệu'!Q21-'Nhập liệu'!R21)*'Cấu hình'!$B$41*'Cấu hình'!$B$42,0))</f>
        <v/>
      </c>
      <c r="Q21" s="42" t="str">
        <f>IF('Nhập liệu'!$C21="","",'Nhập liệu'!W21)</f>
        <v/>
      </c>
      <c r="R21" s="43" t="str">
        <f>IF('Nhập liệu'!$C21="","",SUM(F21:Q21))</f>
        <v/>
      </c>
      <c r="S21" s="42" t="str">
        <f>IF('Nhập liệu'!$C21="","",MIN(MAX('Nhập liệu'!E21,'Cấu hình'!$B$9),'Cấu hình'!$B$11))</f>
        <v/>
      </c>
      <c r="T21" s="42" t="str">
        <f>IF('Nhập liệu'!$C21="","",ROUND(S21*'Cấu hình'!$B$16,0))</f>
        <v/>
      </c>
      <c r="U21" s="42" t="str">
        <f>IF('Nhập liệu'!$C21="","",ROUND(S21*'Cấu hình'!$B$18,0))</f>
        <v/>
      </c>
      <c r="V21" s="42" t="str">
        <f>IF('Nhập liệu'!$C21="","",ROUND(MIN(S21,'Cấu hình'!$B$12)*'Cấu hình'!$B$19,0))</f>
        <v/>
      </c>
      <c r="W21" s="42" t="str">
        <f>IF('Nhập liệu'!$C21="","",SUM(T21:V21))</f>
        <v/>
      </c>
      <c r="X21" s="42" t="str">
        <f>IF('Nhập liệu'!$C21="","",MIN(J21,'Cấu hình'!$B$24)+ROUND(E21*('Nhập liệu'!M21*('Cấu hình'!$B$37-1)+'Nhập liệu'!N21*('Cấu hình'!$B$38-1)+'Nhập liệu'!O21*('Cấu hình'!$B$39-1)),0)+M21)</f>
        <v/>
      </c>
      <c r="Y21" s="42" t="str">
        <f>IF('Nhập liệu'!$C21="","",'Cấu hình'!$B$22+'Nhập liệu'!F21*'Cấu hình'!$B$23)</f>
        <v/>
      </c>
      <c r="Z21" s="42" t="str">
        <f>IF('Nhập liệu'!$C21="","",MAX(0,R21-X21-W21-Y21))</f>
        <v/>
      </c>
      <c r="AA21" s="42" t="str">
        <f>IF('Nhập liệu'!$C21="","",ROUND(SUMPRODUCT((Z21&gt;'Cấu hình'!$B$27:$B$31)*(Z21-'Cấu hình'!$B$27:$B$31)*'Cấu hình'!$E$27:$E$31),0))</f>
        <v/>
      </c>
      <c r="AB21" s="42" t="str">
        <f>IF('Nhập liệu'!$C21="","",ROUND(MAX(0,'Nhập liệu'!R21-'Nhập liệu'!Q21)*'Cấu hình'!$B$41*'Cấu hình'!$B$43,0))</f>
        <v/>
      </c>
      <c r="AC21" s="42" t="str">
        <f>IF('Nhập liệu'!$C21="","",'Nhập liệu'!X21)</f>
        <v/>
      </c>
      <c r="AD21" s="42" t="str">
        <f>IF('Nhập liệu'!$C21="","",'Nhập liệu'!Y21)</f>
        <v/>
      </c>
      <c r="AE21" s="42" t="str">
        <f>IF('Nhập liệu'!$C21="","",W21+AA21+AB21+AC21+AD21)</f>
        <v/>
      </c>
      <c r="AF21" s="43" t="str">
        <f>IF('Nhập liệu'!$C21="","",R21-AE21)</f>
        <v/>
      </c>
      <c r="AG21" s="42" t="str">
        <f>IF('Nhập liệu'!$C21="","",ROUND(S21*('Cấu hình'!$C$16+'Cấu hình'!$C$17+'Cấu hình'!$C$18)+MIN(S21,'Cấu hình'!$B$12)*'Cấu hình'!$C$19,0))</f>
        <v/>
      </c>
      <c r="AH21" s="42" t="str">
        <f>IF('Nhập liệu'!$C21="","",R21+AG21)</f>
        <v/>
      </c>
    </row>
    <row r="22" spans="1:34">
      <c r="A22" s="33">
        <f>'Nhập liệu'!A22</f>
        <v>17</v>
      </c>
      <c r="B22" s="40" t="str">
        <f>IF('Nhập liệu'!$C22="","",'Nhập liệu'!B22)</f>
        <v/>
      </c>
      <c r="C22" s="40" t="str">
        <f>IF('Nhập liệu'!$C22="","",'Nhập liệu'!C22)</f>
        <v/>
      </c>
      <c r="D22" s="40" t="str">
        <f>IF('Nhập liệu'!$C22="","",'Nhập liệu'!D22)</f>
        <v/>
      </c>
      <c r="E22" s="41" t="str">
        <f>IF('Nhập liệu'!$C22="","",'Nhập liệu'!E22/('Cấu hình'!$B$6*'Cấu hình'!$B$7))</f>
        <v/>
      </c>
      <c r="F22" s="42" t="str">
        <f>IF('Nhập liệu'!$C22="","",ROUND('Nhập liệu'!E22/'Cấu hình'!$B$6*MIN('Nhập liệu'!G22,'Cấu hình'!$B$6),0))</f>
        <v/>
      </c>
      <c r="G22" s="42" t="str">
        <f>IF('Nhập liệu'!$C22="","",ROUND('Nhập liệu'!H22*'Nhập liệu'!I22,0))</f>
        <v/>
      </c>
      <c r="H22" s="42" t="str">
        <f>IF('Nhập liệu'!$C22="","",ROUND('Nhập liệu'!J22*'Nhập liệu'!K22,0))</f>
        <v/>
      </c>
      <c r="I22" s="42" t="str">
        <f>IF('Nhập liệu'!$C22="","",ROUND('Nhập liệu'!L22*'Cấu hình'!$B$36,0))</f>
        <v/>
      </c>
      <c r="J22" s="42" t="str">
        <f>IF('Nhập liệu'!$C22="","",ROUND('Nhập liệu'!G22*'Cấu hình'!$B$35,0))</f>
        <v/>
      </c>
      <c r="K22" s="42" t="str">
        <f>IF('Nhập liệu'!$C22="","",'Nhập liệu'!V22)</f>
        <v/>
      </c>
      <c r="L22" s="42" t="str">
        <f>IF('Nhập liệu'!$C22="","",ROUND(E22*('Nhập liệu'!M22*'Cấu hình'!$B$37+'Nhập liệu'!N22*'Cấu hình'!$B$38+'Nhập liệu'!O22*'Cấu hình'!$B$39),0))</f>
        <v/>
      </c>
      <c r="M22" s="42" t="str">
        <f>IF('Nhập liệu'!$C22="","",ROUND(E22*'Nhập liệu'!P22*'Cấu hình'!$B$40,0))</f>
        <v/>
      </c>
      <c r="N22" s="42" t="str">
        <f>IF('Nhập liệu'!$C22="","",IF(AND('Nhập liệu'!S22=0,'Nhập liệu'!T22=0),'Cấu hình'!$B$44,0))</f>
        <v/>
      </c>
      <c r="O22" s="42" t="str">
        <f>IF('Nhập liệu'!$C22="","",IF('Nhập liệu'!U22=0,'Cấu hình'!$B$45,0))</f>
        <v/>
      </c>
      <c r="P22" s="42" t="str">
        <f>IF('Nhập liệu'!$C22="","",ROUND(MAX(0,'Nhập liệu'!Q22-'Nhập liệu'!R22)*'Cấu hình'!$B$41*'Cấu hình'!$B$42,0))</f>
        <v/>
      </c>
      <c r="Q22" s="42" t="str">
        <f>IF('Nhập liệu'!$C22="","",'Nhập liệu'!W22)</f>
        <v/>
      </c>
      <c r="R22" s="43" t="str">
        <f>IF('Nhập liệu'!$C22="","",SUM(F22:Q22))</f>
        <v/>
      </c>
      <c r="S22" s="42" t="str">
        <f>IF('Nhập liệu'!$C22="","",MIN(MAX('Nhập liệu'!E22,'Cấu hình'!$B$9),'Cấu hình'!$B$11))</f>
        <v/>
      </c>
      <c r="T22" s="42" t="str">
        <f>IF('Nhập liệu'!$C22="","",ROUND(S22*'Cấu hình'!$B$16,0))</f>
        <v/>
      </c>
      <c r="U22" s="42" t="str">
        <f>IF('Nhập liệu'!$C22="","",ROUND(S22*'Cấu hình'!$B$18,0))</f>
        <v/>
      </c>
      <c r="V22" s="42" t="str">
        <f>IF('Nhập liệu'!$C22="","",ROUND(MIN(S22,'Cấu hình'!$B$12)*'Cấu hình'!$B$19,0))</f>
        <v/>
      </c>
      <c r="W22" s="42" t="str">
        <f>IF('Nhập liệu'!$C22="","",SUM(T22:V22))</f>
        <v/>
      </c>
      <c r="X22" s="42" t="str">
        <f>IF('Nhập liệu'!$C22="","",MIN(J22,'Cấu hình'!$B$24)+ROUND(E22*('Nhập liệu'!M22*('Cấu hình'!$B$37-1)+'Nhập liệu'!N22*('Cấu hình'!$B$38-1)+'Nhập liệu'!O22*('Cấu hình'!$B$39-1)),0)+M22)</f>
        <v/>
      </c>
      <c r="Y22" s="42" t="str">
        <f>IF('Nhập liệu'!$C22="","",'Cấu hình'!$B$22+'Nhập liệu'!F22*'Cấu hình'!$B$23)</f>
        <v/>
      </c>
      <c r="Z22" s="42" t="str">
        <f>IF('Nhập liệu'!$C22="","",MAX(0,R22-X22-W22-Y22))</f>
        <v/>
      </c>
      <c r="AA22" s="42" t="str">
        <f>IF('Nhập liệu'!$C22="","",ROUND(SUMPRODUCT((Z22&gt;'Cấu hình'!$B$27:$B$31)*(Z22-'Cấu hình'!$B$27:$B$31)*'Cấu hình'!$E$27:$E$31),0))</f>
        <v/>
      </c>
      <c r="AB22" s="42" t="str">
        <f>IF('Nhập liệu'!$C22="","",ROUND(MAX(0,'Nhập liệu'!R22-'Nhập liệu'!Q22)*'Cấu hình'!$B$41*'Cấu hình'!$B$43,0))</f>
        <v/>
      </c>
      <c r="AC22" s="42" t="str">
        <f>IF('Nhập liệu'!$C22="","",'Nhập liệu'!X22)</f>
        <v/>
      </c>
      <c r="AD22" s="42" t="str">
        <f>IF('Nhập liệu'!$C22="","",'Nhập liệu'!Y22)</f>
        <v/>
      </c>
      <c r="AE22" s="42" t="str">
        <f>IF('Nhập liệu'!$C22="","",W22+AA22+AB22+AC22+AD22)</f>
        <v/>
      </c>
      <c r="AF22" s="43" t="str">
        <f>IF('Nhập liệu'!$C22="","",R22-AE22)</f>
        <v/>
      </c>
      <c r="AG22" s="42" t="str">
        <f>IF('Nhập liệu'!$C22="","",ROUND(S22*('Cấu hình'!$C$16+'Cấu hình'!$C$17+'Cấu hình'!$C$18)+MIN(S22,'Cấu hình'!$B$12)*'Cấu hình'!$C$19,0))</f>
        <v/>
      </c>
      <c r="AH22" s="42" t="str">
        <f>IF('Nhập liệu'!$C22="","",R22+AG22)</f>
        <v/>
      </c>
    </row>
    <row r="23" spans="1:34">
      <c r="A23" s="33">
        <f>'Nhập liệu'!A23</f>
        <v>18</v>
      </c>
      <c r="B23" s="40" t="str">
        <f>IF('Nhập liệu'!$C23="","",'Nhập liệu'!B23)</f>
        <v/>
      </c>
      <c r="C23" s="40" t="str">
        <f>IF('Nhập liệu'!$C23="","",'Nhập liệu'!C23)</f>
        <v/>
      </c>
      <c r="D23" s="40" t="str">
        <f>IF('Nhập liệu'!$C23="","",'Nhập liệu'!D23)</f>
        <v/>
      </c>
      <c r="E23" s="41" t="str">
        <f>IF('Nhập liệu'!$C23="","",'Nhập liệu'!E23/('Cấu hình'!$B$6*'Cấu hình'!$B$7))</f>
        <v/>
      </c>
      <c r="F23" s="42" t="str">
        <f>IF('Nhập liệu'!$C23="","",ROUND('Nhập liệu'!E23/'Cấu hình'!$B$6*MIN('Nhập liệu'!G23,'Cấu hình'!$B$6),0))</f>
        <v/>
      </c>
      <c r="G23" s="42" t="str">
        <f>IF('Nhập liệu'!$C23="","",ROUND('Nhập liệu'!H23*'Nhập liệu'!I23,0))</f>
        <v/>
      </c>
      <c r="H23" s="42" t="str">
        <f>IF('Nhập liệu'!$C23="","",ROUND('Nhập liệu'!J23*'Nhập liệu'!K23,0))</f>
        <v/>
      </c>
      <c r="I23" s="42" t="str">
        <f>IF('Nhập liệu'!$C23="","",ROUND('Nhập liệu'!L23*'Cấu hình'!$B$36,0))</f>
        <v/>
      </c>
      <c r="J23" s="42" t="str">
        <f>IF('Nhập liệu'!$C23="","",ROUND('Nhập liệu'!G23*'Cấu hình'!$B$35,0))</f>
        <v/>
      </c>
      <c r="K23" s="42" t="str">
        <f>IF('Nhập liệu'!$C23="","",'Nhập liệu'!V23)</f>
        <v/>
      </c>
      <c r="L23" s="42" t="str">
        <f>IF('Nhập liệu'!$C23="","",ROUND(E23*('Nhập liệu'!M23*'Cấu hình'!$B$37+'Nhập liệu'!N23*'Cấu hình'!$B$38+'Nhập liệu'!O23*'Cấu hình'!$B$39),0))</f>
        <v/>
      </c>
      <c r="M23" s="42" t="str">
        <f>IF('Nhập liệu'!$C23="","",ROUND(E23*'Nhập liệu'!P23*'Cấu hình'!$B$40,0))</f>
        <v/>
      </c>
      <c r="N23" s="42" t="str">
        <f>IF('Nhập liệu'!$C23="","",IF(AND('Nhập liệu'!S23=0,'Nhập liệu'!T23=0),'Cấu hình'!$B$44,0))</f>
        <v/>
      </c>
      <c r="O23" s="42" t="str">
        <f>IF('Nhập liệu'!$C23="","",IF('Nhập liệu'!U23=0,'Cấu hình'!$B$45,0))</f>
        <v/>
      </c>
      <c r="P23" s="42" t="str">
        <f>IF('Nhập liệu'!$C23="","",ROUND(MAX(0,'Nhập liệu'!Q23-'Nhập liệu'!R23)*'Cấu hình'!$B$41*'Cấu hình'!$B$42,0))</f>
        <v/>
      </c>
      <c r="Q23" s="42" t="str">
        <f>IF('Nhập liệu'!$C23="","",'Nhập liệu'!W23)</f>
        <v/>
      </c>
      <c r="R23" s="43" t="str">
        <f>IF('Nhập liệu'!$C23="","",SUM(F23:Q23))</f>
        <v/>
      </c>
      <c r="S23" s="42" t="str">
        <f>IF('Nhập liệu'!$C23="","",MIN(MAX('Nhập liệu'!E23,'Cấu hình'!$B$9),'Cấu hình'!$B$11))</f>
        <v/>
      </c>
      <c r="T23" s="42" t="str">
        <f>IF('Nhập liệu'!$C23="","",ROUND(S23*'Cấu hình'!$B$16,0))</f>
        <v/>
      </c>
      <c r="U23" s="42" t="str">
        <f>IF('Nhập liệu'!$C23="","",ROUND(S23*'Cấu hình'!$B$18,0))</f>
        <v/>
      </c>
      <c r="V23" s="42" t="str">
        <f>IF('Nhập liệu'!$C23="","",ROUND(MIN(S23,'Cấu hình'!$B$12)*'Cấu hình'!$B$19,0))</f>
        <v/>
      </c>
      <c r="W23" s="42" t="str">
        <f>IF('Nhập liệu'!$C23="","",SUM(T23:V23))</f>
        <v/>
      </c>
      <c r="X23" s="42" t="str">
        <f>IF('Nhập liệu'!$C23="","",MIN(J23,'Cấu hình'!$B$24)+ROUND(E23*('Nhập liệu'!M23*('Cấu hình'!$B$37-1)+'Nhập liệu'!N23*('Cấu hình'!$B$38-1)+'Nhập liệu'!O23*('Cấu hình'!$B$39-1)),0)+M23)</f>
        <v/>
      </c>
      <c r="Y23" s="42" t="str">
        <f>IF('Nhập liệu'!$C23="","",'Cấu hình'!$B$22+'Nhập liệu'!F23*'Cấu hình'!$B$23)</f>
        <v/>
      </c>
      <c r="Z23" s="42" t="str">
        <f>IF('Nhập liệu'!$C23="","",MAX(0,R23-X23-W23-Y23))</f>
        <v/>
      </c>
      <c r="AA23" s="42" t="str">
        <f>IF('Nhập liệu'!$C23="","",ROUND(SUMPRODUCT((Z23&gt;'Cấu hình'!$B$27:$B$31)*(Z23-'Cấu hình'!$B$27:$B$31)*'Cấu hình'!$E$27:$E$31),0))</f>
        <v/>
      </c>
      <c r="AB23" s="42" t="str">
        <f>IF('Nhập liệu'!$C23="","",ROUND(MAX(0,'Nhập liệu'!R23-'Nhập liệu'!Q23)*'Cấu hình'!$B$41*'Cấu hình'!$B$43,0))</f>
        <v/>
      </c>
      <c r="AC23" s="42" t="str">
        <f>IF('Nhập liệu'!$C23="","",'Nhập liệu'!X23)</f>
        <v/>
      </c>
      <c r="AD23" s="42" t="str">
        <f>IF('Nhập liệu'!$C23="","",'Nhập liệu'!Y23)</f>
        <v/>
      </c>
      <c r="AE23" s="42" t="str">
        <f>IF('Nhập liệu'!$C23="","",W23+AA23+AB23+AC23+AD23)</f>
        <v/>
      </c>
      <c r="AF23" s="43" t="str">
        <f>IF('Nhập liệu'!$C23="","",R23-AE23)</f>
        <v/>
      </c>
      <c r="AG23" s="42" t="str">
        <f>IF('Nhập liệu'!$C23="","",ROUND(S23*('Cấu hình'!$C$16+'Cấu hình'!$C$17+'Cấu hình'!$C$18)+MIN(S23,'Cấu hình'!$B$12)*'Cấu hình'!$C$19,0))</f>
        <v/>
      </c>
      <c r="AH23" s="42" t="str">
        <f>IF('Nhập liệu'!$C23="","",R23+AG23)</f>
        <v/>
      </c>
    </row>
    <row r="24" spans="1:34">
      <c r="A24" s="33">
        <f>'Nhập liệu'!A24</f>
        <v>19</v>
      </c>
      <c r="B24" s="40" t="str">
        <f>IF('Nhập liệu'!$C24="","",'Nhập liệu'!B24)</f>
        <v/>
      </c>
      <c r="C24" s="40" t="str">
        <f>IF('Nhập liệu'!$C24="","",'Nhập liệu'!C24)</f>
        <v/>
      </c>
      <c r="D24" s="40" t="str">
        <f>IF('Nhập liệu'!$C24="","",'Nhập liệu'!D24)</f>
        <v/>
      </c>
      <c r="E24" s="41" t="str">
        <f>IF('Nhập liệu'!$C24="","",'Nhập liệu'!E24/('Cấu hình'!$B$6*'Cấu hình'!$B$7))</f>
        <v/>
      </c>
      <c r="F24" s="42" t="str">
        <f>IF('Nhập liệu'!$C24="","",ROUND('Nhập liệu'!E24/'Cấu hình'!$B$6*MIN('Nhập liệu'!G24,'Cấu hình'!$B$6),0))</f>
        <v/>
      </c>
      <c r="G24" s="42" t="str">
        <f>IF('Nhập liệu'!$C24="","",ROUND('Nhập liệu'!H24*'Nhập liệu'!I24,0))</f>
        <v/>
      </c>
      <c r="H24" s="42" t="str">
        <f>IF('Nhập liệu'!$C24="","",ROUND('Nhập liệu'!J24*'Nhập liệu'!K24,0))</f>
        <v/>
      </c>
      <c r="I24" s="42" t="str">
        <f>IF('Nhập liệu'!$C24="","",ROUND('Nhập liệu'!L24*'Cấu hình'!$B$36,0))</f>
        <v/>
      </c>
      <c r="J24" s="42" t="str">
        <f>IF('Nhập liệu'!$C24="","",ROUND('Nhập liệu'!G24*'Cấu hình'!$B$35,0))</f>
        <v/>
      </c>
      <c r="K24" s="42" t="str">
        <f>IF('Nhập liệu'!$C24="","",'Nhập liệu'!V24)</f>
        <v/>
      </c>
      <c r="L24" s="42" t="str">
        <f>IF('Nhập liệu'!$C24="","",ROUND(E24*('Nhập liệu'!M24*'Cấu hình'!$B$37+'Nhập liệu'!N24*'Cấu hình'!$B$38+'Nhập liệu'!O24*'Cấu hình'!$B$39),0))</f>
        <v/>
      </c>
      <c r="M24" s="42" t="str">
        <f>IF('Nhập liệu'!$C24="","",ROUND(E24*'Nhập liệu'!P24*'Cấu hình'!$B$40,0))</f>
        <v/>
      </c>
      <c r="N24" s="42" t="str">
        <f>IF('Nhập liệu'!$C24="","",IF(AND('Nhập liệu'!S24=0,'Nhập liệu'!T24=0),'Cấu hình'!$B$44,0))</f>
        <v/>
      </c>
      <c r="O24" s="42" t="str">
        <f>IF('Nhập liệu'!$C24="","",IF('Nhập liệu'!U24=0,'Cấu hình'!$B$45,0))</f>
        <v/>
      </c>
      <c r="P24" s="42" t="str">
        <f>IF('Nhập liệu'!$C24="","",ROUND(MAX(0,'Nhập liệu'!Q24-'Nhập liệu'!R24)*'Cấu hình'!$B$41*'Cấu hình'!$B$42,0))</f>
        <v/>
      </c>
      <c r="Q24" s="42" t="str">
        <f>IF('Nhập liệu'!$C24="","",'Nhập liệu'!W24)</f>
        <v/>
      </c>
      <c r="R24" s="43" t="str">
        <f>IF('Nhập liệu'!$C24="","",SUM(F24:Q24))</f>
        <v/>
      </c>
      <c r="S24" s="42" t="str">
        <f>IF('Nhập liệu'!$C24="","",MIN(MAX('Nhập liệu'!E24,'Cấu hình'!$B$9),'Cấu hình'!$B$11))</f>
        <v/>
      </c>
      <c r="T24" s="42" t="str">
        <f>IF('Nhập liệu'!$C24="","",ROUND(S24*'Cấu hình'!$B$16,0))</f>
        <v/>
      </c>
      <c r="U24" s="42" t="str">
        <f>IF('Nhập liệu'!$C24="","",ROUND(S24*'Cấu hình'!$B$18,0))</f>
        <v/>
      </c>
      <c r="V24" s="42" t="str">
        <f>IF('Nhập liệu'!$C24="","",ROUND(MIN(S24,'Cấu hình'!$B$12)*'Cấu hình'!$B$19,0))</f>
        <v/>
      </c>
      <c r="W24" s="42" t="str">
        <f>IF('Nhập liệu'!$C24="","",SUM(T24:V24))</f>
        <v/>
      </c>
      <c r="X24" s="42" t="str">
        <f>IF('Nhập liệu'!$C24="","",MIN(J24,'Cấu hình'!$B$24)+ROUND(E24*('Nhập liệu'!M24*('Cấu hình'!$B$37-1)+'Nhập liệu'!N24*('Cấu hình'!$B$38-1)+'Nhập liệu'!O24*('Cấu hình'!$B$39-1)),0)+M24)</f>
        <v/>
      </c>
      <c r="Y24" s="42" t="str">
        <f>IF('Nhập liệu'!$C24="","",'Cấu hình'!$B$22+'Nhập liệu'!F24*'Cấu hình'!$B$23)</f>
        <v/>
      </c>
      <c r="Z24" s="42" t="str">
        <f>IF('Nhập liệu'!$C24="","",MAX(0,R24-X24-W24-Y24))</f>
        <v/>
      </c>
      <c r="AA24" s="42" t="str">
        <f>IF('Nhập liệu'!$C24="","",ROUND(SUMPRODUCT((Z24&gt;'Cấu hình'!$B$27:$B$31)*(Z24-'Cấu hình'!$B$27:$B$31)*'Cấu hình'!$E$27:$E$31),0))</f>
        <v/>
      </c>
      <c r="AB24" s="42" t="str">
        <f>IF('Nhập liệu'!$C24="","",ROUND(MAX(0,'Nhập liệu'!R24-'Nhập liệu'!Q24)*'Cấu hình'!$B$41*'Cấu hình'!$B$43,0))</f>
        <v/>
      </c>
      <c r="AC24" s="42" t="str">
        <f>IF('Nhập liệu'!$C24="","",'Nhập liệu'!X24)</f>
        <v/>
      </c>
      <c r="AD24" s="42" t="str">
        <f>IF('Nhập liệu'!$C24="","",'Nhập liệu'!Y24)</f>
        <v/>
      </c>
      <c r="AE24" s="42" t="str">
        <f>IF('Nhập liệu'!$C24="","",W24+AA24+AB24+AC24+AD24)</f>
        <v/>
      </c>
      <c r="AF24" s="43" t="str">
        <f>IF('Nhập liệu'!$C24="","",R24-AE24)</f>
        <v/>
      </c>
      <c r="AG24" s="42" t="str">
        <f>IF('Nhập liệu'!$C24="","",ROUND(S24*('Cấu hình'!$C$16+'Cấu hình'!$C$17+'Cấu hình'!$C$18)+MIN(S24,'Cấu hình'!$B$12)*'Cấu hình'!$C$19,0))</f>
        <v/>
      </c>
      <c r="AH24" s="42" t="str">
        <f>IF('Nhập liệu'!$C24="","",R24+AG24)</f>
        <v/>
      </c>
    </row>
    <row r="25" spans="1:34">
      <c r="A25" s="33">
        <f>'Nhập liệu'!A25</f>
        <v>20</v>
      </c>
      <c r="B25" s="40" t="str">
        <f>IF('Nhập liệu'!$C25="","",'Nhập liệu'!B25)</f>
        <v/>
      </c>
      <c r="C25" s="40" t="str">
        <f>IF('Nhập liệu'!$C25="","",'Nhập liệu'!C25)</f>
        <v/>
      </c>
      <c r="D25" s="40" t="str">
        <f>IF('Nhập liệu'!$C25="","",'Nhập liệu'!D25)</f>
        <v/>
      </c>
      <c r="E25" s="41" t="str">
        <f>IF('Nhập liệu'!$C25="","",'Nhập liệu'!E25/('Cấu hình'!$B$6*'Cấu hình'!$B$7))</f>
        <v/>
      </c>
      <c r="F25" s="42" t="str">
        <f>IF('Nhập liệu'!$C25="","",ROUND('Nhập liệu'!E25/'Cấu hình'!$B$6*MIN('Nhập liệu'!G25,'Cấu hình'!$B$6),0))</f>
        <v/>
      </c>
      <c r="G25" s="42" t="str">
        <f>IF('Nhập liệu'!$C25="","",ROUND('Nhập liệu'!H25*'Nhập liệu'!I25,0))</f>
        <v/>
      </c>
      <c r="H25" s="42" t="str">
        <f>IF('Nhập liệu'!$C25="","",ROUND('Nhập liệu'!J25*'Nhập liệu'!K25,0))</f>
        <v/>
      </c>
      <c r="I25" s="42" t="str">
        <f>IF('Nhập liệu'!$C25="","",ROUND('Nhập liệu'!L25*'Cấu hình'!$B$36,0))</f>
        <v/>
      </c>
      <c r="J25" s="42" t="str">
        <f>IF('Nhập liệu'!$C25="","",ROUND('Nhập liệu'!G25*'Cấu hình'!$B$35,0))</f>
        <v/>
      </c>
      <c r="K25" s="42" t="str">
        <f>IF('Nhập liệu'!$C25="","",'Nhập liệu'!V25)</f>
        <v/>
      </c>
      <c r="L25" s="42" t="str">
        <f>IF('Nhập liệu'!$C25="","",ROUND(E25*('Nhập liệu'!M25*'Cấu hình'!$B$37+'Nhập liệu'!N25*'Cấu hình'!$B$38+'Nhập liệu'!O25*'Cấu hình'!$B$39),0))</f>
        <v/>
      </c>
      <c r="M25" s="42" t="str">
        <f>IF('Nhập liệu'!$C25="","",ROUND(E25*'Nhập liệu'!P25*'Cấu hình'!$B$40,0))</f>
        <v/>
      </c>
      <c r="N25" s="42" t="str">
        <f>IF('Nhập liệu'!$C25="","",IF(AND('Nhập liệu'!S25=0,'Nhập liệu'!T25=0),'Cấu hình'!$B$44,0))</f>
        <v/>
      </c>
      <c r="O25" s="42" t="str">
        <f>IF('Nhập liệu'!$C25="","",IF('Nhập liệu'!U25=0,'Cấu hình'!$B$45,0))</f>
        <v/>
      </c>
      <c r="P25" s="42" t="str">
        <f>IF('Nhập liệu'!$C25="","",ROUND(MAX(0,'Nhập liệu'!Q25-'Nhập liệu'!R25)*'Cấu hình'!$B$41*'Cấu hình'!$B$42,0))</f>
        <v/>
      </c>
      <c r="Q25" s="42" t="str">
        <f>IF('Nhập liệu'!$C25="","",'Nhập liệu'!W25)</f>
        <v/>
      </c>
      <c r="R25" s="43" t="str">
        <f>IF('Nhập liệu'!$C25="","",SUM(F25:Q25))</f>
        <v/>
      </c>
      <c r="S25" s="42" t="str">
        <f>IF('Nhập liệu'!$C25="","",MIN(MAX('Nhập liệu'!E25,'Cấu hình'!$B$9),'Cấu hình'!$B$11))</f>
        <v/>
      </c>
      <c r="T25" s="42" t="str">
        <f>IF('Nhập liệu'!$C25="","",ROUND(S25*'Cấu hình'!$B$16,0))</f>
        <v/>
      </c>
      <c r="U25" s="42" t="str">
        <f>IF('Nhập liệu'!$C25="","",ROUND(S25*'Cấu hình'!$B$18,0))</f>
        <v/>
      </c>
      <c r="V25" s="42" t="str">
        <f>IF('Nhập liệu'!$C25="","",ROUND(MIN(S25,'Cấu hình'!$B$12)*'Cấu hình'!$B$19,0))</f>
        <v/>
      </c>
      <c r="W25" s="42" t="str">
        <f>IF('Nhập liệu'!$C25="","",SUM(T25:V25))</f>
        <v/>
      </c>
      <c r="X25" s="42" t="str">
        <f>IF('Nhập liệu'!$C25="","",MIN(J25,'Cấu hình'!$B$24)+ROUND(E25*('Nhập liệu'!M25*('Cấu hình'!$B$37-1)+'Nhập liệu'!N25*('Cấu hình'!$B$38-1)+'Nhập liệu'!O25*('Cấu hình'!$B$39-1)),0)+M25)</f>
        <v/>
      </c>
      <c r="Y25" s="42" t="str">
        <f>IF('Nhập liệu'!$C25="","",'Cấu hình'!$B$22+'Nhập liệu'!F25*'Cấu hình'!$B$23)</f>
        <v/>
      </c>
      <c r="Z25" s="42" t="str">
        <f>IF('Nhập liệu'!$C25="","",MAX(0,R25-X25-W25-Y25))</f>
        <v/>
      </c>
      <c r="AA25" s="42" t="str">
        <f>IF('Nhập liệu'!$C25="","",ROUND(SUMPRODUCT((Z25&gt;'Cấu hình'!$B$27:$B$31)*(Z25-'Cấu hình'!$B$27:$B$31)*'Cấu hình'!$E$27:$E$31),0))</f>
        <v/>
      </c>
      <c r="AB25" s="42" t="str">
        <f>IF('Nhập liệu'!$C25="","",ROUND(MAX(0,'Nhập liệu'!R25-'Nhập liệu'!Q25)*'Cấu hình'!$B$41*'Cấu hình'!$B$43,0))</f>
        <v/>
      </c>
      <c r="AC25" s="42" t="str">
        <f>IF('Nhập liệu'!$C25="","",'Nhập liệu'!X25)</f>
        <v/>
      </c>
      <c r="AD25" s="42" t="str">
        <f>IF('Nhập liệu'!$C25="","",'Nhập liệu'!Y25)</f>
        <v/>
      </c>
      <c r="AE25" s="42" t="str">
        <f>IF('Nhập liệu'!$C25="","",W25+AA25+AB25+AC25+AD25)</f>
        <v/>
      </c>
      <c r="AF25" s="43" t="str">
        <f>IF('Nhập liệu'!$C25="","",R25-AE25)</f>
        <v/>
      </c>
      <c r="AG25" s="42" t="str">
        <f>IF('Nhập liệu'!$C25="","",ROUND(S25*('Cấu hình'!$C$16+'Cấu hình'!$C$17+'Cấu hình'!$C$18)+MIN(S25,'Cấu hình'!$B$12)*'Cấu hình'!$C$19,0))</f>
        <v/>
      </c>
      <c r="AH25" s="42" t="str">
        <f>IF('Nhập liệu'!$C25="","",R25+AG25)</f>
        <v/>
      </c>
    </row>
    <row r="26" spans="1:34" ht="15" customHeight="1">
      <c r="A26" s="9" t="s">
        <v>260</v>
      </c>
      <c r="B26" s="9"/>
      <c r="C26" s="9"/>
      <c r="D26" s="9"/>
      <c r="E26" s="44"/>
      <c r="F26" s="45">
        <f t="shared" ref="F26:AH26" si="0">SUM(F6:F25)</f>
        <v>46000000</v>
      </c>
      <c r="G26" s="45">
        <f t="shared" si="0"/>
        <v>30470000</v>
      </c>
      <c r="H26" s="45">
        <f t="shared" si="0"/>
        <v>5200000</v>
      </c>
      <c r="I26" s="45">
        <f t="shared" si="0"/>
        <v>3600000</v>
      </c>
      <c r="J26" s="45">
        <f t="shared" si="0"/>
        <v>4620000</v>
      </c>
      <c r="K26" s="45">
        <f t="shared" si="0"/>
        <v>1700000</v>
      </c>
      <c r="L26" s="45">
        <f t="shared" si="0"/>
        <v>4956731</v>
      </c>
      <c r="M26" s="45">
        <f t="shared" si="0"/>
        <v>1042788</v>
      </c>
      <c r="N26" s="45">
        <f t="shared" si="0"/>
        <v>2000000</v>
      </c>
      <c r="O26" s="45">
        <f t="shared" si="0"/>
        <v>1500000</v>
      </c>
      <c r="P26" s="45">
        <f t="shared" si="0"/>
        <v>1890000</v>
      </c>
      <c r="Q26" s="45">
        <f t="shared" si="0"/>
        <v>700000</v>
      </c>
      <c r="R26" s="46">
        <f t="shared" si="0"/>
        <v>103679519</v>
      </c>
      <c r="S26" s="45">
        <f t="shared" si="0"/>
        <v>46500000</v>
      </c>
      <c r="T26" s="45">
        <f t="shared" si="0"/>
        <v>3720000</v>
      </c>
      <c r="U26" s="45">
        <f t="shared" si="0"/>
        <v>697500</v>
      </c>
      <c r="V26" s="45">
        <f t="shared" si="0"/>
        <v>465000</v>
      </c>
      <c r="W26" s="45">
        <f t="shared" si="0"/>
        <v>4882500</v>
      </c>
      <c r="X26" s="45">
        <f t="shared" si="0"/>
        <v>7643557</v>
      </c>
      <c r="Y26" s="45">
        <f t="shared" si="0"/>
        <v>136400000</v>
      </c>
      <c r="Z26" s="45">
        <f t="shared" si="0"/>
        <v>3932308</v>
      </c>
      <c r="AA26" s="45">
        <f t="shared" si="0"/>
        <v>196615</v>
      </c>
      <c r="AB26" s="45">
        <f t="shared" si="0"/>
        <v>441000</v>
      </c>
      <c r="AC26" s="45">
        <f t="shared" si="0"/>
        <v>1400000</v>
      </c>
      <c r="AD26" s="45">
        <f t="shared" si="0"/>
        <v>6000000</v>
      </c>
      <c r="AE26" s="45">
        <f t="shared" si="0"/>
        <v>12920115</v>
      </c>
      <c r="AF26" s="46">
        <f t="shared" si="0"/>
        <v>90759404</v>
      </c>
      <c r="AG26" s="45">
        <f t="shared" si="0"/>
        <v>9997500</v>
      </c>
      <c r="AH26" s="45">
        <f t="shared" si="0"/>
        <v>113677019</v>
      </c>
    </row>
  </sheetData>
  <mergeCells count="9">
    <mergeCell ref="A26:D26"/>
    <mergeCell ref="A1:AH1"/>
    <mergeCell ref="A3:E3"/>
    <mergeCell ref="F3:Q3"/>
    <mergeCell ref="S3:W3"/>
    <mergeCell ref="X3:AA3"/>
    <mergeCell ref="AB3:AD3"/>
    <mergeCell ref="AE3:AF3"/>
    <mergeCell ref="AG3:AH3"/>
  </mergeCells>
  <conditionalFormatting sqref="AF6:AF25">
    <cfRule type="expression" dxfId="0" priority="2">
      <formula>AND(ISNUMBER(AF6),AF6&lt;0)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95959"/>
    <pageSetUpPr fitToPage="1"/>
  </sheetPr>
  <dimension ref="A1:D47"/>
  <sheetViews>
    <sheetView showGridLines="0" zoomScaleNormal="100" workbookViewId="0">
      <selection sqref="A1:D1"/>
    </sheetView>
  </sheetViews>
  <sheetFormatPr defaultColWidth="8.7109375" defaultRowHeight="15"/>
  <cols>
    <col min="1" max="1" width="6" customWidth="1"/>
    <col min="2" max="2" width="38" customWidth="1"/>
    <col min="3" max="3" width="52" customWidth="1"/>
    <col min="4" max="4" width="20" customWidth="1"/>
  </cols>
  <sheetData>
    <row r="1" spans="1:4" ht="30" customHeight="1">
      <c r="A1" s="14" t="s">
        <v>261</v>
      </c>
      <c r="B1" s="14"/>
      <c r="C1" s="14"/>
      <c r="D1" s="14"/>
    </row>
    <row r="2" spans="1:4" ht="15.75">
      <c r="A2" s="8" t="str">
        <f>'Cấu hình'!B4</f>
        <v>CÔNG TY TNHH VẬN TẢI ABC</v>
      </c>
      <c r="B2" s="8"/>
      <c r="C2" s="8"/>
      <c r="D2" s="8"/>
    </row>
    <row r="4" spans="1:4" ht="15" customHeight="1">
      <c r="B4" s="18" t="s">
        <v>262</v>
      </c>
      <c r="C4" s="7" t="s">
        <v>183</v>
      </c>
      <c r="D4" s="7"/>
    </row>
    <row r="5" spans="1:4">
      <c r="B5" s="18" t="s">
        <v>146</v>
      </c>
      <c r="C5" s="6" t="str">
        <f>IF($C$11="","",INDEX('Nhập liệu'!$C$6:$C$25,$C$11))</f>
        <v>Nguyễn Văn Hùng</v>
      </c>
      <c r="D5" s="6"/>
    </row>
    <row r="6" spans="1:4">
      <c r="B6" s="18" t="s">
        <v>147</v>
      </c>
      <c r="C6" s="5" t="str">
        <f>IF($C$11="","",INDEX('Nhập liệu'!$D$6:$D$25,$C$11))</f>
        <v>51C-123.45</v>
      </c>
      <c r="D6" s="5"/>
    </row>
    <row r="7" spans="1:4">
      <c r="B7" s="18" t="s">
        <v>66</v>
      </c>
      <c r="C7" s="5" t="str">
        <f>'Cấu hình'!B5</f>
        <v>Tháng 10/2026</v>
      </c>
      <c r="D7" s="5"/>
    </row>
    <row r="8" spans="1:4">
      <c r="B8" s="18" t="s">
        <v>263</v>
      </c>
      <c r="C8" s="5" t="str">
        <f>IF($C$11="","",INDEX('Nhập liệu'!$G$6:$G$25,$C$11)&amp;" / "&amp;'Cấu hình'!B6&amp;" ngày")</f>
        <v>26 / 26 ngày</v>
      </c>
      <c r="D8" s="5"/>
    </row>
    <row r="9" spans="1:4">
      <c r="B9" s="18" t="s">
        <v>264</v>
      </c>
      <c r="C9" s="5" t="str">
        <f>IF($C$11="","",INDEX('Nhập liệu'!$H$6:$H$25,$C$11)&amp;" chuyến  |  "&amp;TEXT(INDEX('Nhập liệu'!$J$6:$J$25,$C$11),"#,##0")&amp;" km")</f>
        <v>38 chuyến  |  ,0 km</v>
      </c>
      <c r="D9" s="5"/>
    </row>
    <row r="10" spans="1:4">
      <c r="B10" s="18" t="s">
        <v>149</v>
      </c>
      <c r="C10" s="4">
        <f>IF($C$11="","",INDEX('Nhập liệu'!$F$6:$F$25,$C$11))</f>
        <v>2</v>
      </c>
      <c r="D10" s="4"/>
    </row>
    <row r="11" spans="1:4">
      <c r="B11" s="47" t="s">
        <v>265</v>
      </c>
      <c r="C11" s="3">
        <f>IF($C$4="","",IFERROR(MATCH($C$4,'Nhập liệu'!$B$6:$B$25,0),""))</f>
        <v>1</v>
      </c>
      <c r="D11" s="3"/>
    </row>
    <row r="13" spans="1:4">
      <c r="A13" s="23" t="s">
        <v>144</v>
      </c>
      <c r="B13" s="23" t="s">
        <v>266</v>
      </c>
      <c r="C13" s="23" t="s">
        <v>267</v>
      </c>
      <c r="D13" s="23" t="s">
        <v>268</v>
      </c>
    </row>
    <row r="14" spans="1:4" ht="15" customHeight="1">
      <c r="A14" s="2" t="s">
        <v>269</v>
      </c>
      <c r="B14" s="2"/>
      <c r="C14" s="2"/>
      <c r="D14" s="2"/>
    </row>
    <row r="15" spans="1:4">
      <c r="A15" s="33">
        <v>1</v>
      </c>
      <c r="B15" s="16" t="s">
        <v>270</v>
      </c>
      <c r="C15" s="48" t="s">
        <v>271</v>
      </c>
      <c r="D15" s="42">
        <f>IF($C$11="","",INDEX('Bảng lương'!$F$6:$F$25,$C$11))</f>
        <v>8000000</v>
      </c>
    </row>
    <row r="16" spans="1:4">
      <c r="A16" s="33">
        <v>2</v>
      </c>
      <c r="B16" s="16" t="s">
        <v>213</v>
      </c>
      <c r="C16" s="48" t="s">
        <v>272</v>
      </c>
      <c r="D16" s="42">
        <f>IF($C$11="","",INDEX('Bảng lương'!$G$6:$G$25,$C$11))</f>
        <v>5700000</v>
      </c>
    </row>
    <row r="17" spans="1:4">
      <c r="A17" s="33">
        <v>3</v>
      </c>
      <c r="B17" s="16" t="s">
        <v>214</v>
      </c>
      <c r="C17" s="48" t="s">
        <v>273</v>
      </c>
      <c r="D17" s="42">
        <f>IF($C$11="","",INDEX('Bảng lương'!$H$6:$H$25,$C$11))</f>
        <v>0</v>
      </c>
    </row>
    <row r="18" spans="1:4">
      <c r="A18" s="33">
        <v>4</v>
      </c>
      <c r="B18" s="16" t="s">
        <v>274</v>
      </c>
      <c r="C18" s="48" t="s">
        <v>275</v>
      </c>
      <c r="D18" s="42">
        <f>IF($C$11="","",INDEX('Bảng lương'!$I$6:$I$25,$C$11))</f>
        <v>600000</v>
      </c>
    </row>
    <row r="19" spans="1:4">
      <c r="A19" s="33">
        <v>5</v>
      </c>
      <c r="B19" s="16" t="s">
        <v>276</v>
      </c>
      <c r="C19" s="48" t="s">
        <v>277</v>
      </c>
      <c r="D19" s="42">
        <f>IF($C$11="","",INDEX('Bảng lương'!$J$6:$J$25,$C$11))</f>
        <v>780000</v>
      </c>
    </row>
    <row r="20" spans="1:4">
      <c r="A20" s="33">
        <v>6</v>
      </c>
      <c r="B20" s="16" t="s">
        <v>165</v>
      </c>
      <c r="C20" s="48" t="s">
        <v>278</v>
      </c>
      <c r="D20" s="42">
        <f>IF($C$11="","",INDEX('Bảng lương'!$K$6:$K$25,$C$11))</f>
        <v>500000</v>
      </c>
    </row>
    <row r="21" spans="1:4">
      <c r="A21" s="33">
        <v>7</v>
      </c>
      <c r="B21" s="16" t="s">
        <v>218</v>
      </c>
      <c r="C21" s="48" t="s">
        <v>279</v>
      </c>
      <c r="D21" s="42">
        <f>IF($C$11="","",INDEX('Bảng lương'!$L$6:$L$25,$C$11))</f>
        <v>769231</v>
      </c>
    </row>
    <row r="22" spans="1:4">
      <c r="A22" s="33">
        <v>8</v>
      </c>
      <c r="B22" s="16" t="s">
        <v>280</v>
      </c>
      <c r="C22" s="48" t="s">
        <v>281</v>
      </c>
      <c r="D22" s="42">
        <f>IF($C$11="","",INDEX('Bảng lương'!$M$6:$M$25,$C$11))</f>
        <v>138462</v>
      </c>
    </row>
    <row r="23" spans="1:4">
      <c r="A23" s="33">
        <v>9</v>
      </c>
      <c r="B23" s="16" t="s">
        <v>220</v>
      </c>
      <c r="C23" s="48" t="s">
        <v>282</v>
      </c>
      <c r="D23" s="42">
        <f>IF($C$11="","",INDEX('Bảng lương'!$N$6:$N$25,$C$11))</f>
        <v>500000</v>
      </c>
    </row>
    <row r="24" spans="1:4">
      <c r="A24" s="33">
        <v>10</v>
      </c>
      <c r="B24" s="16" t="s">
        <v>221</v>
      </c>
      <c r="C24" s="48" t="s">
        <v>283</v>
      </c>
      <c r="D24" s="42">
        <f>IF($C$11="","",INDEX('Bảng lương'!$O$6:$O$25,$C$11))</f>
        <v>300000</v>
      </c>
    </row>
    <row r="25" spans="1:4">
      <c r="A25" s="33">
        <v>11</v>
      </c>
      <c r="B25" s="16" t="s">
        <v>222</v>
      </c>
      <c r="C25" s="48" t="s">
        <v>284</v>
      </c>
      <c r="D25" s="42">
        <f>IF($C$11="","",INDEX('Bảng lương'!$P$6:$P$25,$C$11))</f>
        <v>630000</v>
      </c>
    </row>
    <row r="26" spans="1:4">
      <c r="A26" s="33">
        <v>12</v>
      </c>
      <c r="B26" s="16" t="s">
        <v>166</v>
      </c>
      <c r="C26" s="48"/>
      <c r="D26" s="42">
        <f>IF($C$11="","",INDEX('Bảng lương'!$Q$6:$Q$25,$C$11))</f>
        <v>0</v>
      </c>
    </row>
    <row r="27" spans="1:4">
      <c r="A27" s="1" t="s">
        <v>285</v>
      </c>
      <c r="B27" s="1"/>
      <c r="C27" s="1"/>
      <c r="D27" s="43">
        <f>IF($C$11="","",SUM(D15:D26))</f>
        <v>17917693</v>
      </c>
    </row>
    <row r="28" spans="1:4" ht="15" customHeight="1">
      <c r="A28" s="13" t="s">
        <v>286</v>
      </c>
      <c r="B28" s="13"/>
      <c r="C28" s="13"/>
      <c r="D28" s="13"/>
    </row>
    <row r="29" spans="1:4">
      <c r="A29" s="33">
        <v>1</v>
      </c>
      <c r="B29" s="16" t="s">
        <v>225</v>
      </c>
      <c r="C29" s="48" t="s">
        <v>287</v>
      </c>
      <c r="D29" s="42">
        <f>IF($C$11="","",INDEX('Bảng lương'!$T$6:$T$25,$C$11))</f>
        <v>640000</v>
      </c>
    </row>
    <row r="30" spans="1:4">
      <c r="A30" s="33">
        <v>2</v>
      </c>
      <c r="B30" s="16" t="s">
        <v>226</v>
      </c>
      <c r="C30" s="48" t="s">
        <v>287</v>
      </c>
      <c r="D30" s="42">
        <f>IF($C$11="","",INDEX('Bảng lương'!$U$6:$U$25,$C$11))</f>
        <v>120000</v>
      </c>
    </row>
    <row r="31" spans="1:4">
      <c r="A31" s="33">
        <v>3</v>
      </c>
      <c r="B31" s="16" t="s">
        <v>227</v>
      </c>
      <c r="C31" s="48" t="s">
        <v>288</v>
      </c>
      <c r="D31" s="42">
        <f>IF($C$11="","",INDEX('Bảng lương'!$V$6:$V$25,$C$11))</f>
        <v>80000</v>
      </c>
    </row>
    <row r="32" spans="1:4">
      <c r="A32" s="33">
        <v>4</v>
      </c>
      <c r="B32" s="16" t="s">
        <v>41</v>
      </c>
      <c r="C32" s="48" t="s">
        <v>254</v>
      </c>
      <c r="D32" s="42">
        <f>IF($C$11="","",INDEX('Bảng lương'!$AA$6:$AA$25,$C$11))</f>
        <v>0</v>
      </c>
    </row>
    <row r="33" spans="1:4">
      <c r="A33" s="33">
        <v>5</v>
      </c>
      <c r="B33" s="16" t="s">
        <v>230</v>
      </c>
      <c r="C33" s="48" t="s">
        <v>289</v>
      </c>
      <c r="D33" s="42">
        <f>IF($C$11="","",INDEX('Bảng lương'!$AB$6:$AB$25,$C$11))</f>
        <v>0</v>
      </c>
    </row>
    <row r="34" spans="1:4">
      <c r="A34" s="33">
        <v>6</v>
      </c>
      <c r="B34" s="16" t="s">
        <v>167</v>
      </c>
      <c r="C34" s="48" t="s">
        <v>290</v>
      </c>
      <c r="D34" s="42">
        <f>IF($C$11="","",INDEX('Bảng lương'!$AC$6:$AC$25,$C$11))</f>
        <v>0</v>
      </c>
    </row>
    <row r="35" spans="1:4">
      <c r="A35" s="33">
        <v>7</v>
      </c>
      <c r="B35" s="16" t="s">
        <v>168</v>
      </c>
      <c r="C35" s="48"/>
      <c r="D35" s="42">
        <f>IF($C$11="","",INDEX('Bảng lương'!$AD$6:$AD$25,$C$11))</f>
        <v>2000000</v>
      </c>
    </row>
    <row r="36" spans="1:4">
      <c r="A36" s="1" t="s">
        <v>291</v>
      </c>
      <c r="B36" s="1"/>
      <c r="C36" s="1"/>
      <c r="D36" s="43">
        <f>IF($C$11="","",SUM(D29:D35))</f>
        <v>2840000</v>
      </c>
    </row>
    <row r="37" spans="1:4" ht="25.5" customHeight="1">
      <c r="A37" s="55" t="s">
        <v>292</v>
      </c>
      <c r="B37" s="55"/>
      <c r="C37" s="55"/>
      <c r="D37" s="49">
        <f>IF($C$11="","",D27-D36)</f>
        <v>15077693</v>
      </c>
    </row>
    <row r="39" spans="1:4" ht="15" customHeight="1">
      <c r="A39" s="13" t="s">
        <v>293</v>
      </c>
      <c r="B39" s="13"/>
      <c r="C39" s="13"/>
      <c r="D39" s="13"/>
    </row>
    <row r="40" spans="1:4" ht="15" customHeight="1">
      <c r="A40" s="56" t="s">
        <v>43</v>
      </c>
      <c r="B40" s="56"/>
      <c r="C40" s="56"/>
      <c r="D40" s="42">
        <f>IF($C$11="","",INDEX('Bảng lương'!$X$6:$X$25,$C$11))</f>
        <v>1176154</v>
      </c>
    </row>
    <row r="41" spans="1:4" ht="15" customHeight="1">
      <c r="A41" s="56" t="s">
        <v>48</v>
      </c>
      <c r="B41" s="56"/>
      <c r="C41" s="56"/>
      <c r="D41" s="42">
        <f>IF($C$11="","",INDEX('Bảng lương'!$Y$6:$Y$25,$C$11))</f>
        <v>27900000</v>
      </c>
    </row>
    <row r="42" spans="1:4" ht="15" customHeight="1">
      <c r="A42" s="56" t="s">
        <v>229</v>
      </c>
      <c r="B42" s="56"/>
      <c r="C42" s="56"/>
      <c r="D42" s="42">
        <f>IF($C$11="","",INDEX('Bảng lương'!$Z$6:$Z$25,$C$11))</f>
        <v>0</v>
      </c>
    </row>
    <row r="45" spans="1:4" ht="15" customHeight="1">
      <c r="A45" s="57" t="s">
        <v>294</v>
      </c>
      <c r="B45" s="57"/>
      <c r="C45" s="50" t="s">
        <v>295</v>
      </c>
      <c r="D45" s="50" t="s">
        <v>296</v>
      </c>
    </row>
    <row r="46" spans="1:4" ht="15" customHeight="1">
      <c r="A46" s="58" t="s">
        <v>297</v>
      </c>
      <c r="B46" s="58"/>
      <c r="C46" s="51" t="s">
        <v>297</v>
      </c>
      <c r="D46" s="51" t="s">
        <v>297</v>
      </c>
    </row>
    <row r="47" spans="1:4" ht="49.5" customHeight="1"/>
  </sheetData>
  <mergeCells count="21">
    <mergeCell ref="A46:B46"/>
    <mergeCell ref="A39:D39"/>
    <mergeCell ref="A40:C40"/>
    <mergeCell ref="A41:C41"/>
    <mergeCell ref="A42:C42"/>
    <mergeCell ref="A45:B45"/>
    <mergeCell ref="A14:D14"/>
    <mergeCell ref="A27:C27"/>
    <mergeCell ref="A28:D28"/>
    <mergeCell ref="A36:C36"/>
    <mergeCell ref="A37:C37"/>
    <mergeCell ref="C7:D7"/>
    <mergeCell ref="C8:D8"/>
    <mergeCell ref="C9:D9"/>
    <mergeCell ref="C10:D10"/>
    <mergeCell ref="C11:D11"/>
    <mergeCell ref="A1:D1"/>
    <mergeCell ref="A2:D2"/>
    <mergeCell ref="C4:D4"/>
    <mergeCell ref="C5:D5"/>
    <mergeCell ref="C6:D6"/>
  </mergeCells>
  <pageMargins left="0.75" right="0.75" top="1" bottom="1" header="0.511811023622047" footer="0.511811023622047"/>
  <pageSetup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="Chọn Mã tài xế có trong sheet NhapLieu" xr:uid="{00000000-0002-0000-0400-000000000000}">
          <x14:formula1>
            <xm:f>'Nhập liệu'!$B$6:$B$25</xm:f>
          </x14:formula1>
          <x14:formula2>
            <xm:f>0</xm:f>
          </x14:formula2>
          <xm:sqref>C4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8590C"/>
  </sheetPr>
  <dimension ref="A1:L23"/>
  <sheetViews>
    <sheetView showGridLines="0" tabSelected="1" zoomScaleNormal="100" workbookViewId="0">
      <selection sqref="A1:L1"/>
    </sheetView>
  </sheetViews>
  <sheetFormatPr defaultColWidth="8.7109375" defaultRowHeight="15"/>
  <cols>
    <col min="1" max="1" width="40" customWidth="1"/>
    <col min="2" max="2" width="22" customWidth="1"/>
    <col min="3" max="3" width="14" customWidth="1"/>
  </cols>
  <sheetData>
    <row r="1" spans="1:12" ht="30" customHeight="1">
      <c r="A1" s="14" t="s">
        <v>298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30" t="str">
        <f>"Công ty: "&amp;'Cấu hình'!B4&amp;"   |   Kỳ lương: "&amp;'Cấu hình'!B5</f>
        <v>Công ty: CÔNG TY TNHH VẬN TẢI ABC   |   Kỳ lương: Tháng 10/2026</v>
      </c>
    </row>
    <row r="4" spans="1:12">
      <c r="A4" s="23" t="s">
        <v>299</v>
      </c>
      <c r="B4" s="23" t="s">
        <v>300</v>
      </c>
    </row>
    <row r="5" spans="1:12">
      <c r="A5" s="18" t="s">
        <v>301</v>
      </c>
      <c r="B5" s="52">
        <f>COUNTIF('Bảng lương'!C6:C25,"?*")</f>
        <v>6</v>
      </c>
    </row>
    <row r="6" spans="1:12">
      <c r="A6" s="18" t="s">
        <v>302</v>
      </c>
      <c r="B6" s="53">
        <f>'Bảng lương'!R26</f>
        <v>103679519</v>
      </c>
    </row>
    <row r="7" spans="1:12">
      <c r="A7" s="18" t="s">
        <v>303</v>
      </c>
      <c r="B7" s="53">
        <f>'Bảng lương'!W26</f>
        <v>4882500</v>
      </c>
    </row>
    <row r="8" spans="1:12">
      <c r="A8" s="18" t="s">
        <v>304</v>
      </c>
      <c r="B8" s="53">
        <f>'Bảng lương'!AA26</f>
        <v>196615</v>
      </c>
    </row>
    <row r="9" spans="1:12">
      <c r="A9" s="18" t="s">
        <v>305</v>
      </c>
      <c r="B9" s="53">
        <f>'Bảng lương'!AB26+'Bảng lương'!AC26+'Bảng lương'!AD26</f>
        <v>7841000</v>
      </c>
    </row>
    <row r="10" spans="1:12">
      <c r="A10" s="25" t="s">
        <v>306</v>
      </c>
      <c r="B10" s="43">
        <f>'Bảng lương'!AF26</f>
        <v>90759404</v>
      </c>
    </row>
    <row r="11" spans="1:12">
      <c r="A11" s="18" t="s">
        <v>307</v>
      </c>
      <c r="B11" s="53">
        <f>'Bảng lương'!AG26</f>
        <v>9997500</v>
      </c>
    </row>
    <row r="12" spans="1:12">
      <c r="A12" s="25" t="s">
        <v>308</v>
      </c>
      <c r="B12" s="43">
        <f>'Bảng lương'!AH26</f>
        <v>113677019</v>
      </c>
    </row>
    <row r="13" spans="1:12">
      <c r="A13" s="18" t="s">
        <v>309</v>
      </c>
      <c r="B13" s="53">
        <f>IF(B5=0,0,B6/B5)</f>
        <v>17279919.833333332</v>
      </c>
    </row>
    <row r="14" spans="1:12">
      <c r="A14" s="18" t="s">
        <v>310</v>
      </c>
      <c r="B14" s="53">
        <f>IF(B5=0,0,B10/B5)</f>
        <v>15126567.333333334</v>
      </c>
    </row>
    <row r="17" spans="1:3">
      <c r="A17" s="23" t="s">
        <v>311</v>
      </c>
      <c r="B17" s="23" t="s">
        <v>268</v>
      </c>
      <c r="C17" s="23" t="s">
        <v>312</v>
      </c>
    </row>
    <row r="18" spans="1:3">
      <c r="A18" s="18" t="s">
        <v>27</v>
      </c>
      <c r="B18" s="42">
        <f>'Bảng lương'!F26</f>
        <v>46000000</v>
      </c>
      <c r="C18" s="54">
        <f>IF($B$6=0,0,B18/$B$6)</f>
        <v>0.44367489783589759</v>
      </c>
    </row>
    <row r="19" spans="1:3">
      <c r="A19" s="18" t="s">
        <v>313</v>
      </c>
      <c r="B19" s="42">
        <f>'Bảng lương'!G26+'Bảng lương'!H26</f>
        <v>35670000</v>
      </c>
      <c r="C19" s="54">
        <f>IF($B$6=0,0,B19/$B$6)</f>
        <v>0.34404094795231449</v>
      </c>
    </row>
    <row r="20" spans="1:3">
      <c r="A20" s="18" t="s">
        <v>31</v>
      </c>
      <c r="B20" s="42">
        <f>'Bảng lương'!I26+'Bảng lương'!J26+'Bảng lương'!K26+'Bảng lương'!M26</f>
        <v>10962788</v>
      </c>
      <c r="C20" s="54">
        <f>IF($B$6=0,0,B20/$B$6)</f>
        <v>0.10573725751949138</v>
      </c>
    </row>
    <row r="21" spans="1:3">
      <c r="A21" s="18" t="s">
        <v>314</v>
      </c>
      <c r="B21" s="42">
        <f>'Bảng lương'!L26</f>
        <v>4956731</v>
      </c>
      <c r="C21" s="54">
        <f>IF($B$6=0,0,B21/$B$6)</f>
        <v>4.7808198261413616E-2</v>
      </c>
    </row>
    <row r="22" spans="1:3">
      <c r="A22" s="18" t="s">
        <v>315</v>
      </c>
      <c r="B22" s="42">
        <f>'Bảng lương'!N26+'Bảng lương'!O26+'Bảng lương'!P26+'Bảng lương'!Q26</f>
        <v>6090000</v>
      </c>
      <c r="C22" s="54">
        <f>IF($B$6=0,0,B22/$B$6)</f>
        <v>5.873869843088296E-2</v>
      </c>
    </row>
    <row r="23" spans="1:3">
      <c r="A23" s="25" t="s">
        <v>316</v>
      </c>
      <c r="B23" s="43">
        <f>SUM(B18:B22)</f>
        <v>103679519</v>
      </c>
      <c r="C23" s="26">
        <f>SUM(C18:C22)</f>
        <v>1</v>
      </c>
    </row>
  </sheetData>
  <mergeCells count="1">
    <mergeCell ref="A1:L1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6</vt:i4>
      </vt:variant>
      <vt:variant>
        <vt:lpstr>Phạm vi Có tên</vt:lpstr>
      </vt:variant>
      <vt:variant>
        <vt:i4>1</vt:i4>
      </vt:variant>
    </vt:vector>
  </HeadingPairs>
  <TitlesOfParts>
    <vt:vector size="7" baseType="lpstr">
      <vt:lpstr>Hướng dẫn</vt:lpstr>
      <vt:lpstr>Cấu hình</vt:lpstr>
      <vt:lpstr>Nhập liệu</vt:lpstr>
      <vt:lpstr>Bảng lương</vt:lpstr>
      <vt:lpstr>Phiếu lương</vt:lpstr>
      <vt:lpstr>Tổng hợp</vt:lpstr>
      <vt:lpstr>'Phiếu lương'!Vùng_In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khánh nam</cp:lastModifiedBy>
  <cp:revision>1</cp:revision>
  <dcterms:created xsi:type="dcterms:W3CDTF">2026-10-28T09:12:33Z</dcterms:created>
  <dcterms:modified xsi:type="dcterms:W3CDTF">2026-10-28T09:29:23Z</dcterms:modified>
  <dc:language>en-US</dc:language>
</cp:coreProperties>
</file>