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ảng lương" sheetId="1" r:id="rId4"/>
    <sheet state="visible" name="Tổng hợp" sheetId="2" r:id="rId5"/>
    <sheet state="visible" name="Nhân viên" sheetId="3" r:id="rId6"/>
    <sheet state="visible" name="Cài đặt" sheetId="4" r:id="rId7"/>
  </sheets>
  <definedNames/>
  <calcPr/>
  <extLst>
    <ext uri="GoogleSheetsCustomDataVersion2">
      <go:sheetsCustomData xmlns:go="http://customooxmlschemas.google.com/" r:id="rId8" roundtripDataChecksum="bM59ZpPEfb70a8eNN6sbemLDtXiuk8qQ5Vy8q/4qLQI="/>
    </ext>
  </extLst>
</workbook>
</file>

<file path=xl/sharedStrings.xml><?xml version="1.0" encoding="utf-8"?>
<sst xmlns="http://schemas.openxmlformats.org/spreadsheetml/2006/main" count="241" uniqueCount="198">
  <si>
    <t>BẢNG THANH TOÁN TIỀN LƯƠNG</t>
  </si>
  <si>
    <t>Tên đơn vị</t>
  </si>
  <si>
    <t>Công ty TNHH ABC</t>
  </si>
  <si>
    <t>DANH SÁCH NHÂN VIÊN VÀ THÔNG TIN NHẬN LƯƠNG</t>
  </si>
  <si>
    <t>Số nhân viên</t>
  </si>
  <si>
    <t>Nhập một lần. Bảng lương tự lấy dữ liệu theo thứ tự dòng.</t>
  </si>
  <si>
    <t>Lưu ý: sheet chứa số tài khoản, mã số thuế và mức lương – hãy kiểm tra độ chính xác và giới hạn quyền truy cập (đặt mật khẩu file hoặc chỉ chia sẻ cho người có thẩm quyền).</t>
  </si>
  <si>
    <t>Tổng thu nhập (VNĐ)</t>
  </si>
  <si>
    <t>Mã NV</t>
  </si>
  <si>
    <t>Tổng khấu trừ (VNĐ)</t>
  </si>
  <si>
    <t>Họ và tên</t>
  </si>
  <si>
    <t>Phòng ban</t>
  </si>
  <si>
    <t>Tổng thực nhận (VNĐ)</t>
  </si>
  <si>
    <t>Chức vụ</t>
  </si>
  <si>
    <t>Ngân hàng</t>
  </si>
  <si>
    <t>Số tài khoản</t>
  </si>
  <si>
    <t>Mã số thuế</t>
  </si>
  <si>
    <t>Số người phụ thuộc</t>
  </si>
  <si>
    <t>Mức lương hợp đồng (VNĐ)</t>
  </si>
  <si>
    <t>Đóng bảo hiểm? (Có/Không)</t>
  </si>
  <si>
    <t>Lương đóng BH – nếu khác lương HĐ (VNĐ)</t>
  </si>
  <si>
    <t>Mức lương tính BH (tự động)</t>
  </si>
  <si>
    <t>Bộ phận / Chi nhánh</t>
  </si>
  <si>
    <t>NV001</t>
  </si>
  <si>
    <t>Trụ sở chính</t>
  </si>
  <si>
    <t>Nguyễn Văn An</t>
  </si>
  <si>
    <t>Ban giám đốc</t>
  </si>
  <si>
    <t>Giám đốc</t>
  </si>
  <si>
    <t>Vietcombank</t>
  </si>
  <si>
    <t>0011001234567</t>
  </si>
  <si>
    <t>8012345678</t>
  </si>
  <si>
    <t>Có</t>
  </si>
  <si>
    <t>NV002</t>
  </si>
  <si>
    <t>Trần Thị Bình</t>
  </si>
  <si>
    <t>Kế toán</t>
  </si>
  <si>
    <t>Kế toán trưởng</t>
  </si>
  <si>
    <t>Techcombank</t>
  </si>
  <si>
    <t>19031234567890</t>
  </si>
  <si>
    <t>8012345679</t>
  </si>
  <si>
    <t>Tháng thanh toán</t>
  </si>
  <si>
    <t>NV003</t>
  </si>
  <si>
    <t>Lê Hoàng Cường</t>
  </si>
  <si>
    <t>Kinh doanh</t>
  </si>
  <si>
    <t>Trưởng phòng kinh doanh</t>
  </si>
  <si>
    <t>BIDV</t>
  </si>
  <si>
    <t>31410001234567</t>
  </si>
  <si>
    <t>8012345680</t>
  </si>
  <si>
    <t>NV004</t>
  </si>
  <si>
    <t>Phạm Thu Dung</t>
  </si>
  <si>
    <t>Nhân sự</t>
  </si>
  <si>
    <t>Chuyên viên nhân sự</t>
  </si>
  <si>
    <t>MB Bank</t>
  </si>
  <si>
    <t>0123456789012</t>
  </si>
  <si>
    <t>8012345681</t>
  </si>
  <si>
    <t>Kỳ công từ ngày</t>
  </si>
  <si>
    <t>NV005</t>
  </si>
  <si>
    <t>Hoàng Minh Em</t>
  </si>
  <si>
    <t>Kỹ thuật</t>
  </si>
  <si>
    <t>Kỹ sư phần mềm</t>
  </si>
  <si>
    <t>ACB</t>
  </si>
  <si>
    <t>2001234567</t>
  </si>
  <si>
    <t>8012345682</t>
  </si>
  <si>
    <t>Kỳ công đến ngày</t>
  </si>
  <si>
    <t>NV006</t>
  </si>
  <si>
    <t>Vũ Ngọc Hà</t>
  </si>
  <si>
    <t>Hành chính</t>
  </si>
  <si>
    <t>Nhân viên hành chính</t>
  </si>
  <si>
    <t>VPBank</t>
  </si>
  <si>
    <t>Đã thanh toán (VNĐ)</t>
  </si>
  <si>
    <t>123456789</t>
  </si>
  <si>
    <t>8012345683</t>
  </si>
  <si>
    <t>Còn phải chi (VNĐ)</t>
  </si>
  <si>
    <t>NV007</t>
  </si>
  <si>
    <t>Đặng Quốc Hùng</t>
  </si>
  <si>
    <t>Nhân viên kinh doanh</t>
  </si>
  <si>
    <t>Agribank</t>
  </si>
  <si>
    <t>5100205123456</t>
  </si>
  <si>
    <t>8012345684</t>
  </si>
  <si>
    <t>Số NV chưa thanh toán</t>
  </si>
  <si>
    <t>Tiến độ thanh toán</t>
  </si>
  <si>
    <t>NV008</t>
  </si>
  <si>
    <t>Bùi Thanh Lan</t>
  </si>
  <si>
    <t>Kế toán viên (thử việc)</t>
  </si>
  <si>
    <t>Sacombank</t>
  </si>
  <si>
    <t>060123456789</t>
  </si>
  <si>
    <t>Không</t>
  </si>
  <si>
    <t>Ngày lập bảng</t>
  </si>
  <si>
    <t>Ngày công chuẩn của kỳ</t>
  </si>
  <si>
    <t>Kiểm tra kỳ công</t>
  </si>
  <si>
    <t>THÔNG TIN NHÂN VIÊN</t>
  </si>
  <si>
    <t>DỮ LIỆU NGÀY CÔNG VÀ TIỀN LƯƠNG</t>
  </si>
  <si>
    <t>PHỤ CẤP, THƯỞNG VÀ BỔ SUNG</t>
  </si>
  <si>
    <t>CÁC KHOẢN KHẤU TRỪ VÀ SỐ TIỀN THỰC NHẬN</t>
  </si>
  <si>
    <t>XÁC NHẬN VÀ TÌNH TRẠNG THANH TOÁN</t>
  </si>
  <si>
    <t>STT</t>
  </si>
  <si>
    <t>Ngày công chuẩn</t>
  </si>
  <si>
    <t>Ngày công xác nhận</t>
  </si>
  <si>
    <t>Lương theo ngày công (VNĐ)</t>
  </si>
  <si>
    <t>Điều chỉnh lương +/− (VNĐ)</t>
  </si>
  <si>
    <t>Tổng lương theo kỳ (VNĐ)</t>
  </si>
  <si>
    <t>Phụ cấp chịu thuế (VNĐ)</t>
  </si>
  <si>
    <t>Phụ cấp miễn thuế (VNĐ)</t>
  </si>
  <si>
    <t>Thưởng (VNĐ)</t>
  </si>
  <si>
    <t>Bổ sung khác (VNĐ)</t>
  </si>
  <si>
    <t>Căn cứ / diễn giải</t>
  </si>
  <si>
    <t>Xác nhận thưởng &amp; bổ sung</t>
  </si>
  <si>
    <t>BHXH người lao động (VNĐ)</t>
  </si>
  <si>
    <t>BHYT người lao động (VNĐ)</t>
  </si>
  <si>
    <t>BHTN người lao động (VNĐ)</t>
  </si>
  <si>
    <t>Giảm trừ gia cảnh (VNĐ)</t>
  </si>
  <si>
    <t>Thu nhập tính thuế (VNĐ)</t>
  </si>
  <si>
    <t>Thuế TNCN (VNĐ)</t>
  </si>
  <si>
    <t>Tạm ứng (VNĐ)</t>
  </si>
  <si>
    <t>Khấu trừ khác (VNĐ)</t>
  </si>
  <si>
    <t>THỰC NHẬN (VNĐ)</t>
  </si>
  <si>
    <t>Tình trạng thanh toán</t>
  </si>
  <si>
    <t>Ngày thanh toán</t>
  </si>
  <si>
    <t>Số chứng từ</t>
  </si>
  <si>
    <t>Ghi chú</t>
  </si>
  <si>
    <t>TỔNG HỢP LƯƠNG THEO PHÒNG BAN</t>
  </si>
  <si>
    <t>Tự động cộng dồn từ sheet 'Bảng lương'.</t>
  </si>
  <si>
    <t>Bảo hiểm NLĐ (VNĐ)</t>
  </si>
  <si>
    <t>Thực nhận (VNĐ)</t>
  </si>
  <si>
    <t>Phụ cấp trách nhiệm</t>
  </si>
  <si>
    <t>CÀI ĐẶT THÔNG SỐ</t>
  </si>
  <si>
    <t>Các tỷ lệ, mức giảm trừ và biểu thuế dùng để tính tự động. Cập nhật tại đây khi quy định thay đổi.</t>
  </si>
  <si>
    <t>Thông số</t>
  </si>
  <si>
    <t>Giá trị</t>
  </si>
  <si>
    <t>Căn cứ / ghi chú</t>
  </si>
  <si>
    <t>BHXH – người lao động đóng</t>
  </si>
  <si>
    <t>Hưu trí, tử tuất 8%</t>
  </si>
  <si>
    <t>BHYT – người lao động đóng</t>
  </si>
  <si>
    <t>1,5%</t>
  </si>
  <si>
    <t>BHTN – người lao động đóng</t>
  </si>
  <si>
    <t>1%</t>
  </si>
  <si>
    <t>Mức lương cơ sở (mức tham chiếu) – VNĐ</t>
  </si>
  <si>
    <t>Áp dụng từ 01/07/2026</t>
  </si>
  <si>
    <t>Hệ số trần tiền lương đóng bảo hiểm</t>
  </si>
  <si>
    <t>Tối đa 20 lần</t>
  </si>
  <si>
    <t>Trần đóng BHXH, BHYT – VNĐ</t>
  </si>
  <si>
    <t>Lương cơ sở × hệ số trần (tự tính)</t>
  </si>
  <si>
    <t>Lương tối thiểu vùng áp dụng – VNĐ</t>
  </si>
  <si>
    <t>Vùng I (NĐ 293/2025/NĐ-CP). Đổi theo vùng của đơn vị</t>
  </si>
  <si>
    <t>Trần đóng BHTN – VNĐ</t>
  </si>
  <si>
    <t>Lương tối thiểu vùng × hệ số trần (tự tính)</t>
  </si>
  <si>
    <t>Giảm trừ gia cảnh – bản thân (VNĐ/tháng)</t>
  </si>
  <si>
    <t>NQ 110/2025/UBTVQH15, áp dụng từ kỳ tính thuế 2026</t>
  </si>
  <si>
    <t>Giảm trừ gia cảnh – mỗi người phụ thuộc (VNĐ/tháng)</t>
  </si>
  <si>
    <t>Biểu thuế thu nhập cá nhân lũy tiến từng phần (tính theo tháng)</t>
  </si>
  <si>
    <t>Bậc</t>
  </si>
  <si>
    <t>Thu nhập tính thuế trên (VNĐ)</t>
  </si>
  <si>
    <t>Đến (VNĐ)</t>
  </si>
  <si>
    <t>Thuế suất</t>
  </si>
  <si>
    <t>Chênh lệch thuế suất so với bậc trước</t>
  </si>
  <si>
    <t>Bậc 1</t>
  </si>
  <si>
    <t>Bậc 2</t>
  </si>
  <si>
    <t>Bậc 3</t>
  </si>
  <si>
    <t>Bậc 4</t>
  </si>
  <si>
    <t>Bậc 5</t>
  </si>
  <si>
    <t>Không giới hạn</t>
  </si>
  <si>
    <t>Danh mục phòng ban (dùng cho danh sách chọn và sheet Tổng hợp)</t>
  </si>
  <si>
    <t>Khác</t>
  </si>
  <si>
    <t>•  Các thông số pháp lý trên được cập nhật tại thời điểm tạo mẫu (tháng 10/2026). Hãy đối chiếu lại với văn bản mới nhất trước khi chi lương.</t>
  </si>
  <si>
    <t>•  Mẫu tính thuế TNCN theo biểu lũy tiến cho cá nhân cư trú ký hợp đồng từ 3 tháng trở lên. Các trường hợp khác (không cư trú, hợp đồng dưới 3 tháng khấu trừ 10%, miễn thuế làm thêm giờ…) cần xử lý riêng.</t>
  </si>
  <si>
    <t>•  Chữ xanh dương = ô có thể sửa. Chữ đen = ô tự tính.</t>
  </si>
  <si>
    <t>Đã thanh toán</t>
  </si>
  <si>
    <t>UNC-1029-001</t>
  </si>
  <si>
    <t>TỔNG CỘNG</t>
  </si>
  <si>
    <t>Phòng ban lấy từ sheet 'Cài đặt'. Tổng ở dòng này phải bằng tổng ở sheet 'Bảng lương' – nếu lệch, kiểm tra phòng ban của nhân viên có nằm trong danh mục hay không.</t>
  </si>
  <si>
    <t>Kiểm tra khớp với Bảng lương:</t>
  </si>
  <si>
    <t>UNC-1029-002</t>
  </si>
  <si>
    <t>Khấu trừ khác: đoàn phí</t>
  </si>
  <si>
    <t>Thưởng đạt chỉ tiêu doanh số T10</t>
  </si>
  <si>
    <t>Đã xác nhận</t>
  </si>
  <si>
    <t>UNC-1029-003</t>
  </si>
  <si>
    <t>Hỗ trợ công tác phí</t>
  </si>
  <si>
    <t>Chưa thanh toán</t>
  </si>
  <si>
    <t>Phụ cấp chuyên môn</t>
  </si>
  <si>
    <t>Hoa hồng hợp đồng chờ nghiệm thu</t>
  </si>
  <si>
    <t>Chờ xác nhận</t>
  </si>
  <si>
    <t>Nghỉ không lương 4 ngày</t>
  </si>
  <si>
    <t>Đối chiếu với chứng từ chuyển khoản / chi tiền thực tế</t>
  </si>
  <si>
    <t>Tổng tiền theo chứng từ thực chi (VNĐ) – nhập</t>
  </si>
  <si>
    <t>Số tiền đã thanh toán theo bảng lương (VNĐ)</t>
  </si>
  <si>
    <t>Chênh lệch (bảng lương − chứng từ)</t>
  </si>
  <si>
    <t>NGƯỜI LẬP BẢNG</t>
  </si>
  <si>
    <t>NGƯỜI KIỂM TRA</t>
  </si>
  <si>
    <t>NGƯỜI DUYỆT</t>
  </si>
  <si>
    <t>(Ký, ghi rõ họ tên)</t>
  </si>
  <si>
    <t>Nguyễn Văn A</t>
  </si>
  <si>
    <t>Trần Thị B</t>
  </si>
  <si>
    <t>Lê Văn C</t>
  </si>
  <si>
    <t>Hướng dẫn sử dụng</t>
  </si>
  <si>
    <t>•  Nhập: (1) sheet 'Nhân viên' – thông tin và mức lương, nhập một lần; (2) sheet này – kỳ thanh toán, ngày công xác nhận, điều chỉnh, phụ cấp, thưởng, tạm ứng, tình trạng thanh toán; (3) sheet 'Cài đặt' khi quy định thay đổi. Chữ xanh dương = ô nhập, chữ đen = ô tự tính.</t>
  </si>
  <si>
    <t>•  Lương theo ngày công = Mức lương hợp đồng ÷ Ngày công chuẩn × Ngày công xác nhận. Ngày công cần khớp bảng chấm công đã được xác nhận; kỳ công và kỳ lương cần thống nhất trước khi lập bảng.</t>
  </si>
  <si>
    <t>•  Thưởng và bổ sung ở trạng thái 'Chờ xác nhận' chưa được tính vào thu nhập. Chuyển sang 'Đã xác nhận' (hoặc để trống) khi đã có căn cứ được duyệt. Hãy ghi rõ căn cứ ở cột diễn giải.</t>
  </si>
  <si>
    <t>•  Thu nhập tính thuế = Tổng lương + Phụ cấp chịu thuế + Thưởng/bổ sung đã xác nhận − BHXH − BHYT − BHTN − Giảm trừ gia cảnh; thuế tính theo biểu lũy tiến ở sheet 'Cài đặt'. Thực nhận = Tổng thu nhập − Tổng khấu trừ.</t>
  </si>
  <si>
    <t>•  Dữ liệu mẫu (8 nhân viên, tháng 10/2026) chỉ để minh họa – hãy xóa và thay bằng dữ liệu thật. Bảng chứa tối đa 40 nhân viên; cần thêm, hãy chèn dòng giữa bảng và sao chép công thức từ dòng trên.</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</si>
</sst>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0;\(#,##0\);\-"/>
    <numFmt numFmtId="165" formatCode="mm/yyyy"/>
    <numFmt numFmtId="166" formatCode="dd/mm/yyyy"/>
    <numFmt numFmtId="167" formatCode="0.0%"/>
    <numFmt numFmtId="168" formatCode="0.0"/>
    <numFmt numFmtId="169" formatCode="&quot;Ngày ký: &quot;dd/mm/yyyy"/>
  </numFmts>
  <fonts count="19">
    <font>
      <sz val="11.0"/>
      <color theme="1"/>
      <name val="Calibri"/>
      <scheme val="minor"/>
    </font>
    <font>
      <b/>
      <sz val="22.0"/>
      <color rgb="FFFFFFFF"/>
      <name val="Inter Tight"/>
    </font>
    <font/>
    <font>
      <i/>
      <sz val="10.0"/>
      <color rgb="FF71717A"/>
      <name val="Inter Tight"/>
    </font>
    <font>
      <b/>
      <sz val="10.0"/>
      <color rgb="FF3F3F46"/>
      <name val="Inter Tight"/>
    </font>
    <font>
      <sz val="10.0"/>
      <color rgb="FF1F4FBF"/>
      <name val="Inter Tight"/>
    </font>
    <font>
      <b/>
      <sz val="9.0"/>
      <color rgb="FF71717A"/>
      <name val="Inter Tight"/>
    </font>
    <font>
      <i/>
      <sz val="9.0"/>
      <color rgb="FFDC2626"/>
      <name val="Inter Tight"/>
    </font>
    <font>
      <b/>
      <sz val="10.0"/>
      <color rgb="FFFFFFFF"/>
      <name val="Inter Tight"/>
    </font>
    <font>
      <b/>
      <sz val="16.0"/>
      <color rgb="FFF26A1B"/>
      <name val="Inter Tight"/>
    </font>
    <font>
      <sz val="10.0"/>
      <color rgb="FF18181B"/>
      <name val="Inter Tight"/>
    </font>
    <font>
      <b/>
      <sz val="9.0"/>
      <color rgb="FFF26A1B"/>
      <name val="Inter Tight"/>
    </font>
    <font>
      <b/>
      <sz val="10.0"/>
      <color rgb="FFF26A1B"/>
      <name val="Inter Tight"/>
    </font>
    <font>
      <sz val="9.0"/>
      <color rgb="FF71717A"/>
      <name val="Inter Tight"/>
    </font>
    <font>
      <b/>
      <sz val="11.0"/>
      <color rgb="FFF26A1B"/>
      <name val="Inter Tight"/>
    </font>
    <font>
      <b/>
      <sz val="10.0"/>
      <color rgb="FF18181B"/>
      <name val="Inter Tight"/>
    </font>
    <font>
      <b/>
      <sz val="10.0"/>
      <color rgb="FF1F4FBF"/>
      <name val="Inter Tight"/>
    </font>
    <font>
      <i/>
      <sz val="9.0"/>
      <color rgb="FF71717A"/>
      <name val="Inter Tight"/>
    </font>
    <font>
      <sz val="9.0"/>
      <color rgb="FF1F4FBF"/>
      <name val="Inter Tight"/>
    </font>
  </fonts>
  <fills count="8">
    <fill>
      <patternFill patternType="none"/>
    </fill>
    <fill>
      <patternFill patternType="lightGray"/>
    </fill>
    <fill>
      <patternFill patternType="solid">
        <fgColor rgb="FFF26A1B"/>
        <bgColor rgb="FFF26A1B"/>
      </patternFill>
    </fill>
    <fill>
      <patternFill patternType="solid">
        <fgColor rgb="FFFDE9DB"/>
        <bgColor rgb="FFFDE9DB"/>
      </patternFill>
    </fill>
    <fill>
      <patternFill patternType="solid">
        <fgColor rgb="FFF4F4F5"/>
        <bgColor rgb="FFF4F4F5"/>
      </patternFill>
    </fill>
    <fill>
      <patternFill patternType="solid">
        <fgColor rgb="FF3F3F46"/>
        <bgColor rgb="FF3F3F46"/>
      </patternFill>
    </fill>
    <fill>
      <patternFill patternType="solid">
        <fgColor rgb="FFFFFFFF"/>
        <bgColor rgb="FFFFFFFF"/>
      </patternFill>
    </fill>
    <fill>
      <patternFill patternType="solid">
        <fgColor rgb="FFE4E4E7"/>
        <bgColor rgb="FFE4E4E7"/>
      </patternFill>
    </fill>
  </fills>
  <borders count="15">
    <border/>
    <border>
      <left/>
      <top/>
      <bottom/>
    </border>
    <border>
      <top/>
      <bottom/>
    </border>
    <border>
      <right/>
      <top/>
      <bottom/>
    </border>
    <border>
      <left style="thick">
        <color rgb="FFF26A1B"/>
      </left>
      <top/>
      <bottom/>
    </border>
    <border>
      <left style="thin">
        <color rgb="FFD4D4D8"/>
      </left>
      <right style="thin">
        <color rgb="FFD4D4D8"/>
      </right>
      <top style="thin">
        <color rgb="FFD4D4D8"/>
      </top>
      <bottom style="thin">
        <color rgb="FFD4D4D8"/>
      </bottom>
    </border>
    <border>
      <left style="thick">
        <color rgb="FFF26A1B"/>
      </left>
      <top/>
    </border>
    <border>
      <top/>
    </border>
    <border>
      <right/>
      <top/>
    </border>
    <border>
      <left style="thick">
        <color rgb="FFF26A1B"/>
      </left>
      <bottom/>
    </border>
    <border>
      <bottom/>
    </border>
    <border>
      <right/>
      <bottom/>
    </border>
    <border>
      <left style="thin">
        <color rgb="FFD4D4D8"/>
      </left>
      <top style="thin">
        <color rgb="FFD4D4D8"/>
      </top>
      <bottom style="thin">
        <color rgb="FFD4D4D8"/>
      </bottom>
    </border>
    <border>
      <top style="thin">
        <color rgb="FFD4D4D8"/>
      </top>
      <bottom style="thin">
        <color rgb="FFD4D4D8"/>
      </bottom>
    </border>
    <border>
      <right style="thin">
        <color rgb="FFD4D4D8"/>
      </right>
      <top style="thin">
        <color rgb="FFD4D4D8"/>
      </top>
      <bottom style="thin">
        <color rgb="FFD4D4D8"/>
      </bottom>
    </border>
  </borders>
  <cellStyleXfs count="1">
    <xf borderId="0" fillId="0" fontId="0" numFmtId="0" applyAlignment="1" applyFont="1"/>
  </cellStyleXfs>
  <cellXfs count="79">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0"/>
    </xf>
    <xf borderId="2" fillId="2" fontId="1" numFmtId="0" xfId="0" applyAlignment="1" applyBorder="1" applyFill="1" applyFont="1">
      <alignment shrinkToFit="0" vertical="center" wrapText="0"/>
    </xf>
    <xf borderId="1" fillId="2" fontId="1" numFmtId="0" xfId="0" applyAlignment="1" applyBorder="1" applyFill="1" applyFont="1">
      <alignment horizontal="center" shrinkToFit="0" vertical="center" wrapText="0"/>
    </xf>
    <xf borderId="2" fillId="0" fontId="2" numFmtId="0" xfId="0" applyBorder="1" applyFont="1"/>
    <xf borderId="3" fillId="2" fontId="1" numFmtId="0" xfId="0" applyAlignment="1" applyBorder="1" applyFill="1" applyFont="1">
      <alignment shrinkToFit="0" vertical="center" wrapText="0"/>
    </xf>
    <xf borderId="0" fillId="0" fontId="3" numFmtId="0" xfId="0" applyAlignment="1" applyFont="1">
      <alignment shrinkToFit="0" vertical="center" wrapText="0"/>
    </xf>
    <xf borderId="0" fillId="0" fontId="4" numFmtId="0" xfId="0" applyAlignment="1" applyFont="1">
      <alignment shrinkToFit="0" vertical="bottom" wrapText="0"/>
    </xf>
    <xf borderId="1" fillId="3" fontId="5" numFmtId="0" xfId="0" applyAlignment="1" applyBorder="1" applyFill="1" applyFont="1">
      <alignment horizontal="left" shrinkToFit="0" vertical="bottom" wrapText="0"/>
    </xf>
    <xf borderId="3" fillId="0" fontId="2" numFmtId="0" xfId="0" applyBorder="1" applyFont="1"/>
    <xf borderId="4" fillId="4" fontId="6" numFmtId="0" xfId="0" applyAlignment="1" applyBorder="1" applyFill="1" applyFont="1">
      <alignment horizontal="center" shrinkToFit="0" vertical="center" wrapText="0"/>
    </xf>
    <xf borderId="0" fillId="0" fontId="7" numFmtId="0" xfId="0" applyAlignment="1" applyFont="1">
      <alignment shrinkToFit="0" vertical="center" wrapText="0"/>
    </xf>
    <xf borderId="5" fillId="5" fontId="8" numFmtId="0" xfId="0" applyAlignment="1" applyBorder="1" applyFill="1" applyFont="1">
      <alignment horizontal="center" shrinkToFit="0" vertical="center" wrapText="1"/>
    </xf>
    <xf borderId="5" fillId="6" fontId="5" numFmtId="0" xfId="0" applyAlignment="1" applyBorder="1" applyFill="1" applyFont="1">
      <alignment horizontal="center" shrinkToFit="0" vertical="center" wrapText="0"/>
    </xf>
    <xf borderId="5" fillId="6" fontId="5" numFmtId="0" xfId="0" applyAlignment="1" applyBorder="1" applyFill="1" applyFont="1">
      <alignment horizontal="left" shrinkToFit="0" vertical="center" wrapText="0"/>
    </xf>
    <xf borderId="5" fillId="6" fontId="5" numFmtId="49" xfId="0" applyAlignment="1" applyBorder="1" applyFill="1" applyFont="1" applyNumberFormat="1">
      <alignment horizontal="left" shrinkToFit="0" vertical="center" wrapText="0"/>
    </xf>
    <xf borderId="5" fillId="6" fontId="5" numFmtId="164" xfId="0" applyAlignment="1" applyBorder="1" applyFill="1" applyFont="1" applyNumberFormat="1">
      <alignment horizontal="right" shrinkToFit="0" vertical="center" wrapText="0"/>
    </xf>
    <xf borderId="6" fillId="4" fontId="9" numFmtId="1" xfId="0" applyAlignment="1" applyBorder="1" applyFill="1" applyFont="1" applyNumberFormat="1">
      <alignment horizontal="center" shrinkToFit="0" vertical="center" wrapText="0"/>
    </xf>
    <xf borderId="7" fillId="0" fontId="2" numFmtId="0" xfId="0" applyBorder="1" applyFont="1"/>
    <xf borderId="8" fillId="0" fontId="2" numFmtId="0" xfId="0" applyBorder="1" applyFont="1"/>
    <xf borderId="6" fillId="4" fontId="9" numFmtId="3" xfId="0" applyAlignment="1" applyBorder="1" applyFill="1" applyFont="1" applyNumberFormat="1">
      <alignment horizontal="center" shrinkToFit="0" vertical="center" wrapText="0"/>
    </xf>
    <xf borderId="5" fillId="6" fontId="10" numFmtId="164" xfId="0" applyAlignment="1" applyBorder="1" applyFill="1" applyFont="1" applyNumberFormat="1">
      <alignment horizontal="right" shrinkToFit="0" vertical="center" wrapText="0"/>
    </xf>
    <xf borderId="5" fillId="4" fontId="5" numFmtId="0" xfId="0" applyAlignment="1" applyBorder="1" applyFill="1" applyFont="1">
      <alignment horizontal="center" shrinkToFit="0" vertical="center" wrapText="0"/>
    </xf>
    <xf borderId="5" fillId="4" fontId="5" numFmtId="0" xfId="0" applyAlignment="1" applyBorder="1" applyFill="1" applyFont="1">
      <alignment horizontal="left" shrinkToFit="0" vertical="center" wrapText="0"/>
    </xf>
    <xf borderId="5" fillId="4" fontId="5" numFmtId="49" xfId="0" applyAlignment="1" applyBorder="1" applyFill="1" applyFont="1" applyNumberFormat="1">
      <alignment horizontal="left" shrinkToFit="0" vertical="center" wrapText="0"/>
    </xf>
    <xf borderId="5" fillId="4" fontId="5" numFmtId="164" xfId="0" applyAlignment="1" applyBorder="1" applyFill="1" applyFont="1" applyNumberFormat="1">
      <alignment horizontal="right" shrinkToFit="0" vertical="center" wrapText="0"/>
    </xf>
    <xf borderId="5" fillId="4" fontId="10" numFmtId="164" xfId="0" applyAlignment="1" applyBorder="1" applyFill="1" applyFont="1" applyNumberFormat="1">
      <alignment horizontal="right" shrinkToFit="0" vertical="center" wrapText="0"/>
    </xf>
    <xf borderId="1" fillId="3" fontId="5" numFmtId="165" xfId="0" applyAlignment="1" applyBorder="1" applyFill="1" applyFont="1" applyNumberFormat="1">
      <alignment horizontal="left" shrinkToFit="0" vertical="bottom" wrapText="0"/>
    </xf>
    <xf borderId="9" fillId="0" fontId="2" numFmtId="0" xfId="0" applyBorder="1" applyFont="1"/>
    <xf borderId="10" fillId="0" fontId="2" numFmtId="0" xfId="0" applyBorder="1" applyFont="1"/>
    <xf borderId="11" fillId="0" fontId="2" numFmtId="0" xfId="0" applyBorder="1" applyFont="1"/>
    <xf borderId="1" fillId="3" fontId="5" numFmtId="166" xfId="0" applyAlignment="1" applyBorder="1" applyFill="1" applyFont="1" applyNumberFormat="1">
      <alignment horizontal="left" shrinkToFit="0" vertical="bottom" wrapText="0"/>
    </xf>
    <xf borderId="6" fillId="4" fontId="9" numFmtId="167" xfId="0" applyAlignment="1" applyBorder="1" applyFill="1" applyFont="1" applyNumberFormat="1">
      <alignment horizontal="center" shrinkToFit="0" vertical="center" wrapText="0"/>
    </xf>
    <xf borderId="1" fillId="3" fontId="5" numFmtId="1" xfId="0" applyAlignment="1" applyBorder="1" applyFill="1" applyFont="1" applyNumberFormat="1">
      <alignment horizontal="left" shrinkToFit="0" vertical="bottom" wrapText="0"/>
    </xf>
    <xf borderId="1" fillId="6" fontId="11" numFmtId="0" xfId="0" applyAlignment="1" applyBorder="1" applyFill="1" applyFont="1">
      <alignment horizontal="left" shrinkToFit="0" vertical="bottom" wrapText="0"/>
    </xf>
    <xf borderId="1" fillId="2" fontId="8" numFmtId="0" xfId="0" applyAlignment="1" applyBorder="1" applyFill="1" applyFont="1">
      <alignment horizontal="center" shrinkToFit="0" vertical="center" wrapText="0"/>
    </xf>
    <xf borderId="1" fillId="5" fontId="8" numFmtId="0" xfId="0" applyAlignment="1" applyBorder="1" applyFill="1" applyFont="1">
      <alignment horizontal="center" shrinkToFit="0" vertical="center" wrapText="0"/>
    </xf>
    <xf borderId="5" fillId="7" fontId="4" numFmtId="0" xfId="0" applyAlignment="1" applyBorder="1" applyFill="1" applyFont="1">
      <alignment horizontal="center" shrinkToFit="0" vertical="center" wrapText="1"/>
    </xf>
    <xf borderId="5" fillId="3" fontId="4" numFmtId="0" xfId="0" applyAlignment="1" applyBorder="1" applyFill="1" applyFont="1">
      <alignment horizontal="center" shrinkToFit="0" vertical="center" wrapText="1"/>
    </xf>
    <xf borderId="5" fillId="6" fontId="10" numFmtId="0" xfId="0" applyAlignment="1" applyBorder="1" applyFill="1" applyFont="1">
      <alignment horizontal="center" shrinkToFit="0" vertical="center" wrapText="0"/>
    </xf>
    <xf borderId="5" fillId="6" fontId="10" numFmtId="0" xfId="0" applyAlignment="1" applyBorder="1" applyFill="1" applyFont="1">
      <alignment horizontal="left" shrinkToFit="0" vertical="center" wrapText="0"/>
    </xf>
    <xf borderId="0" fillId="0" fontId="12" numFmtId="0" xfId="0" applyAlignment="1" applyFont="1">
      <alignment shrinkToFit="0" vertical="bottom" wrapText="0"/>
    </xf>
    <xf borderId="5" fillId="6" fontId="10" numFmtId="49" xfId="0" applyAlignment="1" applyBorder="1" applyFill="1" applyFont="1" applyNumberFormat="1">
      <alignment horizontal="left" shrinkToFit="0" vertical="center" wrapText="0"/>
    </xf>
    <xf borderId="5" fillId="6" fontId="10" numFmtId="168" xfId="0" applyAlignment="1" applyBorder="1" applyFill="1" applyFont="1" applyNumberFormat="1">
      <alignment horizontal="center" shrinkToFit="0" vertical="center" wrapText="0"/>
    </xf>
    <xf borderId="5" fillId="6" fontId="5" numFmtId="168" xfId="0" applyAlignment="1" applyBorder="1" applyFill="1" applyFont="1" applyNumberFormat="1">
      <alignment horizontal="center" shrinkToFit="0" vertical="center" wrapText="0"/>
    </xf>
    <xf borderId="12" fillId="5" fontId="8" numFmtId="0" xfId="0" applyAlignment="1" applyBorder="1" applyFill="1" applyFont="1">
      <alignment horizontal="center" shrinkToFit="0" vertical="center" wrapText="1"/>
    </xf>
    <xf borderId="13" fillId="0" fontId="2" numFmtId="0" xfId="0" applyBorder="1" applyFont="1"/>
    <xf borderId="14" fillId="0" fontId="2" numFmtId="0" xfId="0" applyBorder="1" applyFont="1"/>
    <xf borderId="5" fillId="6" fontId="5" numFmtId="167" xfId="0" applyAlignment="1" applyBorder="1" applyFill="1" applyFont="1" applyNumberFormat="1">
      <alignment horizontal="right" shrinkToFit="0" vertical="center" wrapText="0"/>
    </xf>
    <xf borderId="12" fillId="6" fontId="13" numFmtId="0" xfId="0" applyAlignment="1" applyBorder="1" applyFill="1" applyFont="1">
      <alignment horizontal="left" shrinkToFit="0" vertical="center" wrapText="0"/>
    </xf>
    <xf borderId="5" fillId="4" fontId="10" numFmtId="0" xfId="0" applyAlignment="1" applyBorder="1" applyFill="1" applyFont="1">
      <alignment horizontal="left" shrinkToFit="0" vertical="center" wrapText="0"/>
    </xf>
    <xf borderId="5" fillId="4" fontId="5" numFmtId="167" xfId="0" applyAlignment="1" applyBorder="1" applyFill="1" applyFont="1" applyNumberFormat="1">
      <alignment horizontal="right" shrinkToFit="0" vertical="center" wrapText="0"/>
    </xf>
    <xf borderId="12" fillId="4" fontId="13" numFmtId="0" xfId="0" applyAlignment="1" applyBorder="1" applyFill="1" applyFont="1">
      <alignment horizontal="left" shrinkToFit="0" vertical="center" wrapText="0"/>
    </xf>
    <xf borderId="5" fillId="6" fontId="5" numFmtId="1" xfId="0" applyAlignment="1" applyBorder="1" applyFill="1" applyFont="1" applyNumberFormat="1">
      <alignment horizontal="right" shrinkToFit="0" vertical="center" wrapText="0"/>
    </xf>
    <xf borderId="0" fillId="0" fontId="14" numFmtId="0" xfId="0" applyAlignment="1" applyFont="1">
      <alignment shrinkToFit="0" vertical="bottom" wrapText="0"/>
    </xf>
    <xf borderId="5" fillId="6" fontId="5" numFmtId="9" xfId="0" applyAlignment="1" applyBorder="1" applyFill="1" applyFont="1" applyNumberFormat="1">
      <alignment horizontal="right" shrinkToFit="0" vertical="center" wrapText="0"/>
    </xf>
    <xf borderId="5" fillId="6" fontId="10" numFmtId="9" xfId="0" applyAlignment="1" applyBorder="1" applyFill="1" applyFont="1" applyNumberFormat="1">
      <alignment horizontal="right" shrinkToFit="0" vertical="center" wrapText="0"/>
    </xf>
    <xf borderId="5" fillId="4" fontId="10" numFmtId="0" xfId="0" applyAlignment="1" applyBorder="1" applyFill="1" applyFont="1">
      <alignment horizontal="center" shrinkToFit="0" vertical="center" wrapText="0"/>
    </xf>
    <xf borderId="5" fillId="4" fontId="5" numFmtId="9" xfId="0" applyAlignment="1" applyBorder="1" applyFill="1" applyFont="1" applyNumberFormat="1">
      <alignment horizontal="right" shrinkToFit="0" vertical="center" wrapText="0"/>
    </xf>
    <xf borderId="5" fillId="4" fontId="10" numFmtId="9" xfId="0" applyAlignment="1" applyBorder="1" applyFill="1" applyFont="1" applyNumberFormat="1">
      <alignment horizontal="right" shrinkToFit="0" vertical="center" wrapText="0"/>
    </xf>
    <xf borderId="0" fillId="0" fontId="11" numFmtId="0" xfId="0" applyAlignment="1" applyFont="1">
      <alignment shrinkToFit="0" vertical="bottom" wrapText="0"/>
    </xf>
    <xf borderId="0" fillId="0" fontId="13" numFmtId="0" xfId="0" applyAlignment="1" applyFont="1">
      <alignment shrinkToFit="0" vertical="bottom" wrapText="0"/>
    </xf>
    <xf borderId="5" fillId="3" fontId="15" numFmtId="164" xfId="0" applyAlignment="1" applyBorder="1" applyFill="1" applyFont="1" applyNumberFormat="1">
      <alignment horizontal="right" shrinkToFit="0" vertical="center" wrapText="0"/>
    </xf>
    <xf borderId="5" fillId="6" fontId="5" numFmtId="166" xfId="0" applyAlignment="1" applyBorder="1" applyFill="1" applyFont="1" applyNumberFormat="1">
      <alignment horizontal="center" shrinkToFit="0" vertical="center" wrapText="0"/>
    </xf>
    <xf borderId="5" fillId="4" fontId="10" numFmtId="49" xfId="0" applyAlignment="1" applyBorder="1" applyFill="1" applyFont="1" applyNumberFormat="1">
      <alignment horizontal="left" shrinkToFit="0" vertical="center" wrapText="0"/>
    </xf>
    <xf borderId="5" fillId="4" fontId="10" numFmtId="168" xfId="0" applyAlignment="1" applyBorder="1" applyFill="1" applyFont="1" applyNumberFormat="1">
      <alignment horizontal="center" shrinkToFit="0" vertical="center" wrapText="0"/>
    </xf>
    <xf borderId="5" fillId="4" fontId="5" numFmtId="168" xfId="0" applyAlignment="1" applyBorder="1" applyFill="1" applyFont="1" applyNumberFormat="1">
      <alignment horizontal="center" shrinkToFit="0" vertical="center" wrapText="0"/>
    </xf>
    <xf borderId="5" fillId="2" fontId="8" numFmtId="0" xfId="0" applyAlignment="1" applyBorder="1" applyFill="1" applyFont="1">
      <alignment horizontal="left" shrinkToFit="0" vertical="center" wrapText="0"/>
    </xf>
    <xf borderId="5" fillId="2" fontId="8" numFmtId="164" xfId="0" applyAlignment="1" applyBorder="1" applyFill="1" applyFont="1" applyNumberFormat="1">
      <alignment horizontal="right" shrinkToFit="0" vertical="center" wrapText="0"/>
    </xf>
    <xf borderId="5" fillId="4" fontId="5" numFmtId="166" xfId="0" applyAlignment="1" applyBorder="1" applyFill="1" applyFont="1" applyNumberFormat="1">
      <alignment horizontal="center" shrinkToFit="0" vertical="center" wrapText="0"/>
    </xf>
    <xf borderId="12" fillId="2" fontId="8" numFmtId="0" xfId="0" applyAlignment="1" applyBorder="1" applyFill="1" applyFont="1">
      <alignment horizontal="center" shrinkToFit="0" vertical="center" wrapText="0"/>
    </xf>
    <xf borderId="5" fillId="2" fontId="8" numFmtId="0" xfId="0" applyAlignment="1" applyBorder="1" applyFill="1" applyFont="1">
      <alignment horizontal="right" shrinkToFit="0" vertical="center" wrapText="0"/>
    </xf>
    <xf borderId="12" fillId="3" fontId="16" numFmtId="164" xfId="0" applyAlignment="1" applyBorder="1" applyFill="1" applyFont="1" applyNumberFormat="1">
      <alignment horizontal="right" shrinkToFit="0" vertical="bottom" wrapText="0"/>
    </xf>
    <xf borderId="12" fillId="4" fontId="15" numFmtId="164" xfId="0" applyAlignment="1" applyBorder="1" applyFill="1" applyFont="1" applyNumberFormat="1">
      <alignment horizontal="right" shrinkToFit="0" vertical="bottom" wrapText="0"/>
    </xf>
    <xf borderId="0" fillId="0" fontId="4" numFmtId="0" xfId="0" applyAlignment="1" applyFont="1">
      <alignment horizontal="center" shrinkToFit="0" vertical="center" wrapText="0"/>
    </xf>
    <xf borderId="0" fillId="0" fontId="17" numFmtId="0" xfId="0" applyAlignment="1" applyFont="1">
      <alignment horizontal="center" shrinkToFit="0" vertical="center" wrapText="0"/>
    </xf>
    <xf borderId="1" fillId="3" fontId="16" numFmtId="0" xfId="0" applyAlignment="1" applyBorder="1" applyFill="1" applyFont="1">
      <alignment horizontal="center" shrinkToFit="0" vertical="center" wrapText="0"/>
    </xf>
    <xf borderId="0" fillId="0" fontId="18" numFmtId="169" xfId="0" applyAlignment="1" applyFont="1" applyNumberFormat="1">
      <alignment horizontal="center" shrinkToFit="0" vertical="bottom" wrapText="0"/>
    </xf>
    <xf borderId="0" fillId="0" fontId="13" numFmtId="0" xfId="0" applyAlignment="1" applyFont="1">
      <alignment shrinkToFit="0" vertical="center" wrapText="1"/>
    </xf>
  </cellXfs>
  <cellStyles count="1">
    <cellStyle xfId="0" name="Normal" builtinId="0"/>
  </cellStyles>
  <dxfs count="4">
    <dxf>
      <font>
        <b/>
        <color rgb="FFDC2626"/>
        <name val="Inter Tight"/>
      </font>
      <fill>
        <patternFill patternType="none"/>
      </fill>
      <border/>
    </dxf>
    <dxf>
      <font>
        <b/>
        <color rgb="FFF26A1B"/>
        <name val="Inter Tight"/>
      </font>
      <fill>
        <patternFill patternType="solid">
          <fgColor rgb="FFFDE9DB"/>
          <bgColor rgb="FFFDE9DB"/>
        </patternFill>
      </fill>
      <border/>
    </dxf>
    <dxf>
      <font>
        <color rgb="FF71717A"/>
        <name val="Inter Tight"/>
      </font>
      <fill>
        <patternFill patternType="none"/>
      </fill>
      <border/>
    </dxf>
    <dxf>
      <font>
        <b/>
        <color rgb="FFB45309"/>
        <name val="Inter Tight"/>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Thực nhận theo phòng ban (VNĐ)</a:t>
            </a:r>
          </a:p>
        </c:rich>
      </c:tx>
      <c:overlay val="0"/>
    </c:title>
    <c:plotArea>
      <c:layout/>
      <c:barChart>
        <c:barDir val="col"/>
        <c:varyColors val="0"/>
        <c:ser>
          <c:idx val="0"/>
          <c:order val="0"/>
          <c:tx>
            <c:v>Thực nhận (VNĐ)</c:v>
          </c:tx>
          <c:spPr>
            <a:solidFill>
              <a:srgbClr val="F26A1B"/>
            </a:solidFill>
            <a:ln cmpd="sng">
              <a:noFill/>
            </a:ln>
          </c:spPr>
          <c:invertIfNegative val="0"/>
          <c:cat>
            <c:strRef>
              <c:f>'Tổng hợp'!$A$6:$A$12</c:f>
            </c:strRef>
          </c:cat>
          <c:val>
            <c:numRef>
              <c:f>'Tổng hợp'!$G$6:$G$12</c:f>
              <c:numCache/>
            </c:numRef>
          </c:val>
        </c:ser>
        <c:axId val="1760555783"/>
        <c:axId val="303847917"/>
      </c:barChart>
      <c:catAx>
        <c:axId val="176055578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303847917"/>
      </c:catAx>
      <c:valAx>
        <c:axId val="303847917"/>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 sourceLinked="0"/>
        <c:majorTickMark val="none"/>
        <c:minorTickMark val="none"/>
        <c:tickLblPos val="nextTo"/>
        <c:spPr>
          <a:ln>
            <a:noFill/>
          </a:ln>
        </c:spPr>
        <c:txPr>
          <a:bodyPr/>
          <a:lstStyle/>
          <a:p>
            <a:pPr lvl="0">
              <a:defRPr b="0" i="0" sz="1000">
                <a:solidFill>
                  <a:srgbClr val="000000"/>
                </a:solidFill>
                <a:latin typeface="Calibri"/>
              </a:defRPr>
            </a:pPr>
          </a:p>
        </c:txPr>
        <c:crossAx val="1760555783"/>
      </c:valAx>
    </c:plotArea>
    <c:plotVisOnly val="1"/>
  </c:chart>
  <c:spPr>
    <a:solidFill>
      <a:srgbClr val="FFFFFF"/>
    </a:solidFill>
  </c:spPr>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17</xdr:row>
      <xdr:rowOff>0</xdr:rowOff>
    </xdr:from>
    <xdr:ext cx="7524750" cy="3209925"/>
    <xdr:graphicFrame>
      <xdr:nvGraphicFramePr>
        <xdr:cNvPr id="1028290389"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A1B"/>
    <pageSetUpPr fitToPage="1"/>
  </sheetPr>
  <sheetViews>
    <sheetView showGridLines="0" workbookViewId="0">
      <pane xSplit="3.0" topLeftCell="D1" activePane="topRight" state="frozen"/>
      <selection activeCell="E2" sqref="E2" pane="topRight"/>
    </sheetView>
  </sheetViews>
  <sheetFormatPr customHeight="1" defaultColWidth="14.43" defaultRowHeight="15.0"/>
  <cols>
    <col customWidth="1" min="1" max="1" width="6.0"/>
    <col customWidth="1" min="2" max="2" width="12.0"/>
    <col customWidth="1" min="3" max="3" width="24.0"/>
    <col customWidth="1" min="4" max="4" width="15.0"/>
    <col customWidth="1" min="5" max="5" width="14.0"/>
    <col customWidth="1" min="6" max="6" width="17.0"/>
    <col customWidth="1" min="7" max="7" width="16.0"/>
    <col customWidth="1" min="8" max="8" width="10.0"/>
    <col customWidth="1" min="9" max="9" width="11.0"/>
    <col customWidth="1" min="10" max="10" width="16.0"/>
    <col customWidth="1" min="11" max="11" width="15.0"/>
    <col customWidth="1" min="12" max="12" width="16.0"/>
    <col customWidth="1" min="13" max="16" width="14.0"/>
    <col customWidth="1" min="17" max="17" width="28.0"/>
    <col customWidth="1" min="18" max="18" width="15.0"/>
    <col customWidth="1" min="19" max="19" width="16.0"/>
    <col customWidth="1" min="20" max="22" width="14.0"/>
    <col customWidth="1" min="23" max="24" width="15.0"/>
    <col customWidth="1" min="25" max="27" width="14.0"/>
    <col customWidth="1" min="28" max="28" width="15.0"/>
    <col customWidth="1" min="29" max="29" width="17.0"/>
    <col customWidth="1" min="30" max="30" width="16.0"/>
    <col customWidth="1" min="31" max="31" width="13.0"/>
    <col customWidth="1" min="32" max="32" width="14.0"/>
    <col customWidth="1" min="33" max="33" width="24.0"/>
  </cols>
  <sheetData>
    <row r="1" ht="42.0" customHeight="1">
      <c r="A1" s="1"/>
      <c r="B1" s="2"/>
      <c r="C1" s="2"/>
      <c r="D1" s="3" t="s">
        <v>0</v>
      </c>
      <c r="E1" s="4"/>
      <c r="F1" s="4"/>
      <c r="G1" s="4"/>
      <c r="H1" s="4"/>
      <c r="I1" s="4"/>
      <c r="J1" s="4"/>
      <c r="K1" s="4"/>
      <c r="L1" s="4"/>
      <c r="M1" s="4"/>
      <c r="N1" s="4"/>
      <c r="O1" s="4"/>
      <c r="P1" s="4"/>
      <c r="Q1" s="4"/>
      <c r="R1" s="2"/>
      <c r="S1" s="2"/>
      <c r="T1" s="2"/>
      <c r="U1" s="2"/>
      <c r="V1" s="2"/>
      <c r="W1" s="2"/>
      <c r="X1" s="2"/>
      <c r="Y1" s="2"/>
      <c r="Z1" s="2"/>
      <c r="AA1" s="2"/>
      <c r="AB1" s="2"/>
      <c r="AC1" s="2"/>
      <c r="AD1" s="2"/>
      <c r="AE1" s="2"/>
      <c r="AF1" s="2"/>
      <c r="AG1" s="5"/>
    </row>
    <row r="2" ht="19.5" customHeight="1">
      <c r="A2" s="6" t="str">
        <f>"Tháng "&amp;TEXT($C$6,"mm/yyyy")&amp;"  |  Kỳ công: "&amp;TEXT($C$7,"dd/mm/yyyy")&amp;" – "&amp;TEXT($C$8,"dd/mm/yyyy")&amp;"  |  Ngày lập: "&amp;TEXT($C$9,"dd/mm/yyyy")</f>
        <v>Tháng 10/2026  |  Kỳ công: 01/10/2026 – 31/10/2026  |  Ngày lập: 28/10/2026</v>
      </c>
    </row>
    <row r="4">
      <c r="A4" s="7" t="s">
        <v>1</v>
      </c>
      <c r="C4" s="8" t="s">
        <v>2</v>
      </c>
      <c r="D4" s="9"/>
      <c r="E4" s="10" t="s">
        <v>4</v>
      </c>
      <c r="F4" s="4"/>
      <c r="G4" s="9"/>
      <c r="H4" s="10" t="s">
        <v>7</v>
      </c>
      <c r="I4" s="4"/>
      <c r="J4" s="4"/>
      <c r="K4" s="9"/>
      <c r="L4" s="10" t="s">
        <v>9</v>
      </c>
      <c r="M4" s="4"/>
      <c r="N4" s="9"/>
      <c r="O4" s="10" t="s">
        <v>12</v>
      </c>
      <c r="P4" s="4"/>
      <c r="Q4" s="9"/>
    </row>
    <row r="5">
      <c r="A5" s="7" t="s">
        <v>22</v>
      </c>
      <c r="C5" s="8" t="s">
        <v>24</v>
      </c>
      <c r="D5" s="9"/>
      <c r="E5" s="17">
        <f>SUMPRODUCT(--($B$15:$B$54&lt;&gt;""))</f>
        <v>8</v>
      </c>
      <c r="F5" s="18"/>
      <c r="G5" s="19"/>
      <c r="H5" s="20">
        <f>S55</f>
        <v>169878461</v>
      </c>
      <c r="I5" s="18"/>
      <c r="J5" s="18"/>
      <c r="K5" s="19"/>
      <c r="L5" s="20">
        <f>AB55</f>
        <v>22179635</v>
      </c>
      <c r="M5" s="18"/>
      <c r="N5" s="19"/>
      <c r="O5" s="20">
        <f>AC55</f>
        <v>147698826</v>
      </c>
      <c r="P5" s="18"/>
      <c r="Q5" s="19"/>
    </row>
    <row r="6">
      <c r="A6" s="7" t="s">
        <v>39</v>
      </c>
      <c r="C6" s="27">
        <v>46296.0</v>
      </c>
      <c r="D6" s="9"/>
      <c r="E6" s="28"/>
      <c r="F6" s="29"/>
      <c r="G6" s="30"/>
      <c r="H6" s="28"/>
      <c r="I6" s="29"/>
      <c r="J6" s="29"/>
      <c r="K6" s="30"/>
      <c r="L6" s="28"/>
      <c r="M6" s="29"/>
      <c r="N6" s="30"/>
      <c r="O6" s="28"/>
      <c r="P6" s="29"/>
      <c r="Q6" s="30"/>
    </row>
    <row r="7">
      <c r="A7" s="7" t="s">
        <v>54</v>
      </c>
      <c r="C7" s="31">
        <v>46296.0</v>
      </c>
      <c r="D7" s="9"/>
    </row>
    <row r="8">
      <c r="A8" s="7" t="s">
        <v>62</v>
      </c>
      <c r="C8" s="31">
        <v>46326.0</v>
      </c>
      <c r="D8" s="9"/>
      <c r="E8" s="10" t="s">
        <v>68</v>
      </c>
      <c r="F8" s="4"/>
      <c r="G8" s="9"/>
      <c r="H8" s="10" t="s">
        <v>71</v>
      </c>
      <c r="I8" s="4"/>
      <c r="J8" s="4"/>
      <c r="K8" s="9"/>
      <c r="L8" s="10" t="s">
        <v>78</v>
      </c>
      <c r="M8" s="4"/>
      <c r="N8" s="9"/>
      <c r="O8" s="10" t="s">
        <v>79</v>
      </c>
      <c r="P8" s="4"/>
      <c r="Q8" s="9"/>
    </row>
    <row r="9">
      <c r="A9" s="7" t="s">
        <v>86</v>
      </c>
      <c r="C9" s="31">
        <v>46323.0</v>
      </c>
      <c r="D9" s="9"/>
      <c r="E9" s="20">
        <f>SUMIF($AD$15:$AD$54,"Đã thanh toán",$AC$15:$AC$54)</f>
        <v>86064307</v>
      </c>
      <c r="F9" s="18"/>
      <c r="G9" s="19"/>
      <c r="H9" s="20">
        <f>AC55-E9</f>
        <v>61634519</v>
      </c>
      <c r="I9" s="18"/>
      <c r="J9" s="18"/>
      <c r="K9" s="19"/>
      <c r="L9" s="17">
        <f>SUMPRODUCT(($B$15:$B$54&lt;&gt;"")*($AD$15:$AD$54&lt;&gt;"Đã thanh toán"))</f>
        <v>5</v>
      </c>
      <c r="M9" s="18"/>
      <c r="N9" s="19"/>
      <c r="O9" s="32">
        <f>IF(AC55=0,0,E9/AC55)</f>
        <v>0.5827013615</v>
      </c>
      <c r="P9" s="18"/>
      <c r="Q9" s="19"/>
    </row>
    <row r="10">
      <c r="A10" s="7" t="s">
        <v>87</v>
      </c>
      <c r="C10" s="33">
        <v>26.0</v>
      </c>
      <c r="D10" s="9"/>
      <c r="E10" s="28"/>
      <c r="F10" s="29"/>
      <c r="G10" s="30"/>
      <c r="H10" s="28"/>
      <c r="I10" s="29"/>
      <c r="J10" s="29"/>
      <c r="K10" s="30"/>
      <c r="L10" s="28"/>
      <c r="M10" s="29"/>
      <c r="N10" s="30"/>
      <c r="O10" s="28"/>
      <c r="P10" s="29"/>
      <c r="Q10" s="30"/>
    </row>
    <row r="11">
      <c r="A11" s="7" t="s">
        <v>88</v>
      </c>
      <c r="C11" s="34" t="str">
        <f>IF(OR(C7="",C8="",C6=""),"Chưa nhập đủ kỳ công / tháng lương",IF(C8&lt;C7,"Kiểm tra lại: đến ngày nhỏ hơn từ ngày",IF(AND(C8&gt;=C6,C8&lt;=EOMONTH(C6,0)),"Khớp: kỳ công kết thúc trong tháng lương","Kiểm tra lại: kỳ công kết thúc ngoài tháng lương")))</f>
        <v>Khớp: kỳ công kết thúc trong tháng lương</v>
      </c>
      <c r="D11" s="9"/>
    </row>
    <row r="13" ht="24.0" customHeight="1">
      <c r="A13" s="35" t="s">
        <v>89</v>
      </c>
      <c r="B13" s="4"/>
      <c r="C13" s="4"/>
      <c r="D13" s="4"/>
      <c r="E13" s="4"/>
      <c r="F13" s="9"/>
      <c r="G13" s="36" t="s">
        <v>90</v>
      </c>
      <c r="H13" s="4"/>
      <c r="I13" s="4"/>
      <c r="J13" s="4"/>
      <c r="K13" s="4"/>
      <c r="L13" s="9"/>
      <c r="M13" s="35" t="s">
        <v>91</v>
      </c>
      <c r="N13" s="4"/>
      <c r="O13" s="4"/>
      <c r="P13" s="4"/>
      <c r="Q13" s="4"/>
      <c r="R13" s="4"/>
      <c r="S13" s="9"/>
      <c r="T13" s="36" t="s">
        <v>92</v>
      </c>
      <c r="U13" s="4"/>
      <c r="V13" s="4"/>
      <c r="W13" s="4"/>
      <c r="X13" s="4"/>
      <c r="Y13" s="4"/>
      <c r="Z13" s="4"/>
      <c r="AA13" s="4"/>
      <c r="AB13" s="4"/>
      <c r="AC13" s="9"/>
      <c r="AD13" s="35" t="s">
        <v>93</v>
      </c>
      <c r="AE13" s="4"/>
      <c r="AF13" s="4"/>
      <c r="AG13" s="9"/>
    </row>
    <row r="14" ht="48.0" customHeight="1">
      <c r="A14" s="37" t="s">
        <v>94</v>
      </c>
      <c r="B14" s="37" t="s">
        <v>8</v>
      </c>
      <c r="C14" s="37" t="s">
        <v>10</v>
      </c>
      <c r="D14" s="37" t="s">
        <v>11</v>
      </c>
      <c r="E14" s="37" t="s">
        <v>14</v>
      </c>
      <c r="F14" s="37" t="s">
        <v>15</v>
      </c>
      <c r="G14" s="37" t="s">
        <v>18</v>
      </c>
      <c r="H14" s="37" t="s">
        <v>95</v>
      </c>
      <c r="I14" s="37" t="s">
        <v>96</v>
      </c>
      <c r="J14" s="37" t="s">
        <v>97</v>
      </c>
      <c r="K14" s="37" t="s">
        <v>98</v>
      </c>
      <c r="L14" s="37" t="s">
        <v>99</v>
      </c>
      <c r="M14" s="37" t="s">
        <v>100</v>
      </c>
      <c r="N14" s="37" t="s">
        <v>101</v>
      </c>
      <c r="O14" s="37" t="s">
        <v>102</v>
      </c>
      <c r="P14" s="37" t="s">
        <v>103</v>
      </c>
      <c r="Q14" s="37" t="s">
        <v>104</v>
      </c>
      <c r="R14" s="37" t="s">
        <v>105</v>
      </c>
      <c r="S14" s="37" t="s">
        <v>7</v>
      </c>
      <c r="T14" s="37" t="s">
        <v>106</v>
      </c>
      <c r="U14" s="37" t="s">
        <v>107</v>
      </c>
      <c r="V14" s="37" t="s">
        <v>108</v>
      </c>
      <c r="W14" s="37" t="s">
        <v>109</v>
      </c>
      <c r="X14" s="37" t="s">
        <v>110</v>
      </c>
      <c r="Y14" s="37" t="s">
        <v>111</v>
      </c>
      <c r="Z14" s="37" t="s">
        <v>112</v>
      </c>
      <c r="AA14" s="37" t="s">
        <v>113</v>
      </c>
      <c r="AB14" s="37" t="s">
        <v>9</v>
      </c>
      <c r="AC14" s="38" t="s">
        <v>114</v>
      </c>
      <c r="AD14" s="37" t="s">
        <v>115</v>
      </c>
      <c r="AE14" s="37" t="s">
        <v>116</v>
      </c>
      <c r="AF14" s="37" t="s">
        <v>117</v>
      </c>
      <c r="AG14" s="37" t="s">
        <v>118</v>
      </c>
    </row>
    <row r="15" ht="21.75" customHeight="1">
      <c r="A15" s="39">
        <f t="shared" ref="A15:A54" si="1">IF($B15="","",ROW()-14)</f>
        <v>1</v>
      </c>
      <c r="B15" s="39" t="str">
        <f>IF('Nhân viên'!A5="","",'Nhân viên'!A5)</f>
        <v>NV001</v>
      </c>
      <c r="C15" s="40" t="str">
        <f>IF($B15="","",'Nhân viên'!B5)</f>
        <v>Nguyễn Văn An</v>
      </c>
      <c r="D15" s="40" t="str">
        <f>IF($B15="","",'Nhân viên'!C5)</f>
        <v>Ban giám đốc</v>
      </c>
      <c r="E15" s="40" t="str">
        <f>IF($B15="","",'Nhân viên'!E5)</f>
        <v>Vietcombank</v>
      </c>
      <c r="F15" s="42" t="str">
        <f>IF(OR($B15="",'Nhân viên'!F5=""),"",'Nhân viên'!F5)</f>
        <v>0011001234567</v>
      </c>
      <c r="G15" s="21">
        <f>IF($B15="","",'Nhân viên'!I5)</f>
        <v>45000000</v>
      </c>
      <c r="H15" s="43">
        <f t="shared" ref="H15:H54" si="2">IF($B15="","",$C$10)</f>
        <v>26</v>
      </c>
      <c r="I15" s="44">
        <v>26.0</v>
      </c>
      <c r="J15" s="21">
        <f t="shared" ref="J15:J54" si="3">IF($B15="","",IF(H15=0,0,ROUND(G15/H15*I15,0)))</f>
        <v>45000000</v>
      </c>
      <c r="K15" s="16"/>
      <c r="L15" s="21">
        <f t="shared" ref="L15:L54" si="4">IF($B15="","",J15+K15)</f>
        <v>45000000</v>
      </c>
      <c r="M15" s="16">
        <v>3000000.0</v>
      </c>
      <c r="N15" s="16">
        <v>730000.0</v>
      </c>
      <c r="O15" s="16"/>
      <c r="P15" s="16"/>
      <c r="Q15" s="14" t="s">
        <v>123</v>
      </c>
      <c r="R15" s="13"/>
      <c r="S15" s="21">
        <f t="shared" ref="S15:S54" si="5">IF($B15="","",L15+M15+N15+IF(R15="Chờ xác nhận",0,O15+P15))</f>
        <v>48730000</v>
      </c>
      <c r="T15" s="21">
        <f>IF($B15="","",ROUND(MIN('Nhân viên'!L5,'Cài đặt'!$B$10)*'Cài đặt'!$B$5,0))</f>
        <v>3600000</v>
      </c>
      <c r="U15" s="21">
        <f>IF($B15="","",ROUND(MIN('Nhân viên'!L5,'Cài đặt'!$B$10)*'Cài đặt'!$B$6,0))</f>
        <v>675000</v>
      </c>
      <c r="V15" s="21">
        <f>IF($B15="","",ROUND(MIN('Nhân viên'!L5,'Cài đặt'!$B$12)*'Cài đặt'!$B$7,0))</f>
        <v>450000</v>
      </c>
      <c r="W15" s="21">
        <f>IF($B15="","",'Cài đặt'!$B$13+'Nhân viên'!H5*'Cài đặt'!$B$14)</f>
        <v>27900000</v>
      </c>
      <c r="X15" s="21">
        <f t="shared" ref="X15:X54" si="6">IF($B15="","",MAX(0,L15+M15+IF(R15="Chờ xác nhận",0,O15+P15)-T15-U15-V15-W15))</f>
        <v>15375000</v>
      </c>
      <c r="Y15" s="21">
        <f>IF($B15="","",ROUND(SUMPRODUCT((X15&gt;'Cài đặt'!$B$18:$B$22)*(X15-'Cài đặt'!$B$18:$B$22)*'Cài đặt'!$E$18:$E$22),0))</f>
        <v>1037500</v>
      </c>
      <c r="Z15" s="16"/>
      <c r="AA15" s="16"/>
      <c r="AB15" s="21">
        <f t="shared" ref="AB15:AB54" si="7">IF($B15="","",T15+U15+V15+Y15+Z15+AA15)</f>
        <v>5762500</v>
      </c>
      <c r="AC15" s="62">
        <f t="shared" ref="AC15:AC54" si="8">IF($B15="","",S15-AB15)</f>
        <v>42967500</v>
      </c>
      <c r="AD15" s="13" t="s">
        <v>165</v>
      </c>
      <c r="AE15" s="63">
        <v>46324.0</v>
      </c>
      <c r="AF15" s="13" t="s">
        <v>166</v>
      </c>
      <c r="AG15" s="14"/>
    </row>
    <row r="16" ht="21.75" customHeight="1">
      <c r="A16" s="57">
        <f t="shared" si="1"/>
        <v>2</v>
      </c>
      <c r="B16" s="57" t="str">
        <f>IF('Nhân viên'!A6="","",'Nhân viên'!A6)</f>
        <v>NV002</v>
      </c>
      <c r="C16" s="50" t="str">
        <f>IF($B16="","",'Nhân viên'!B6)</f>
        <v>Trần Thị Bình</v>
      </c>
      <c r="D16" s="50" t="str">
        <f>IF($B16="","",'Nhân viên'!C6)</f>
        <v>Kế toán</v>
      </c>
      <c r="E16" s="50" t="str">
        <f>IF($B16="","",'Nhân viên'!E6)</f>
        <v>Techcombank</v>
      </c>
      <c r="F16" s="64" t="str">
        <f>IF(OR($B16="",'Nhân viên'!F6=""),"",'Nhân viên'!F6)</f>
        <v>19031234567890</v>
      </c>
      <c r="G16" s="26">
        <f>IF($B16="","",'Nhân viên'!I6)</f>
        <v>22000000</v>
      </c>
      <c r="H16" s="65">
        <f t="shared" si="2"/>
        <v>26</v>
      </c>
      <c r="I16" s="66">
        <v>26.0</v>
      </c>
      <c r="J16" s="26">
        <f t="shared" si="3"/>
        <v>22000000</v>
      </c>
      <c r="K16" s="25"/>
      <c r="L16" s="26">
        <f t="shared" si="4"/>
        <v>22000000</v>
      </c>
      <c r="M16" s="25">
        <v>1500000.0</v>
      </c>
      <c r="N16" s="25">
        <v>730000.0</v>
      </c>
      <c r="O16" s="25"/>
      <c r="P16" s="25"/>
      <c r="Q16" s="23" t="s">
        <v>123</v>
      </c>
      <c r="R16" s="22"/>
      <c r="S16" s="26">
        <f t="shared" si="5"/>
        <v>24230000</v>
      </c>
      <c r="T16" s="26">
        <f>IF($B16="","",ROUND(MIN('Nhân viên'!L6,'Cài đặt'!$B$10)*'Cài đặt'!$B$5,0))</f>
        <v>1760000</v>
      </c>
      <c r="U16" s="26">
        <f>IF($B16="","",ROUND(MIN('Nhân viên'!L6,'Cài đặt'!$B$10)*'Cài đặt'!$B$6,0))</f>
        <v>330000</v>
      </c>
      <c r="V16" s="26">
        <f>IF($B16="","",ROUND(MIN('Nhân viên'!L6,'Cài đặt'!$B$12)*'Cài đặt'!$B$7,0))</f>
        <v>220000</v>
      </c>
      <c r="W16" s="26">
        <f>IF($B16="","",'Cài đặt'!$B$13+'Nhân viên'!H6*'Cài đặt'!$B$14)</f>
        <v>21700000</v>
      </c>
      <c r="X16" s="26">
        <f t="shared" si="6"/>
        <v>0</v>
      </c>
      <c r="Y16" s="26">
        <f>IF($B16="","",ROUND(SUMPRODUCT((X16&gt;'Cài đặt'!$B$18:$B$22)*(X16-'Cài đặt'!$B$18:$B$22)*'Cài đặt'!$E$18:$E$22),0))</f>
        <v>0</v>
      </c>
      <c r="Z16" s="25"/>
      <c r="AA16" s="25">
        <v>200000.0</v>
      </c>
      <c r="AB16" s="26">
        <f t="shared" si="7"/>
        <v>2510000</v>
      </c>
      <c r="AC16" s="62">
        <f t="shared" si="8"/>
        <v>21720000</v>
      </c>
      <c r="AD16" s="22" t="s">
        <v>165</v>
      </c>
      <c r="AE16" s="69">
        <v>46324.0</v>
      </c>
      <c r="AF16" s="22" t="s">
        <v>170</v>
      </c>
      <c r="AG16" s="23" t="s">
        <v>171</v>
      </c>
    </row>
    <row r="17" ht="21.75" customHeight="1">
      <c r="A17" s="39">
        <f t="shared" si="1"/>
        <v>3</v>
      </c>
      <c r="B17" s="39" t="str">
        <f>IF('Nhân viên'!A7="","",'Nhân viên'!A7)</f>
        <v>NV003</v>
      </c>
      <c r="C17" s="40" t="str">
        <f>IF($B17="","",'Nhân viên'!B7)</f>
        <v>Lê Hoàng Cường</v>
      </c>
      <c r="D17" s="40" t="str">
        <f>IF($B17="","",'Nhân viên'!C7)</f>
        <v>Kinh doanh</v>
      </c>
      <c r="E17" s="40" t="str">
        <f>IF($B17="","",'Nhân viên'!E7)</f>
        <v>BIDV</v>
      </c>
      <c r="F17" s="42" t="str">
        <f>IF(OR($B17="",'Nhân viên'!F7=""),"",'Nhân viên'!F7)</f>
        <v>31410001234567</v>
      </c>
      <c r="G17" s="21">
        <f>IF($B17="","",'Nhân viên'!I7)</f>
        <v>18000000</v>
      </c>
      <c r="H17" s="43">
        <f t="shared" si="2"/>
        <v>26</v>
      </c>
      <c r="I17" s="44">
        <v>25.0</v>
      </c>
      <c r="J17" s="21">
        <f t="shared" si="3"/>
        <v>17307692</v>
      </c>
      <c r="K17" s="16">
        <v>500000.0</v>
      </c>
      <c r="L17" s="21">
        <f t="shared" si="4"/>
        <v>17807692</v>
      </c>
      <c r="M17" s="16"/>
      <c r="N17" s="16">
        <v>730000.0</v>
      </c>
      <c r="O17" s="16">
        <v>5000000.0</v>
      </c>
      <c r="P17" s="16"/>
      <c r="Q17" s="14" t="s">
        <v>172</v>
      </c>
      <c r="R17" s="13" t="s">
        <v>173</v>
      </c>
      <c r="S17" s="21">
        <f t="shared" si="5"/>
        <v>23537692</v>
      </c>
      <c r="T17" s="21">
        <f>IF($B17="","",ROUND(MIN('Nhân viên'!L7,'Cài đặt'!$B$10)*'Cài đặt'!$B$5,0))</f>
        <v>1440000</v>
      </c>
      <c r="U17" s="21">
        <f>IF($B17="","",ROUND(MIN('Nhân viên'!L7,'Cài đặt'!$B$10)*'Cài đặt'!$B$6,0))</f>
        <v>270000</v>
      </c>
      <c r="V17" s="21">
        <f>IF($B17="","",ROUND(MIN('Nhân viên'!L7,'Cài đặt'!$B$12)*'Cài đặt'!$B$7,0))</f>
        <v>180000</v>
      </c>
      <c r="W17" s="21">
        <f>IF($B17="","",'Cài đặt'!$B$13+'Nhân viên'!H7*'Cài đặt'!$B$14)</f>
        <v>15500000</v>
      </c>
      <c r="X17" s="21">
        <f t="shared" si="6"/>
        <v>5417692</v>
      </c>
      <c r="Y17" s="21">
        <f>IF($B17="","",ROUND(SUMPRODUCT((X17&gt;'Cài đặt'!$B$18:$B$22)*(X17-'Cài đặt'!$B$18:$B$22)*'Cài đặt'!$E$18:$E$22),0))</f>
        <v>270885</v>
      </c>
      <c r="Z17" s="16"/>
      <c r="AA17" s="16"/>
      <c r="AB17" s="21">
        <f t="shared" si="7"/>
        <v>2160885</v>
      </c>
      <c r="AC17" s="62">
        <f t="shared" si="8"/>
        <v>21376807</v>
      </c>
      <c r="AD17" s="13" t="s">
        <v>165</v>
      </c>
      <c r="AE17" s="63">
        <v>46324.0</v>
      </c>
      <c r="AF17" s="13" t="s">
        <v>174</v>
      </c>
      <c r="AG17" s="14"/>
    </row>
    <row r="18" ht="21.75" customHeight="1">
      <c r="A18" s="57">
        <f t="shared" si="1"/>
        <v>4</v>
      </c>
      <c r="B18" s="57" t="str">
        <f>IF('Nhân viên'!A8="","",'Nhân viên'!A8)</f>
        <v>NV004</v>
      </c>
      <c r="C18" s="50" t="str">
        <f>IF($B18="","",'Nhân viên'!B8)</f>
        <v>Phạm Thu Dung</v>
      </c>
      <c r="D18" s="50" t="str">
        <f>IF($B18="","",'Nhân viên'!C8)</f>
        <v>Nhân sự</v>
      </c>
      <c r="E18" s="50" t="str">
        <f>IF($B18="","",'Nhân viên'!E8)</f>
        <v>MB Bank</v>
      </c>
      <c r="F18" s="64" t="str">
        <f>IF(OR($B18="",'Nhân viên'!F8=""),"",'Nhân viên'!F8)</f>
        <v>0123456789012</v>
      </c>
      <c r="G18" s="26">
        <f>IF($B18="","",'Nhân viên'!I8)</f>
        <v>14000000</v>
      </c>
      <c r="H18" s="65">
        <f t="shared" si="2"/>
        <v>26</v>
      </c>
      <c r="I18" s="66">
        <v>26.0</v>
      </c>
      <c r="J18" s="26">
        <f t="shared" si="3"/>
        <v>14000000</v>
      </c>
      <c r="K18" s="25"/>
      <c r="L18" s="26">
        <f t="shared" si="4"/>
        <v>14000000</v>
      </c>
      <c r="M18" s="25"/>
      <c r="N18" s="25">
        <v>730000.0</v>
      </c>
      <c r="O18" s="25"/>
      <c r="P18" s="25">
        <v>500000.0</v>
      </c>
      <c r="Q18" s="23" t="s">
        <v>175</v>
      </c>
      <c r="R18" s="22" t="s">
        <v>173</v>
      </c>
      <c r="S18" s="26">
        <f t="shared" si="5"/>
        <v>15230000</v>
      </c>
      <c r="T18" s="26">
        <f>IF($B18="","",ROUND(MIN('Nhân viên'!L8,'Cài đặt'!$B$10)*'Cài đặt'!$B$5,0))</f>
        <v>1120000</v>
      </c>
      <c r="U18" s="26">
        <f>IF($B18="","",ROUND(MIN('Nhân viên'!L8,'Cài đặt'!$B$10)*'Cài đặt'!$B$6,0))</f>
        <v>210000</v>
      </c>
      <c r="V18" s="26">
        <f>IF($B18="","",ROUND(MIN('Nhân viên'!L8,'Cài đặt'!$B$12)*'Cài đặt'!$B$7,0))</f>
        <v>140000</v>
      </c>
      <c r="W18" s="26">
        <f>IF($B18="","",'Cài đặt'!$B$13+'Nhân viên'!H8*'Cài đặt'!$B$14)</f>
        <v>21700000</v>
      </c>
      <c r="X18" s="26">
        <f t="shared" si="6"/>
        <v>0</v>
      </c>
      <c r="Y18" s="26">
        <f>IF($B18="","",ROUND(SUMPRODUCT((X18&gt;'Cài đặt'!$B$18:$B$22)*(X18-'Cài đặt'!$B$18:$B$22)*'Cài đặt'!$E$18:$E$22),0))</f>
        <v>0</v>
      </c>
      <c r="Z18" s="25"/>
      <c r="AA18" s="25"/>
      <c r="AB18" s="26">
        <f t="shared" si="7"/>
        <v>1470000</v>
      </c>
      <c r="AC18" s="62">
        <f t="shared" si="8"/>
        <v>13760000</v>
      </c>
      <c r="AD18" s="22" t="s">
        <v>176</v>
      </c>
      <c r="AE18" s="69"/>
      <c r="AF18" s="22"/>
      <c r="AG18" s="23"/>
    </row>
    <row r="19" ht="21.75" customHeight="1">
      <c r="A19" s="39">
        <f t="shared" si="1"/>
        <v>5</v>
      </c>
      <c r="B19" s="39" t="str">
        <f>IF('Nhân viên'!A9="","",'Nhân viên'!A9)</f>
        <v>NV005</v>
      </c>
      <c r="C19" s="40" t="str">
        <f>IF($B19="","",'Nhân viên'!B9)</f>
        <v>Hoàng Minh Em</v>
      </c>
      <c r="D19" s="40" t="str">
        <f>IF($B19="","",'Nhân viên'!C9)</f>
        <v>Kỹ thuật</v>
      </c>
      <c r="E19" s="40" t="str">
        <f>IF($B19="","",'Nhân viên'!E9)</f>
        <v>ACB</v>
      </c>
      <c r="F19" s="42" t="str">
        <f>IF(OR($B19="",'Nhân viên'!F9=""),"",'Nhân viên'!F9)</f>
        <v>2001234567</v>
      </c>
      <c r="G19" s="21">
        <f>IF($B19="","",'Nhân viên'!I9)</f>
        <v>25000000</v>
      </c>
      <c r="H19" s="43">
        <f t="shared" si="2"/>
        <v>26</v>
      </c>
      <c r="I19" s="44">
        <v>26.0</v>
      </c>
      <c r="J19" s="21">
        <f t="shared" si="3"/>
        <v>25000000</v>
      </c>
      <c r="K19" s="16"/>
      <c r="L19" s="21">
        <f t="shared" si="4"/>
        <v>25000000</v>
      </c>
      <c r="M19" s="16">
        <v>1000000.0</v>
      </c>
      <c r="N19" s="16">
        <v>730000.0</v>
      </c>
      <c r="O19" s="16"/>
      <c r="P19" s="16"/>
      <c r="Q19" s="14" t="s">
        <v>177</v>
      </c>
      <c r="R19" s="13"/>
      <c r="S19" s="21">
        <f t="shared" si="5"/>
        <v>26730000</v>
      </c>
      <c r="T19" s="21">
        <f>IF($B19="","",ROUND(MIN('Nhân viên'!L9,'Cài đặt'!$B$10)*'Cài đặt'!$B$5,0))</f>
        <v>2000000</v>
      </c>
      <c r="U19" s="21">
        <f>IF($B19="","",ROUND(MIN('Nhân viên'!L9,'Cài đặt'!$B$10)*'Cài đặt'!$B$6,0))</f>
        <v>375000</v>
      </c>
      <c r="V19" s="21">
        <f>IF($B19="","",ROUND(MIN('Nhân viên'!L9,'Cài đặt'!$B$12)*'Cài đặt'!$B$7,0))</f>
        <v>250000</v>
      </c>
      <c r="W19" s="21">
        <f>IF($B19="","",'Cài đặt'!$B$13+'Nhân viên'!H9*'Cài đặt'!$B$14)</f>
        <v>15500000</v>
      </c>
      <c r="X19" s="21">
        <f t="shared" si="6"/>
        <v>7875000</v>
      </c>
      <c r="Y19" s="21">
        <f>IF($B19="","",ROUND(SUMPRODUCT((X19&gt;'Cài đặt'!$B$18:$B$22)*(X19-'Cài đặt'!$B$18:$B$22)*'Cài đặt'!$E$18:$E$22),0))</f>
        <v>393750</v>
      </c>
      <c r="Z19" s="16"/>
      <c r="AA19" s="16"/>
      <c r="AB19" s="21">
        <f t="shared" si="7"/>
        <v>3018750</v>
      </c>
      <c r="AC19" s="62">
        <f t="shared" si="8"/>
        <v>23711250</v>
      </c>
      <c r="AD19" s="13" t="s">
        <v>176</v>
      </c>
      <c r="AE19" s="63"/>
      <c r="AF19" s="13"/>
      <c r="AG19" s="14"/>
    </row>
    <row r="20" ht="21.75" customHeight="1">
      <c r="A20" s="57">
        <f t="shared" si="1"/>
        <v>6</v>
      </c>
      <c r="B20" s="57" t="str">
        <f>IF('Nhân viên'!A10="","",'Nhân viên'!A10)</f>
        <v>NV006</v>
      </c>
      <c r="C20" s="50" t="str">
        <f>IF($B20="","",'Nhân viên'!B10)</f>
        <v>Vũ Ngọc Hà</v>
      </c>
      <c r="D20" s="50" t="str">
        <f>IF($B20="","",'Nhân viên'!C10)</f>
        <v>Hành chính</v>
      </c>
      <c r="E20" s="50" t="str">
        <f>IF($B20="","",'Nhân viên'!E10)</f>
        <v>VPBank</v>
      </c>
      <c r="F20" s="64" t="str">
        <f>IF(OR($B20="",'Nhân viên'!F10=""),"",'Nhân viên'!F10)</f>
        <v>123456789</v>
      </c>
      <c r="G20" s="26">
        <f>IF($B20="","",'Nhân viên'!I10)</f>
        <v>9500000</v>
      </c>
      <c r="H20" s="65">
        <f t="shared" si="2"/>
        <v>26</v>
      </c>
      <c r="I20" s="66">
        <v>24.0</v>
      </c>
      <c r="J20" s="26">
        <f t="shared" si="3"/>
        <v>8769231</v>
      </c>
      <c r="K20" s="25"/>
      <c r="L20" s="26">
        <f t="shared" si="4"/>
        <v>8769231</v>
      </c>
      <c r="M20" s="25"/>
      <c r="N20" s="25">
        <v>730000.0</v>
      </c>
      <c r="O20" s="25"/>
      <c r="P20" s="25"/>
      <c r="Q20" s="23"/>
      <c r="R20" s="22"/>
      <c r="S20" s="26">
        <f t="shared" si="5"/>
        <v>9499231</v>
      </c>
      <c r="T20" s="26">
        <f>IF($B20="","",ROUND(MIN('Nhân viên'!L10,'Cài đặt'!$B$10)*'Cài đặt'!$B$5,0))</f>
        <v>760000</v>
      </c>
      <c r="U20" s="26">
        <f>IF($B20="","",ROUND(MIN('Nhân viên'!L10,'Cài đặt'!$B$10)*'Cài đặt'!$B$6,0))</f>
        <v>142500</v>
      </c>
      <c r="V20" s="26">
        <f>IF($B20="","",ROUND(MIN('Nhân viên'!L10,'Cài đặt'!$B$12)*'Cài đặt'!$B$7,0))</f>
        <v>95000</v>
      </c>
      <c r="W20" s="26">
        <f>IF($B20="","",'Cài đặt'!$B$13+'Nhân viên'!H10*'Cài đặt'!$B$14)</f>
        <v>15500000</v>
      </c>
      <c r="X20" s="26">
        <f t="shared" si="6"/>
        <v>0</v>
      </c>
      <c r="Y20" s="26">
        <f>IF($B20="","",ROUND(SUMPRODUCT((X20&gt;'Cài đặt'!$B$18:$B$22)*(X20-'Cài đặt'!$B$18:$B$22)*'Cài đặt'!$E$18:$E$22),0))</f>
        <v>0</v>
      </c>
      <c r="Z20" s="25">
        <v>2000000.0</v>
      </c>
      <c r="AA20" s="25"/>
      <c r="AB20" s="26">
        <f t="shared" si="7"/>
        <v>2997500</v>
      </c>
      <c r="AC20" s="62">
        <f t="shared" si="8"/>
        <v>6501731</v>
      </c>
      <c r="AD20" s="22" t="s">
        <v>176</v>
      </c>
      <c r="AE20" s="69"/>
      <c r="AF20" s="22"/>
      <c r="AG20" s="23"/>
    </row>
    <row r="21" ht="21.75" customHeight="1">
      <c r="A21" s="39">
        <f t="shared" si="1"/>
        <v>7</v>
      </c>
      <c r="B21" s="39" t="str">
        <f>IF('Nhân viên'!A11="","",'Nhân viên'!A11)</f>
        <v>NV007</v>
      </c>
      <c r="C21" s="40" t="str">
        <f>IF($B21="","",'Nhân viên'!B11)</f>
        <v>Đặng Quốc Hùng</v>
      </c>
      <c r="D21" s="40" t="str">
        <f>IF($B21="","",'Nhân viên'!C11)</f>
        <v>Kinh doanh</v>
      </c>
      <c r="E21" s="40" t="str">
        <f>IF($B21="","",'Nhân viên'!E11)</f>
        <v>Agribank</v>
      </c>
      <c r="F21" s="42" t="str">
        <f>IF(OR($B21="",'Nhân viên'!F11=""),"",'Nhân viên'!F11)</f>
        <v>5100205123456</v>
      </c>
      <c r="G21" s="21">
        <f>IF($B21="","",'Nhân viên'!I11)</f>
        <v>12000000</v>
      </c>
      <c r="H21" s="43">
        <f t="shared" si="2"/>
        <v>26</v>
      </c>
      <c r="I21" s="44">
        <v>26.0</v>
      </c>
      <c r="J21" s="21">
        <f t="shared" si="3"/>
        <v>12000000</v>
      </c>
      <c r="K21" s="16"/>
      <c r="L21" s="21">
        <f t="shared" si="4"/>
        <v>12000000</v>
      </c>
      <c r="M21" s="16"/>
      <c r="N21" s="16">
        <v>730000.0</v>
      </c>
      <c r="O21" s="16">
        <v>3000000.0</v>
      </c>
      <c r="P21" s="16"/>
      <c r="Q21" s="14" t="s">
        <v>178</v>
      </c>
      <c r="R21" s="13" t="s">
        <v>179</v>
      </c>
      <c r="S21" s="21">
        <f t="shared" si="5"/>
        <v>12730000</v>
      </c>
      <c r="T21" s="21">
        <f>IF($B21="","",ROUND(MIN('Nhân viên'!L11,'Cài đặt'!$B$10)*'Cài đặt'!$B$5,0))</f>
        <v>960000</v>
      </c>
      <c r="U21" s="21">
        <f>IF($B21="","",ROUND(MIN('Nhân viên'!L11,'Cài đặt'!$B$10)*'Cài đặt'!$B$6,0))</f>
        <v>180000</v>
      </c>
      <c r="V21" s="21">
        <f>IF($B21="","",ROUND(MIN('Nhân viên'!L11,'Cài đặt'!$B$12)*'Cài đặt'!$B$7,0))</f>
        <v>120000</v>
      </c>
      <c r="W21" s="21">
        <f>IF($B21="","",'Cài đặt'!$B$13+'Nhân viên'!H11*'Cài đặt'!$B$14)</f>
        <v>27900000</v>
      </c>
      <c r="X21" s="21">
        <f t="shared" si="6"/>
        <v>0</v>
      </c>
      <c r="Y21" s="21">
        <f>IF($B21="","",ROUND(SUMPRODUCT((X21&gt;'Cài đặt'!$B$18:$B$22)*(X21-'Cài đặt'!$B$18:$B$22)*'Cài đặt'!$E$18:$E$22),0))</f>
        <v>0</v>
      </c>
      <c r="Z21" s="16">
        <v>3000000.0</v>
      </c>
      <c r="AA21" s="16"/>
      <c r="AB21" s="21">
        <f t="shared" si="7"/>
        <v>4260000</v>
      </c>
      <c r="AC21" s="62">
        <f t="shared" si="8"/>
        <v>8470000</v>
      </c>
      <c r="AD21" s="13" t="s">
        <v>176</v>
      </c>
      <c r="AE21" s="63"/>
      <c r="AF21" s="13"/>
      <c r="AG21" s="14"/>
    </row>
    <row r="22" ht="21.75" customHeight="1">
      <c r="A22" s="57">
        <f t="shared" si="1"/>
        <v>8</v>
      </c>
      <c r="B22" s="57" t="str">
        <f>IF('Nhân viên'!A12="","",'Nhân viên'!A12)</f>
        <v>NV008</v>
      </c>
      <c r="C22" s="50" t="str">
        <f>IF($B22="","",'Nhân viên'!B12)</f>
        <v>Bùi Thanh Lan</v>
      </c>
      <c r="D22" s="50" t="str">
        <f>IF($B22="","",'Nhân viên'!C12)</f>
        <v>Kế toán</v>
      </c>
      <c r="E22" s="50" t="str">
        <f>IF($B22="","",'Nhân viên'!E12)</f>
        <v>Sacombank</v>
      </c>
      <c r="F22" s="64" t="str">
        <f>IF(OR($B22="",'Nhân viên'!F12=""),"",'Nhân viên'!F12)</f>
        <v>060123456789</v>
      </c>
      <c r="G22" s="26">
        <f>IF($B22="","",'Nhân viên'!I12)</f>
        <v>10000000</v>
      </c>
      <c r="H22" s="65">
        <f t="shared" si="2"/>
        <v>26</v>
      </c>
      <c r="I22" s="66">
        <v>22.0</v>
      </c>
      <c r="J22" s="26">
        <f t="shared" si="3"/>
        <v>8461538</v>
      </c>
      <c r="K22" s="25"/>
      <c r="L22" s="26">
        <f t="shared" si="4"/>
        <v>8461538</v>
      </c>
      <c r="M22" s="25"/>
      <c r="N22" s="25">
        <v>730000.0</v>
      </c>
      <c r="O22" s="25"/>
      <c r="P22" s="25"/>
      <c r="Q22" s="23"/>
      <c r="R22" s="22"/>
      <c r="S22" s="26">
        <f t="shared" si="5"/>
        <v>9191538</v>
      </c>
      <c r="T22" s="26">
        <f>IF($B22="","",ROUND(MIN('Nhân viên'!L12,'Cài đặt'!$B$10)*'Cài đặt'!$B$5,0))</f>
        <v>0</v>
      </c>
      <c r="U22" s="26">
        <f>IF($B22="","",ROUND(MIN('Nhân viên'!L12,'Cài đặt'!$B$10)*'Cài đặt'!$B$6,0))</f>
        <v>0</v>
      </c>
      <c r="V22" s="26">
        <f>IF($B22="","",ROUND(MIN('Nhân viên'!L12,'Cài đặt'!$B$12)*'Cài đặt'!$B$7,0))</f>
        <v>0</v>
      </c>
      <c r="W22" s="26">
        <f>IF($B22="","",'Cài đặt'!$B$13+'Nhân viên'!H12*'Cài đặt'!$B$14)</f>
        <v>15500000</v>
      </c>
      <c r="X22" s="26">
        <f t="shared" si="6"/>
        <v>0</v>
      </c>
      <c r="Y22" s="26">
        <f>IF($B22="","",ROUND(SUMPRODUCT((X22&gt;'Cài đặt'!$B$18:$B$22)*(X22-'Cài đặt'!$B$18:$B$22)*'Cài đặt'!$E$18:$E$22),0))</f>
        <v>0</v>
      </c>
      <c r="Z22" s="25"/>
      <c r="AA22" s="25"/>
      <c r="AB22" s="26">
        <f t="shared" si="7"/>
        <v>0</v>
      </c>
      <c r="AC22" s="62">
        <f t="shared" si="8"/>
        <v>9191538</v>
      </c>
      <c r="AD22" s="22" t="s">
        <v>176</v>
      </c>
      <c r="AE22" s="69"/>
      <c r="AF22" s="22"/>
      <c r="AG22" s="23" t="s">
        <v>180</v>
      </c>
    </row>
    <row r="23" ht="21.75" customHeight="1">
      <c r="A23" s="39" t="str">
        <f t="shared" si="1"/>
        <v/>
      </c>
      <c r="B23" s="39" t="str">
        <f>IF('Nhân viên'!A13="","",'Nhân viên'!A13)</f>
        <v/>
      </c>
      <c r="C23" s="40" t="str">
        <f>IF($B23="","",'Nhân viên'!B13)</f>
        <v/>
      </c>
      <c r="D23" s="40" t="str">
        <f>IF($B23="","",'Nhân viên'!C13)</f>
        <v/>
      </c>
      <c r="E23" s="40" t="str">
        <f>IF($B23="","",'Nhân viên'!E13)</f>
        <v/>
      </c>
      <c r="F23" s="42" t="str">
        <f>IF(OR($B23="",'Nhân viên'!F13=""),"",'Nhân viên'!F13)</f>
        <v/>
      </c>
      <c r="G23" s="21" t="str">
        <f>IF($B23="","",'Nhân viên'!I13)</f>
        <v/>
      </c>
      <c r="H23" s="43" t="str">
        <f t="shared" si="2"/>
        <v/>
      </c>
      <c r="I23" s="44"/>
      <c r="J23" s="21" t="str">
        <f t="shared" si="3"/>
        <v/>
      </c>
      <c r="K23" s="16"/>
      <c r="L23" s="21" t="str">
        <f t="shared" si="4"/>
        <v/>
      </c>
      <c r="M23" s="16"/>
      <c r="N23" s="16"/>
      <c r="O23" s="16"/>
      <c r="P23" s="16"/>
      <c r="Q23" s="14"/>
      <c r="R23" s="13"/>
      <c r="S23" s="21" t="str">
        <f t="shared" si="5"/>
        <v/>
      </c>
      <c r="T23" s="21" t="str">
        <f>IF($B23="","",ROUND(MIN('Nhân viên'!L13,'Cài đặt'!$B$10)*'Cài đặt'!$B$5,0))</f>
        <v/>
      </c>
      <c r="U23" s="21" t="str">
        <f>IF($B23="","",ROUND(MIN('Nhân viên'!L13,'Cài đặt'!$B$10)*'Cài đặt'!$B$6,0))</f>
        <v/>
      </c>
      <c r="V23" s="21" t="str">
        <f>IF($B23="","",ROUND(MIN('Nhân viên'!L13,'Cài đặt'!$B$12)*'Cài đặt'!$B$7,0))</f>
        <v/>
      </c>
      <c r="W23" s="21" t="str">
        <f>IF($B23="","",'Cài đặt'!$B$13+'Nhân viên'!H13*'Cài đặt'!$B$14)</f>
        <v/>
      </c>
      <c r="X23" s="21" t="str">
        <f t="shared" si="6"/>
        <v/>
      </c>
      <c r="Y23" s="21" t="str">
        <f>IF($B23="","",ROUND(SUMPRODUCT((X23&gt;'Cài đặt'!$B$18:$B$22)*(X23-'Cài đặt'!$B$18:$B$22)*'Cài đặt'!$E$18:$E$22),0))</f>
        <v/>
      </c>
      <c r="Z23" s="16"/>
      <c r="AA23" s="16"/>
      <c r="AB23" s="21" t="str">
        <f t="shared" si="7"/>
        <v/>
      </c>
      <c r="AC23" s="62" t="str">
        <f t="shared" si="8"/>
        <v/>
      </c>
      <c r="AD23" s="13"/>
      <c r="AE23" s="63"/>
      <c r="AF23" s="13"/>
      <c r="AG23" s="14"/>
    </row>
    <row r="24" ht="21.75" customHeight="1">
      <c r="A24" s="57" t="str">
        <f t="shared" si="1"/>
        <v/>
      </c>
      <c r="B24" s="57" t="str">
        <f>IF('Nhân viên'!A14="","",'Nhân viên'!A14)</f>
        <v/>
      </c>
      <c r="C24" s="50" t="str">
        <f>IF($B24="","",'Nhân viên'!B14)</f>
        <v/>
      </c>
      <c r="D24" s="50" t="str">
        <f>IF($B24="","",'Nhân viên'!C14)</f>
        <v/>
      </c>
      <c r="E24" s="50" t="str">
        <f>IF($B24="","",'Nhân viên'!E14)</f>
        <v/>
      </c>
      <c r="F24" s="64" t="str">
        <f>IF(OR($B24="",'Nhân viên'!F14=""),"",'Nhân viên'!F14)</f>
        <v/>
      </c>
      <c r="G24" s="26" t="str">
        <f>IF($B24="","",'Nhân viên'!I14)</f>
        <v/>
      </c>
      <c r="H24" s="65" t="str">
        <f t="shared" si="2"/>
        <v/>
      </c>
      <c r="I24" s="66"/>
      <c r="J24" s="26" t="str">
        <f t="shared" si="3"/>
        <v/>
      </c>
      <c r="K24" s="25"/>
      <c r="L24" s="26" t="str">
        <f t="shared" si="4"/>
        <v/>
      </c>
      <c r="M24" s="25"/>
      <c r="N24" s="25"/>
      <c r="O24" s="25"/>
      <c r="P24" s="25"/>
      <c r="Q24" s="23"/>
      <c r="R24" s="22"/>
      <c r="S24" s="26" t="str">
        <f t="shared" si="5"/>
        <v/>
      </c>
      <c r="T24" s="26" t="str">
        <f>IF($B24="","",ROUND(MIN('Nhân viên'!L14,'Cài đặt'!$B$10)*'Cài đặt'!$B$5,0))</f>
        <v/>
      </c>
      <c r="U24" s="26" t="str">
        <f>IF($B24="","",ROUND(MIN('Nhân viên'!L14,'Cài đặt'!$B$10)*'Cài đặt'!$B$6,0))</f>
        <v/>
      </c>
      <c r="V24" s="26" t="str">
        <f>IF($B24="","",ROUND(MIN('Nhân viên'!L14,'Cài đặt'!$B$12)*'Cài đặt'!$B$7,0))</f>
        <v/>
      </c>
      <c r="W24" s="26" t="str">
        <f>IF($B24="","",'Cài đặt'!$B$13+'Nhân viên'!H14*'Cài đặt'!$B$14)</f>
        <v/>
      </c>
      <c r="X24" s="26" t="str">
        <f t="shared" si="6"/>
        <v/>
      </c>
      <c r="Y24" s="26" t="str">
        <f>IF($B24="","",ROUND(SUMPRODUCT((X24&gt;'Cài đặt'!$B$18:$B$22)*(X24-'Cài đặt'!$B$18:$B$22)*'Cài đặt'!$E$18:$E$22),0))</f>
        <v/>
      </c>
      <c r="Z24" s="25"/>
      <c r="AA24" s="25"/>
      <c r="AB24" s="26" t="str">
        <f t="shared" si="7"/>
        <v/>
      </c>
      <c r="AC24" s="62" t="str">
        <f t="shared" si="8"/>
        <v/>
      </c>
      <c r="AD24" s="22"/>
      <c r="AE24" s="69"/>
      <c r="AF24" s="22"/>
      <c r="AG24" s="23"/>
    </row>
    <row r="25" ht="21.75" customHeight="1">
      <c r="A25" s="39" t="str">
        <f t="shared" si="1"/>
        <v/>
      </c>
      <c r="B25" s="39" t="str">
        <f>IF('Nhân viên'!A15="","",'Nhân viên'!A15)</f>
        <v/>
      </c>
      <c r="C25" s="40" t="str">
        <f>IF($B25="","",'Nhân viên'!B15)</f>
        <v/>
      </c>
      <c r="D25" s="40" t="str">
        <f>IF($B25="","",'Nhân viên'!C15)</f>
        <v/>
      </c>
      <c r="E25" s="40" t="str">
        <f>IF($B25="","",'Nhân viên'!E15)</f>
        <v/>
      </c>
      <c r="F25" s="42" t="str">
        <f>IF(OR($B25="",'Nhân viên'!F15=""),"",'Nhân viên'!F15)</f>
        <v/>
      </c>
      <c r="G25" s="21" t="str">
        <f>IF($B25="","",'Nhân viên'!I15)</f>
        <v/>
      </c>
      <c r="H25" s="43" t="str">
        <f t="shared" si="2"/>
        <v/>
      </c>
      <c r="I25" s="44"/>
      <c r="J25" s="21" t="str">
        <f t="shared" si="3"/>
        <v/>
      </c>
      <c r="K25" s="16"/>
      <c r="L25" s="21" t="str">
        <f t="shared" si="4"/>
        <v/>
      </c>
      <c r="M25" s="16"/>
      <c r="N25" s="16"/>
      <c r="O25" s="16"/>
      <c r="P25" s="16"/>
      <c r="Q25" s="14"/>
      <c r="R25" s="13"/>
      <c r="S25" s="21" t="str">
        <f t="shared" si="5"/>
        <v/>
      </c>
      <c r="T25" s="21" t="str">
        <f>IF($B25="","",ROUND(MIN('Nhân viên'!L15,'Cài đặt'!$B$10)*'Cài đặt'!$B$5,0))</f>
        <v/>
      </c>
      <c r="U25" s="21" t="str">
        <f>IF($B25="","",ROUND(MIN('Nhân viên'!L15,'Cài đặt'!$B$10)*'Cài đặt'!$B$6,0))</f>
        <v/>
      </c>
      <c r="V25" s="21" t="str">
        <f>IF($B25="","",ROUND(MIN('Nhân viên'!L15,'Cài đặt'!$B$12)*'Cài đặt'!$B$7,0))</f>
        <v/>
      </c>
      <c r="W25" s="21" t="str">
        <f>IF($B25="","",'Cài đặt'!$B$13+'Nhân viên'!H15*'Cài đặt'!$B$14)</f>
        <v/>
      </c>
      <c r="X25" s="21" t="str">
        <f t="shared" si="6"/>
        <v/>
      </c>
      <c r="Y25" s="21" t="str">
        <f>IF($B25="","",ROUND(SUMPRODUCT((X25&gt;'Cài đặt'!$B$18:$B$22)*(X25-'Cài đặt'!$B$18:$B$22)*'Cài đặt'!$E$18:$E$22),0))</f>
        <v/>
      </c>
      <c r="Z25" s="16"/>
      <c r="AA25" s="16"/>
      <c r="AB25" s="21" t="str">
        <f t="shared" si="7"/>
        <v/>
      </c>
      <c r="AC25" s="62" t="str">
        <f t="shared" si="8"/>
        <v/>
      </c>
      <c r="AD25" s="13"/>
      <c r="AE25" s="63"/>
      <c r="AF25" s="13"/>
      <c r="AG25" s="14"/>
    </row>
    <row r="26" ht="21.75" customHeight="1">
      <c r="A26" s="57" t="str">
        <f t="shared" si="1"/>
        <v/>
      </c>
      <c r="B26" s="57" t="str">
        <f>IF('Nhân viên'!A16="","",'Nhân viên'!A16)</f>
        <v/>
      </c>
      <c r="C26" s="50" t="str">
        <f>IF($B26="","",'Nhân viên'!B16)</f>
        <v/>
      </c>
      <c r="D26" s="50" t="str">
        <f>IF($B26="","",'Nhân viên'!C16)</f>
        <v/>
      </c>
      <c r="E26" s="50" t="str">
        <f>IF($B26="","",'Nhân viên'!E16)</f>
        <v/>
      </c>
      <c r="F26" s="64" t="str">
        <f>IF(OR($B26="",'Nhân viên'!F16=""),"",'Nhân viên'!F16)</f>
        <v/>
      </c>
      <c r="G26" s="26" t="str">
        <f>IF($B26="","",'Nhân viên'!I16)</f>
        <v/>
      </c>
      <c r="H26" s="65" t="str">
        <f t="shared" si="2"/>
        <v/>
      </c>
      <c r="I26" s="66"/>
      <c r="J26" s="26" t="str">
        <f t="shared" si="3"/>
        <v/>
      </c>
      <c r="K26" s="25"/>
      <c r="L26" s="26" t="str">
        <f t="shared" si="4"/>
        <v/>
      </c>
      <c r="M26" s="25"/>
      <c r="N26" s="25"/>
      <c r="O26" s="25"/>
      <c r="P26" s="25"/>
      <c r="Q26" s="23"/>
      <c r="R26" s="22"/>
      <c r="S26" s="26" t="str">
        <f t="shared" si="5"/>
        <v/>
      </c>
      <c r="T26" s="26" t="str">
        <f>IF($B26="","",ROUND(MIN('Nhân viên'!L16,'Cài đặt'!$B$10)*'Cài đặt'!$B$5,0))</f>
        <v/>
      </c>
      <c r="U26" s="26" t="str">
        <f>IF($B26="","",ROUND(MIN('Nhân viên'!L16,'Cài đặt'!$B$10)*'Cài đặt'!$B$6,0))</f>
        <v/>
      </c>
      <c r="V26" s="26" t="str">
        <f>IF($B26="","",ROUND(MIN('Nhân viên'!L16,'Cài đặt'!$B$12)*'Cài đặt'!$B$7,0))</f>
        <v/>
      </c>
      <c r="W26" s="26" t="str">
        <f>IF($B26="","",'Cài đặt'!$B$13+'Nhân viên'!H16*'Cài đặt'!$B$14)</f>
        <v/>
      </c>
      <c r="X26" s="26" t="str">
        <f t="shared" si="6"/>
        <v/>
      </c>
      <c r="Y26" s="26" t="str">
        <f>IF($B26="","",ROUND(SUMPRODUCT((X26&gt;'Cài đặt'!$B$18:$B$22)*(X26-'Cài đặt'!$B$18:$B$22)*'Cài đặt'!$E$18:$E$22),0))</f>
        <v/>
      </c>
      <c r="Z26" s="25"/>
      <c r="AA26" s="25"/>
      <c r="AB26" s="26" t="str">
        <f t="shared" si="7"/>
        <v/>
      </c>
      <c r="AC26" s="62" t="str">
        <f t="shared" si="8"/>
        <v/>
      </c>
      <c r="AD26" s="22"/>
      <c r="AE26" s="69"/>
      <c r="AF26" s="22"/>
      <c r="AG26" s="23"/>
    </row>
    <row r="27" ht="21.75" customHeight="1">
      <c r="A27" s="39" t="str">
        <f t="shared" si="1"/>
        <v/>
      </c>
      <c r="B27" s="39" t="str">
        <f>IF('Nhân viên'!A17="","",'Nhân viên'!A17)</f>
        <v/>
      </c>
      <c r="C27" s="40" t="str">
        <f>IF($B27="","",'Nhân viên'!B17)</f>
        <v/>
      </c>
      <c r="D27" s="40" t="str">
        <f>IF($B27="","",'Nhân viên'!C17)</f>
        <v/>
      </c>
      <c r="E27" s="40" t="str">
        <f>IF($B27="","",'Nhân viên'!E17)</f>
        <v/>
      </c>
      <c r="F27" s="42" t="str">
        <f>IF(OR($B27="",'Nhân viên'!F17=""),"",'Nhân viên'!F17)</f>
        <v/>
      </c>
      <c r="G27" s="21" t="str">
        <f>IF($B27="","",'Nhân viên'!I17)</f>
        <v/>
      </c>
      <c r="H27" s="43" t="str">
        <f t="shared" si="2"/>
        <v/>
      </c>
      <c r="I27" s="44"/>
      <c r="J27" s="21" t="str">
        <f t="shared" si="3"/>
        <v/>
      </c>
      <c r="K27" s="16"/>
      <c r="L27" s="21" t="str">
        <f t="shared" si="4"/>
        <v/>
      </c>
      <c r="M27" s="16"/>
      <c r="N27" s="16"/>
      <c r="O27" s="16"/>
      <c r="P27" s="16"/>
      <c r="Q27" s="14"/>
      <c r="R27" s="13"/>
      <c r="S27" s="21" t="str">
        <f t="shared" si="5"/>
        <v/>
      </c>
      <c r="T27" s="21" t="str">
        <f>IF($B27="","",ROUND(MIN('Nhân viên'!L17,'Cài đặt'!$B$10)*'Cài đặt'!$B$5,0))</f>
        <v/>
      </c>
      <c r="U27" s="21" t="str">
        <f>IF($B27="","",ROUND(MIN('Nhân viên'!L17,'Cài đặt'!$B$10)*'Cài đặt'!$B$6,0))</f>
        <v/>
      </c>
      <c r="V27" s="21" t="str">
        <f>IF($B27="","",ROUND(MIN('Nhân viên'!L17,'Cài đặt'!$B$12)*'Cài đặt'!$B$7,0))</f>
        <v/>
      </c>
      <c r="W27" s="21" t="str">
        <f>IF($B27="","",'Cài đặt'!$B$13+'Nhân viên'!H17*'Cài đặt'!$B$14)</f>
        <v/>
      </c>
      <c r="X27" s="21" t="str">
        <f t="shared" si="6"/>
        <v/>
      </c>
      <c r="Y27" s="21" t="str">
        <f>IF($B27="","",ROUND(SUMPRODUCT((X27&gt;'Cài đặt'!$B$18:$B$22)*(X27-'Cài đặt'!$B$18:$B$22)*'Cài đặt'!$E$18:$E$22),0))</f>
        <v/>
      </c>
      <c r="Z27" s="16"/>
      <c r="AA27" s="16"/>
      <c r="AB27" s="21" t="str">
        <f t="shared" si="7"/>
        <v/>
      </c>
      <c r="AC27" s="62" t="str">
        <f t="shared" si="8"/>
        <v/>
      </c>
      <c r="AD27" s="13"/>
      <c r="AE27" s="63"/>
      <c r="AF27" s="13"/>
      <c r="AG27" s="14"/>
    </row>
    <row r="28" ht="21.75" customHeight="1">
      <c r="A28" s="57" t="str">
        <f t="shared" si="1"/>
        <v/>
      </c>
      <c r="B28" s="57" t="str">
        <f>IF('Nhân viên'!A18="","",'Nhân viên'!A18)</f>
        <v/>
      </c>
      <c r="C28" s="50" t="str">
        <f>IF($B28="","",'Nhân viên'!B18)</f>
        <v/>
      </c>
      <c r="D28" s="50" t="str">
        <f>IF($B28="","",'Nhân viên'!C18)</f>
        <v/>
      </c>
      <c r="E28" s="50" t="str">
        <f>IF($B28="","",'Nhân viên'!E18)</f>
        <v/>
      </c>
      <c r="F28" s="64" t="str">
        <f>IF(OR($B28="",'Nhân viên'!F18=""),"",'Nhân viên'!F18)</f>
        <v/>
      </c>
      <c r="G28" s="26" t="str">
        <f>IF($B28="","",'Nhân viên'!I18)</f>
        <v/>
      </c>
      <c r="H28" s="65" t="str">
        <f t="shared" si="2"/>
        <v/>
      </c>
      <c r="I28" s="66"/>
      <c r="J28" s="26" t="str">
        <f t="shared" si="3"/>
        <v/>
      </c>
      <c r="K28" s="25"/>
      <c r="L28" s="26" t="str">
        <f t="shared" si="4"/>
        <v/>
      </c>
      <c r="M28" s="25"/>
      <c r="N28" s="25"/>
      <c r="O28" s="25"/>
      <c r="P28" s="25"/>
      <c r="Q28" s="23"/>
      <c r="R28" s="22"/>
      <c r="S28" s="26" t="str">
        <f t="shared" si="5"/>
        <v/>
      </c>
      <c r="T28" s="26" t="str">
        <f>IF($B28="","",ROUND(MIN('Nhân viên'!L18,'Cài đặt'!$B$10)*'Cài đặt'!$B$5,0))</f>
        <v/>
      </c>
      <c r="U28" s="26" t="str">
        <f>IF($B28="","",ROUND(MIN('Nhân viên'!L18,'Cài đặt'!$B$10)*'Cài đặt'!$B$6,0))</f>
        <v/>
      </c>
      <c r="V28" s="26" t="str">
        <f>IF($B28="","",ROUND(MIN('Nhân viên'!L18,'Cài đặt'!$B$12)*'Cài đặt'!$B$7,0))</f>
        <v/>
      </c>
      <c r="W28" s="26" t="str">
        <f>IF($B28="","",'Cài đặt'!$B$13+'Nhân viên'!H18*'Cài đặt'!$B$14)</f>
        <v/>
      </c>
      <c r="X28" s="26" t="str">
        <f t="shared" si="6"/>
        <v/>
      </c>
      <c r="Y28" s="26" t="str">
        <f>IF($B28="","",ROUND(SUMPRODUCT((X28&gt;'Cài đặt'!$B$18:$B$22)*(X28-'Cài đặt'!$B$18:$B$22)*'Cài đặt'!$E$18:$E$22),0))</f>
        <v/>
      </c>
      <c r="Z28" s="25"/>
      <c r="AA28" s="25"/>
      <c r="AB28" s="26" t="str">
        <f t="shared" si="7"/>
        <v/>
      </c>
      <c r="AC28" s="62" t="str">
        <f t="shared" si="8"/>
        <v/>
      </c>
      <c r="AD28" s="22"/>
      <c r="AE28" s="69"/>
      <c r="AF28" s="22"/>
      <c r="AG28" s="23"/>
    </row>
    <row r="29" ht="21.75" customHeight="1">
      <c r="A29" s="39" t="str">
        <f t="shared" si="1"/>
        <v/>
      </c>
      <c r="B29" s="39" t="str">
        <f>IF('Nhân viên'!A19="","",'Nhân viên'!A19)</f>
        <v/>
      </c>
      <c r="C29" s="40" t="str">
        <f>IF($B29="","",'Nhân viên'!B19)</f>
        <v/>
      </c>
      <c r="D29" s="40" t="str">
        <f>IF($B29="","",'Nhân viên'!C19)</f>
        <v/>
      </c>
      <c r="E29" s="40" t="str">
        <f>IF($B29="","",'Nhân viên'!E19)</f>
        <v/>
      </c>
      <c r="F29" s="42" t="str">
        <f>IF(OR($B29="",'Nhân viên'!F19=""),"",'Nhân viên'!F19)</f>
        <v/>
      </c>
      <c r="G29" s="21" t="str">
        <f>IF($B29="","",'Nhân viên'!I19)</f>
        <v/>
      </c>
      <c r="H29" s="43" t="str">
        <f t="shared" si="2"/>
        <v/>
      </c>
      <c r="I29" s="44"/>
      <c r="J29" s="21" t="str">
        <f t="shared" si="3"/>
        <v/>
      </c>
      <c r="K29" s="16"/>
      <c r="L29" s="21" t="str">
        <f t="shared" si="4"/>
        <v/>
      </c>
      <c r="M29" s="16"/>
      <c r="N29" s="16"/>
      <c r="O29" s="16"/>
      <c r="P29" s="16"/>
      <c r="Q29" s="14"/>
      <c r="R29" s="13"/>
      <c r="S29" s="21" t="str">
        <f t="shared" si="5"/>
        <v/>
      </c>
      <c r="T29" s="21" t="str">
        <f>IF($B29="","",ROUND(MIN('Nhân viên'!L19,'Cài đặt'!$B$10)*'Cài đặt'!$B$5,0))</f>
        <v/>
      </c>
      <c r="U29" s="21" t="str">
        <f>IF($B29="","",ROUND(MIN('Nhân viên'!L19,'Cài đặt'!$B$10)*'Cài đặt'!$B$6,0))</f>
        <v/>
      </c>
      <c r="V29" s="21" t="str">
        <f>IF($B29="","",ROUND(MIN('Nhân viên'!L19,'Cài đặt'!$B$12)*'Cài đặt'!$B$7,0))</f>
        <v/>
      </c>
      <c r="W29" s="21" t="str">
        <f>IF($B29="","",'Cài đặt'!$B$13+'Nhân viên'!H19*'Cài đặt'!$B$14)</f>
        <v/>
      </c>
      <c r="X29" s="21" t="str">
        <f t="shared" si="6"/>
        <v/>
      </c>
      <c r="Y29" s="21" t="str">
        <f>IF($B29="","",ROUND(SUMPRODUCT((X29&gt;'Cài đặt'!$B$18:$B$22)*(X29-'Cài đặt'!$B$18:$B$22)*'Cài đặt'!$E$18:$E$22),0))</f>
        <v/>
      </c>
      <c r="Z29" s="16"/>
      <c r="AA29" s="16"/>
      <c r="AB29" s="21" t="str">
        <f t="shared" si="7"/>
        <v/>
      </c>
      <c r="AC29" s="62" t="str">
        <f t="shared" si="8"/>
        <v/>
      </c>
      <c r="AD29" s="13"/>
      <c r="AE29" s="63"/>
      <c r="AF29" s="13"/>
      <c r="AG29" s="14"/>
    </row>
    <row r="30" ht="21.75" customHeight="1">
      <c r="A30" s="57" t="str">
        <f t="shared" si="1"/>
        <v/>
      </c>
      <c r="B30" s="57" t="str">
        <f>IF('Nhân viên'!A20="","",'Nhân viên'!A20)</f>
        <v/>
      </c>
      <c r="C30" s="50" t="str">
        <f>IF($B30="","",'Nhân viên'!B20)</f>
        <v/>
      </c>
      <c r="D30" s="50" t="str">
        <f>IF($B30="","",'Nhân viên'!C20)</f>
        <v/>
      </c>
      <c r="E30" s="50" t="str">
        <f>IF($B30="","",'Nhân viên'!E20)</f>
        <v/>
      </c>
      <c r="F30" s="64" t="str">
        <f>IF(OR($B30="",'Nhân viên'!F20=""),"",'Nhân viên'!F20)</f>
        <v/>
      </c>
      <c r="G30" s="26" t="str">
        <f>IF($B30="","",'Nhân viên'!I20)</f>
        <v/>
      </c>
      <c r="H30" s="65" t="str">
        <f t="shared" si="2"/>
        <v/>
      </c>
      <c r="I30" s="66"/>
      <c r="J30" s="26" t="str">
        <f t="shared" si="3"/>
        <v/>
      </c>
      <c r="K30" s="25"/>
      <c r="L30" s="26" t="str">
        <f t="shared" si="4"/>
        <v/>
      </c>
      <c r="M30" s="25"/>
      <c r="N30" s="25"/>
      <c r="O30" s="25"/>
      <c r="P30" s="25"/>
      <c r="Q30" s="23"/>
      <c r="R30" s="22"/>
      <c r="S30" s="26" t="str">
        <f t="shared" si="5"/>
        <v/>
      </c>
      <c r="T30" s="26" t="str">
        <f>IF($B30="","",ROUND(MIN('Nhân viên'!L20,'Cài đặt'!$B$10)*'Cài đặt'!$B$5,0))</f>
        <v/>
      </c>
      <c r="U30" s="26" t="str">
        <f>IF($B30="","",ROUND(MIN('Nhân viên'!L20,'Cài đặt'!$B$10)*'Cài đặt'!$B$6,0))</f>
        <v/>
      </c>
      <c r="V30" s="26" t="str">
        <f>IF($B30="","",ROUND(MIN('Nhân viên'!L20,'Cài đặt'!$B$12)*'Cài đặt'!$B$7,0))</f>
        <v/>
      </c>
      <c r="W30" s="26" t="str">
        <f>IF($B30="","",'Cài đặt'!$B$13+'Nhân viên'!H20*'Cài đặt'!$B$14)</f>
        <v/>
      </c>
      <c r="X30" s="26" t="str">
        <f t="shared" si="6"/>
        <v/>
      </c>
      <c r="Y30" s="26" t="str">
        <f>IF($B30="","",ROUND(SUMPRODUCT((X30&gt;'Cài đặt'!$B$18:$B$22)*(X30-'Cài đặt'!$B$18:$B$22)*'Cài đặt'!$E$18:$E$22),0))</f>
        <v/>
      </c>
      <c r="Z30" s="25"/>
      <c r="AA30" s="25"/>
      <c r="AB30" s="26" t="str">
        <f t="shared" si="7"/>
        <v/>
      </c>
      <c r="AC30" s="62" t="str">
        <f t="shared" si="8"/>
        <v/>
      </c>
      <c r="AD30" s="22"/>
      <c r="AE30" s="69"/>
      <c r="AF30" s="22"/>
      <c r="AG30" s="23"/>
    </row>
    <row r="31" ht="21.75" customHeight="1">
      <c r="A31" s="39" t="str">
        <f t="shared" si="1"/>
        <v/>
      </c>
      <c r="B31" s="39" t="str">
        <f>IF('Nhân viên'!A21="","",'Nhân viên'!A21)</f>
        <v/>
      </c>
      <c r="C31" s="40" t="str">
        <f>IF($B31="","",'Nhân viên'!B21)</f>
        <v/>
      </c>
      <c r="D31" s="40" t="str">
        <f>IF($B31="","",'Nhân viên'!C21)</f>
        <v/>
      </c>
      <c r="E31" s="40" t="str">
        <f>IF($B31="","",'Nhân viên'!E21)</f>
        <v/>
      </c>
      <c r="F31" s="42" t="str">
        <f>IF(OR($B31="",'Nhân viên'!F21=""),"",'Nhân viên'!F21)</f>
        <v/>
      </c>
      <c r="G31" s="21" t="str">
        <f>IF($B31="","",'Nhân viên'!I21)</f>
        <v/>
      </c>
      <c r="H31" s="43" t="str">
        <f t="shared" si="2"/>
        <v/>
      </c>
      <c r="I31" s="44"/>
      <c r="J31" s="21" t="str">
        <f t="shared" si="3"/>
        <v/>
      </c>
      <c r="K31" s="16"/>
      <c r="L31" s="21" t="str">
        <f t="shared" si="4"/>
        <v/>
      </c>
      <c r="M31" s="16"/>
      <c r="N31" s="16"/>
      <c r="O31" s="16"/>
      <c r="P31" s="16"/>
      <c r="Q31" s="14"/>
      <c r="R31" s="13"/>
      <c r="S31" s="21" t="str">
        <f t="shared" si="5"/>
        <v/>
      </c>
      <c r="T31" s="21" t="str">
        <f>IF($B31="","",ROUND(MIN('Nhân viên'!L21,'Cài đặt'!$B$10)*'Cài đặt'!$B$5,0))</f>
        <v/>
      </c>
      <c r="U31" s="21" t="str">
        <f>IF($B31="","",ROUND(MIN('Nhân viên'!L21,'Cài đặt'!$B$10)*'Cài đặt'!$B$6,0))</f>
        <v/>
      </c>
      <c r="V31" s="21" t="str">
        <f>IF($B31="","",ROUND(MIN('Nhân viên'!L21,'Cài đặt'!$B$12)*'Cài đặt'!$B$7,0))</f>
        <v/>
      </c>
      <c r="W31" s="21" t="str">
        <f>IF($B31="","",'Cài đặt'!$B$13+'Nhân viên'!H21*'Cài đặt'!$B$14)</f>
        <v/>
      </c>
      <c r="X31" s="21" t="str">
        <f t="shared" si="6"/>
        <v/>
      </c>
      <c r="Y31" s="21" t="str">
        <f>IF($B31="","",ROUND(SUMPRODUCT((X31&gt;'Cài đặt'!$B$18:$B$22)*(X31-'Cài đặt'!$B$18:$B$22)*'Cài đặt'!$E$18:$E$22),0))</f>
        <v/>
      </c>
      <c r="Z31" s="16"/>
      <c r="AA31" s="16"/>
      <c r="AB31" s="21" t="str">
        <f t="shared" si="7"/>
        <v/>
      </c>
      <c r="AC31" s="62" t="str">
        <f t="shared" si="8"/>
        <v/>
      </c>
      <c r="AD31" s="13"/>
      <c r="AE31" s="63"/>
      <c r="AF31" s="13"/>
      <c r="AG31" s="14"/>
    </row>
    <row r="32" ht="21.75" customHeight="1">
      <c r="A32" s="57" t="str">
        <f t="shared" si="1"/>
        <v/>
      </c>
      <c r="B32" s="57" t="str">
        <f>IF('Nhân viên'!A22="","",'Nhân viên'!A22)</f>
        <v/>
      </c>
      <c r="C32" s="50" t="str">
        <f>IF($B32="","",'Nhân viên'!B22)</f>
        <v/>
      </c>
      <c r="D32" s="50" t="str">
        <f>IF($B32="","",'Nhân viên'!C22)</f>
        <v/>
      </c>
      <c r="E32" s="50" t="str">
        <f>IF($B32="","",'Nhân viên'!E22)</f>
        <v/>
      </c>
      <c r="F32" s="64" t="str">
        <f>IF(OR($B32="",'Nhân viên'!F22=""),"",'Nhân viên'!F22)</f>
        <v/>
      </c>
      <c r="G32" s="26" t="str">
        <f>IF($B32="","",'Nhân viên'!I22)</f>
        <v/>
      </c>
      <c r="H32" s="65" t="str">
        <f t="shared" si="2"/>
        <v/>
      </c>
      <c r="I32" s="66"/>
      <c r="J32" s="26" t="str">
        <f t="shared" si="3"/>
        <v/>
      </c>
      <c r="K32" s="25"/>
      <c r="L32" s="26" t="str">
        <f t="shared" si="4"/>
        <v/>
      </c>
      <c r="M32" s="25"/>
      <c r="N32" s="25"/>
      <c r="O32" s="25"/>
      <c r="P32" s="25"/>
      <c r="Q32" s="23"/>
      <c r="R32" s="22"/>
      <c r="S32" s="26" t="str">
        <f t="shared" si="5"/>
        <v/>
      </c>
      <c r="T32" s="26" t="str">
        <f>IF($B32="","",ROUND(MIN('Nhân viên'!L22,'Cài đặt'!$B$10)*'Cài đặt'!$B$5,0))</f>
        <v/>
      </c>
      <c r="U32" s="26" t="str">
        <f>IF($B32="","",ROUND(MIN('Nhân viên'!L22,'Cài đặt'!$B$10)*'Cài đặt'!$B$6,0))</f>
        <v/>
      </c>
      <c r="V32" s="26" t="str">
        <f>IF($B32="","",ROUND(MIN('Nhân viên'!L22,'Cài đặt'!$B$12)*'Cài đặt'!$B$7,0))</f>
        <v/>
      </c>
      <c r="W32" s="26" t="str">
        <f>IF($B32="","",'Cài đặt'!$B$13+'Nhân viên'!H22*'Cài đặt'!$B$14)</f>
        <v/>
      </c>
      <c r="X32" s="26" t="str">
        <f t="shared" si="6"/>
        <v/>
      </c>
      <c r="Y32" s="26" t="str">
        <f>IF($B32="","",ROUND(SUMPRODUCT((X32&gt;'Cài đặt'!$B$18:$B$22)*(X32-'Cài đặt'!$B$18:$B$22)*'Cài đặt'!$E$18:$E$22),0))</f>
        <v/>
      </c>
      <c r="Z32" s="25"/>
      <c r="AA32" s="25"/>
      <c r="AB32" s="26" t="str">
        <f t="shared" si="7"/>
        <v/>
      </c>
      <c r="AC32" s="62" t="str">
        <f t="shared" si="8"/>
        <v/>
      </c>
      <c r="AD32" s="22"/>
      <c r="AE32" s="69"/>
      <c r="AF32" s="22"/>
      <c r="AG32" s="23"/>
    </row>
    <row r="33" ht="21.75" customHeight="1">
      <c r="A33" s="39" t="str">
        <f t="shared" si="1"/>
        <v/>
      </c>
      <c r="B33" s="39" t="str">
        <f>IF('Nhân viên'!A23="","",'Nhân viên'!A23)</f>
        <v/>
      </c>
      <c r="C33" s="40" t="str">
        <f>IF($B33="","",'Nhân viên'!B23)</f>
        <v/>
      </c>
      <c r="D33" s="40" t="str">
        <f>IF($B33="","",'Nhân viên'!C23)</f>
        <v/>
      </c>
      <c r="E33" s="40" t="str">
        <f>IF($B33="","",'Nhân viên'!E23)</f>
        <v/>
      </c>
      <c r="F33" s="42" t="str">
        <f>IF(OR($B33="",'Nhân viên'!F23=""),"",'Nhân viên'!F23)</f>
        <v/>
      </c>
      <c r="G33" s="21" t="str">
        <f>IF($B33="","",'Nhân viên'!I23)</f>
        <v/>
      </c>
      <c r="H33" s="43" t="str">
        <f t="shared" si="2"/>
        <v/>
      </c>
      <c r="I33" s="44"/>
      <c r="J33" s="21" t="str">
        <f t="shared" si="3"/>
        <v/>
      </c>
      <c r="K33" s="16"/>
      <c r="L33" s="21" t="str">
        <f t="shared" si="4"/>
        <v/>
      </c>
      <c r="M33" s="16"/>
      <c r="N33" s="16"/>
      <c r="O33" s="16"/>
      <c r="P33" s="16"/>
      <c r="Q33" s="14"/>
      <c r="R33" s="13"/>
      <c r="S33" s="21" t="str">
        <f t="shared" si="5"/>
        <v/>
      </c>
      <c r="T33" s="21" t="str">
        <f>IF($B33="","",ROUND(MIN('Nhân viên'!L23,'Cài đặt'!$B$10)*'Cài đặt'!$B$5,0))</f>
        <v/>
      </c>
      <c r="U33" s="21" t="str">
        <f>IF($B33="","",ROUND(MIN('Nhân viên'!L23,'Cài đặt'!$B$10)*'Cài đặt'!$B$6,0))</f>
        <v/>
      </c>
      <c r="V33" s="21" t="str">
        <f>IF($B33="","",ROUND(MIN('Nhân viên'!L23,'Cài đặt'!$B$12)*'Cài đặt'!$B$7,0))</f>
        <v/>
      </c>
      <c r="W33" s="21" t="str">
        <f>IF($B33="","",'Cài đặt'!$B$13+'Nhân viên'!H23*'Cài đặt'!$B$14)</f>
        <v/>
      </c>
      <c r="X33" s="21" t="str">
        <f t="shared" si="6"/>
        <v/>
      </c>
      <c r="Y33" s="21" t="str">
        <f>IF($B33="","",ROUND(SUMPRODUCT((X33&gt;'Cài đặt'!$B$18:$B$22)*(X33-'Cài đặt'!$B$18:$B$22)*'Cài đặt'!$E$18:$E$22),0))</f>
        <v/>
      </c>
      <c r="Z33" s="16"/>
      <c r="AA33" s="16"/>
      <c r="AB33" s="21" t="str">
        <f t="shared" si="7"/>
        <v/>
      </c>
      <c r="AC33" s="62" t="str">
        <f t="shared" si="8"/>
        <v/>
      </c>
      <c r="AD33" s="13"/>
      <c r="AE33" s="63"/>
      <c r="AF33" s="13"/>
      <c r="AG33" s="14"/>
    </row>
    <row r="34" ht="21.75" customHeight="1">
      <c r="A34" s="57" t="str">
        <f t="shared" si="1"/>
        <v/>
      </c>
      <c r="B34" s="57" t="str">
        <f>IF('Nhân viên'!A24="","",'Nhân viên'!A24)</f>
        <v/>
      </c>
      <c r="C34" s="50" t="str">
        <f>IF($B34="","",'Nhân viên'!B24)</f>
        <v/>
      </c>
      <c r="D34" s="50" t="str">
        <f>IF($B34="","",'Nhân viên'!C24)</f>
        <v/>
      </c>
      <c r="E34" s="50" t="str">
        <f>IF($B34="","",'Nhân viên'!E24)</f>
        <v/>
      </c>
      <c r="F34" s="64" t="str">
        <f>IF(OR($B34="",'Nhân viên'!F24=""),"",'Nhân viên'!F24)</f>
        <v/>
      </c>
      <c r="G34" s="26" t="str">
        <f>IF($B34="","",'Nhân viên'!I24)</f>
        <v/>
      </c>
      <c r="H34" s="65" t="str">
        <f t="shared" si="2"/>
        <v/>
      </c>
      <c r="I34" s="66"/>
      <c r="J34" s="26" t="str">
        <f t="shared" si="3"/>
        <v/>
      </c>
      <c r="K34" s="25"/>
      <c r="L34" s="26" t="str">
        <f t="shared" si="4"/>
        <v/>
      </c>
      <c r="M34" s="25"/>
      <c r="N34" s="25"/>
      <c r="O34" s="25"/>
      <c r="P34" s="25"/>
      <c r="Q34" s="23"/>
      <c r="R34" s="22"/>
      <c r="S34" s="26" t="str">
        <f t="shared" si="5"/>
        <v/>
      </c>
      <c r="T34" s="26" t="str">
        <f>IF($B34="","",ROUND(MIN('Nhân viên'!L24,'Cài đặt'!$B$10)*'Cài đặt'!$B$5,0))</f>
        <v/>
      </c>
      <c r="U34" s="26" t="str">
        <f>IF($B34="","",ROUND(MIN('Nhân viên'!L24,'Cài đặt'!$B$10)*'Cài đặt'!$B$6,0))</f>
        <v/>
      </c>
      <c r="V34" s="26" t="str">
        <f>IF($B34="","",ROUND(MIN('Nhân viên'!L24,'Cài đặt'!$B$12)*'Cài đặt'!$B$7,0))</f>
        <v/>
      </c>
      <c r="W34" s="26" t="str">
        <f>IF($B34="","",'Cài đặt'!$B$13+'Nhân viên'!H24*'Cài đặt'!$B$14)</f>
        <v/>
      </c>
      <c r="X34" s="26" t="str">
        <f t="shared" si="6"/>
        <v/>
      </c>
      <c r="Y34" s="26" t="str">
        <f>IF($B34="","",ROUND(SUMPRODUCT((X34&gt;'Cài đặt'!$B$18:$B$22)*(X34-'Cài đặt'!$B$18:$B$22)*'Cài đặt'!$E$18:$E$22),0))</f>
        <v/>
      </c>
      <c r="Z34" s="25"/>
      <c r="AA34" s="25"/>
      <c r="AB34" s="26" t="str">
        <f t="shared" si="7"/>
        <v/>
      </c>
      <c r="AC34" s="62" t="str">
        <f t="shared" si="8"/>
        <v/>
      </c>
      <c r="AD34" s="22"/>
      <c r="AE34" s="69"/>
      <c r="AF34" s="22"/>
      <c r="AG34" s="23"/>
    </row>
    <row r="35" ht="21.75" customHeight="1">
      <c r="A35" s="39" t="str">
        <f t="shared" si="1"/>
        <v/>
      </c>
      <c r="B35" s="39" t="str">
        <f>IF('Nhân viên'!A25="","",'Nhân viên'!A25)</f>
        <v/>
      </c>
      <c r="C35" s="40" t="str">
        <f>IF($B35="","",'Nhân viên'!B25)</f>
        <v/>
      </c>
      <c r="D35" s="40" t="str">
        <f>IF($B35="","",'Nhân viên'!C25)</f>
        <v/>
      </c>
      <c r="E35" s="40" t="str">
        <f>IF($B35="","",'Nhân viên'!E25)</f>
        <v/>
      </c>
      <c r="F35" s="42" t="str">
        <f>IF(OR($B35="",'Nhân viên'!F25=""),"",'Nhân viên'!F25)</f>
        <v/>
      </c>
      <c r="G35" s="21" t="str">
        <f>IF($B35="","",'Nhân viên'!I25)</f>
        <v/>
      </c>
      <c r="H35" s="43" t="str">
        <f t="shared" si="2"/>
        <v/>
      </c>
      <c r="I35" s="44"/>
      <c r="J35" s="21" t="str">
        <f t="shared" si="3"/>
        <v/>
      </c>
      <c r="K35" s="16"/>
      <c r="L35" s="21" t="str">
        <f t="shared" si="4"/>
        <v/>
      </c>
      <c r="M35" s="16"/>
      <c r="N35" s="16"/>
      <c r="O35" s="16"/>
      <c r="P35" s="16"/>
      <c r="Q35" s="14"/>
      <c r="R35" s="13"/>
      <c r="S35" s="21" t="str">
        <f t="shared" si="5"/>
        <v/>
      </c>
      <c r="T35" s="21" t="str">
        <f>IF($B35="","",ROUND(MIN('Nhân viên'!L25,'Cài đặt'!$B$10)*'Cài đặt'!$B$5,0))</f>
        <v/>
      </c>
      <c r="U35" s="21" t="str">
        <f>IF($B35="","",ROUND(MIN('Nhân viên'!L25,'Cài đặt'!$B$10)*'Cài đặt'!$B$6,0))</f>
        <v/>
      </c>
      <c r="V35" s="21" t="str">
        <f>IF($B35="","",ROUND(MIN('Nhân viên'!L25,'Cài đặt'!$B$12)*'Cài đặt'!$B$7,0))</f>
        <v/>
      </c>
      <c r="W35" s="21" t="str">
        <f>IF($B35="","",'Cài đặt'!$B$13+'Nhân viên'!H25*'Cài đặt'!$B$14)</f>
        <v/>
      </c>
      <c r="X35" s="21" t="str">
        <f t="shared" si="6"/>
        <v/>
      </c>
      <c r="Y35" s="21" t="str">
        <f>IF($B35="","",ROUND(SUMPRODUCT((X35&gt;'Cài đặt'!$B$18:$B$22)*(X35-'Cài đặt'!$B$18:$B$22)*'Cài đặt'!$E$18:$E$22),0))</f>
        <v/>
      </c>
      <c r="Z35" s="16"/>
      <c r="AA35" s="16"/>
      <c r="AB35" s="21" t="str">
        <f t="shared" si="7"/>
        <v/>
      </c>
      <c r="AC35" s="62" t="str">
        <f t="shared" si="8"/>
        <v/>
      </c>
      <c r="AD35" s="13"/>
      <c r="AE35" s="63"/>
      <c r="AF35" s="13"/>
      <c r="AG35" s="14"/>
    </row>
    <row r="36" ht="21.75" customHeight="1">
      <c r="A36" s="57" t="str">
        <f t="shared" si="1"/>
        <v/>
      </c>
      <c r="B36" s="57" t="str">
        <f>IF('Nhân viên'!A26="","",'Nhân viên'!A26)</f>
        <v/>
      </c>
      <c r="C36" s="50" t="str">
        <f>IF($B36="","",'Nhân viên'!B26)</f>
        <v/>
      </c>
      <c r="D36" s="50" t="str">
        <f>IF($B36="","",'Nhân viên'!C26)</f>
        <v/>
      </c>
      <c r="E36" s="50" t="str">
        <f>IF($B36="","",'Nhân viên'!E26)</f>
        <v/>
      </c>
      <c r="F36" s="64" t="str">
        <f>IF(OR($B36="",'Nhân viên'!F26=""),"",'Nhân viên'!F26)</f>
        <v/>
      </c>
      <c r="G36" s="26" t="str">
        <f>IF($B36="","",'Nhân viên'!I26)</f>
        <v/>
      </c>
      <c r="H36" s="65" t="str">
        <f t="shared" si="2"/>
        <v/>
      </c>
      <c r="I36" s="66"/>
      <c r="J36" s="26" t="str">
        <f t="shared" si="3"/>
        <v/>
      </c>
      <c r="K36" s="25"/>
      <c r="L36" s="26" t="str">
        <f t="shared" si="4"/>
        <v/>
      </c>
      <c r="M36" s="25"/>
      <c r="N36" s="25"/>
      <c r="O36" s="25"/>
      <c r="P36" s="25"/>
      <c r="Q36" s="23"/>
      <c r="R36" s="22"/>
      <c r="S36" s="26" t="str">
        <f t="shared" si="5"/>
        <v/>
      </c>
      <c r="T36" s="26" t="str">
        <f>IF($B36="","",ROUND(MIN('Nhân viên'!L26,'Cài đặt'!$B$10)*'Cài đặt'!$B$5,0))</f>
        <v/>
      </c>
      <c r="U36" s="26" t="str">
        <f>IF($B36="","",ROUND(MIN('Nhân viên'!L26,'Cài đặt'!$B$10)*'Cài đặt'!$B$6,0))</f>
        <v/>
      </c>
      <c r="V36" s="26" t="str">
        <f>IF($B36="","",ROUND(MIN('Nhân viên'!L26,'Cài đặt'!$B$12)*'Cài đặt'!$B$7,0))</f>
        <v/>
      </c>
      <c r="W36" s="26" t="str">
        <f>IF($B36="","",'Cài đặt'!$B$13+'Nhân viên'!H26*'Cài đặt'!$B$14)</f>
        <v/>
      </c>
      <c r="X36" s="26" t="str">
        <f t="shared" si="6"/>
        <v/>
      </c>
      <c r="Y36" s="26" t="str">
        <f>IF($B36="","",ROUND(SUMPRODUCT((X36&gt;'Cài đặt'!$B$18:$B$22)*(X36-'Cài đặt'!$B$18:$B$22)*'Cài đặt'!$E$18:$E$22),0))</f>
        <v/>
      </c>
      <c r="Z36" s="25"/>
      <c r="AA36" s="25"/>
      <c r="AB36" s="26" t="str">
        <f t="shared" si="7"/>
        <v/>
      </c>
      <c r="AC36" s="62" t="str">
        <f t="shared" si="8"/>
        <v/>
      </c>
      <c r="AD36" s="22"/>
      <c r="AE36" s="69"/>
      <c r="AF36" s="22"/>
      <c r="AG36" s="23"/>
    </row>
    <row r="37" ht="21.75" customHeight="1">
      <c r="A37" s="39" t="str">
        <f t="shared" si="1"/>
        <v/>
      </c>
      <c r="B37" s="39" t="str">
        <f>IF('Nhân viên'!A27="","",'Nhân viên'!A27)</f>
        <v/>
      </c>
      <c r="C37" s="40" t="str">
        <f>IF($B37="","",'Nhân viên'!B27)</f>
        <v/>
      </c>
      <c r="D37" s="40" t="str">
        <f>IF($B37="","",'Nhân viên'!C27)</f>
        <v/>
      </c>
      <c r="E37" s="40" t="str">
        <f>IF($B37="","",'Nhân viên'!E27)</f>
        <v/>
      </c>
      <c r="F37" s="42" t="str">
        <f>IF(OR($B37="",'Nhân viên'!F27=""),"",'Nhân viên'!F27)</f>
        <v/>
      </c>
      <c r="G37" s="21" t="str">
        <f>IF($B37="","",'Nhân viên'!I27)</f>
        <v/>
      </c>
      <c r="H37" s="43" t="str">
        <f t="shared" si="2"/>
        <v/>
      </c>
      <c r="I37" s="44"/>
      <c r="J37" s="21" t="str">
        <f t="shared" si="3"/>
        <v/>
      </c>
      <c r="K37" s="16"/>
      <c r="L37" s="21" t="str">
        <f t="shared" si="4"/>
        <v/>
      </c>
      <c r="M37" s="16"/>
      <c r="N37" s="16"/>
      <c r="O37" s="16"/>
      <c r="P37" s="16"/>
      <c r="Q37" s="14"/>
      <c r="R37" s="13"/>
      <c r="S37" s="21" t="str">
        <f t="shared" si="5"/>
        <v/>
      </c>
      <c r="T37" s="21" t="str">
        <f>IF($B37="","",ROUND(MIN('Nhân viên'!L27,'Cài đặt'!$B$10)*'Cài đặt'!$B$5,0))</f>
        <v/>
      </c>
      <c r="U37" s="21" t="str">
        <f>IF($B37="","",ROUND(MIN('Nhân viên'!L27,'Cài đặt'!$B$10)*'Cài đặt'!$B$6,0))</f>
        <v/>
      </c>
      <c r="V37" s="21" t="str">
        <f>IF($B37="","",ROUND(MIN('Nhân viên'!L27,'Cài đặt'!$B$12)*'Cài đặt'!$B$7,0))</f>
        <v/>
      </c>
      <c r="W37" s="21" t="str">
        <f>IF($B37="","",'Cài đặt'!$B$13+'Nhân viên'!H27*'Cài đặt'!$B$14)</f>
        <v/>
      </c>
      <c r="X37" s="21" t="str">
        <f t="shared" si="6"/>
        <v/>
      </c>
      <c r="Y37" s="21" t="str">
        <f>IF($B37="","",ROUND(SUMPRODUCT((X37&gt;'Cài đặt'!$B$18:$B$22)*(X37-'Cài đặt'!$B$18:$B$22)*'Cài đặt'!$E$18:$E$22),0))</f>
        <v/>
      </c>
      <c r="Z37" s="16"/>
      <c r="AA37" s="16"/>
      <c r="AB37" s="21" t="str">
        <f t="shared" si="7"/>
        <v/>
      </c>
      <c r="AC37" s="62" t="str">
        <f t="shared" si="8"/>
        <v/>
      </c>
      <c r="AD37" s="13"/>
      <c r="AE37" s="63"/>
      <c r="AF37" s="13"/>
      <c r="AG37" s="14"/>
    </row>
    <row r="38" ht="21.75" customHeight="1">
      <c r="A38" s="57" t="str">
        <f t="shared" si="1"/>
        <v/>
      </c>
      <c r="B38" s="57" t="str">
        <f>IF('Nhân viên'!A28="","",'Nhân viên'!A28)</f>
        <v/>
      </c>
      <c r="C38" s="50" t="str">
        <f>IF($B38="","",'Nhân viên'!B28)</f>
        <v/>
      </c>
      <c r="D38" s="50" t="str">
        <f>IF($B38="","",'Nhân viên'!C28)</f>
        <v/>
      </c>
      <c r="E38" s="50" t="str">
        <f>IF($B38="","",'Nhân viên'!E28)</f>
        <v/>
      </c>
      <c r="F38" s="64" t="str">
        <f>IF(OR($B38="",'Nhân viên'!F28=""),"",'Nhân viên'!F28)</f>
        <v/>
      </c>
      <c r="G38" s="26" t="str">
        <f>IF($B38="","",'Nhân viên'!I28)</f>
        <v/>
      </c>
      <c r="H38" s="65" t="str">
        <f t="shared" si="2"/>
        <v/>
      </c>
      <c r="I38" s="66"/>
      <c r="J38" s="26" t="str">
        <f t="shared" si="3"/>
        <v/>
      </c>
      <c r="K38" s="25"/>
      <c r="L38" s="26" t="str">
        <f t="shared" si="4"/>
        <v/>
      </c>
      <c r="M38" s="25"/>
      <c r="N38" s="25"/>
      <c r="O38" s="25"/>
      <c r="P38" s="25"/>
      <c r="Q38" s="23"/>
      <c r="R38" s="22"/>
      <c r="S38" s="26" t="str">
        <f t="shared" si="5"/>
        <v/>
      </c>
      <c r="T38" s="26" t="str">
        <f>IF($B38="","",ROUND(MIN('Nhân viên'!L28,'Cài đặt'!$B$10)*'Cài đặt'!$B$5,0))</f>
        <v/>
      </c>
      <c r="U38" s="26" t="str">
        <f>IF($B38="","",ROUND(MIN('Nhân viên'!L28,'Cài đặt'!$B$10)*'Cài đặt'!$B$6,0))</f>
        <v/>
      </c>
      <c r="V38" s="26" t="str">
        <f>IF($B38="","",ROUND(MIN('Nhân viên'!L28,'Cài đặt'!$B$12)*'Cài đặt'!$B$7,0))</f>
        <v/>
      </c>
      <c r="W38" s="26" t="str">
        <f>IF($B38="","",'Cài đặt'!$B$13+'Nhân viên'!H28*'Cài đặt'!$B$14)</f>
        <v/>
      </c>
      <c r="X38" s="26" t="str">
        <f t="shared" si="6"/>
        <v/>
      </c>
      <c r="Y38" s="26" t="str">
        <f>IF($B38="","",ROUND(SUMPRODUCT((X38&gt;'Cài đặt'!$B$18:$B$22)*(X38-'Cài đặt'!$B$18:$B$22)*'Cài đặt'!$E$18:$E$22),0))</f>
        <v/>
      </c>
      <c r="Z38" s="25"/>
      <c r="AA38" s="25"/>
      <c r="AB38" s="26" t="str">
        <f t="shared" si="7"/>
        <v/>
      </c>
      <c r="AC38" s="62" t="str">
        <f t="shared" si="8"/>
        <v/>
      </c>
      <c r="AD38" s="22"/>
      <c r="AE38" s="69"/>
      <c r="AF38" s="22"/>
      <c r="AG38" s="23"/>
    </row>
    <row r="39" ht="21.75" customHeight="1">
      <c r="A39" s="39" t="str">
        <f t="shared" si="1"/>
        <v/>
      </c>
      <c r="B39" s="39" t="str">
        <f>IF('Nhân viên'!A29="","",'Nhân viên'!A29)</f>
        <v/>
      </c>
      <c r="C39" s="40" t="str">
        <f>IF($B39="","",'Nhân viên'!B29)</f>
        <v/>
      </c>
      <c r="D39" s="40" t="str">
        <f>IF($B39="","",'Nhân viên'!C29)</f>
        <v/>
      </c>
      <c r="E39" s="40" t="str">
        <f>IF($B39="","",'Nhân viên'!E29)</f>
        <v/>
      </c>
      <c r="F39" s="42" t="str">
        <f>IF(OR($B39="",'Nhân viên'!F29=""),"",'Nhân viên'!F29)</f>
        <v/>
      </c>
      <c r="G39" s="21" t="str">
        <f>IF($B39="","",'Nhân viên'!I29)</f>
        <v/>
      </c>
      <c r="H39" s="43" t="str">
        <f t="shared" si="2"/>
        <v/>
      </c>
      <c r="I39" s="44"/>
      <c r="J39" s="21" t="str">
        <f t="shared" si="3"/>
        <v/>
      </c>
      <c r="K39" s="16"/>
      <c r="L39" s="21" t="str">
        <f t="shared" si="4"/>
        <v/>
      </c>
      <c r="M39" s="16"/>
      <c r="N39" s="16"/>
      <c r="O39" s="16"/>
      <c r="P39" s="16"/>
      <c r="Q39" s="14"/>
      <c r="R39" s="13"/>
      <c r="S39" s="21" t="str">
        <f t="shared" si="5"/>
        <v/>
      </c>
      <c r="T39" s="21" t="str">
        <f>IF($B39="","",ROUND(MIN('Nhân viên'!L29,'Cài đặt'!$B$10)*'Cài đặt'!$B$5,0))</f>
        <v/>
      </c>
      <c r="U39" s="21" t="str">
        <f>IF($B39="","",ROUND(MIN('Nhân viên'!L29,'Cài đặt'!$B$10)*'Cài đặt'!$B$6,0))</f>
        <v/>
      </c>
      <c r="V39" s="21" t="str">
        <f>IF($B39="","",ROUND(MIN('Nhân viên'!L29,'Cài đặt'!$B$12)*'Cài đặt'!$B$7,0))</f>
        <v/>
      </c>
      <c r="W39" s="21" t="str">
        <f>IF($B39="","",'Cài đặt'!$B$13+'Nhân viên'!H29*'Cài đặt'!$B$14)</f>
        <v/>
      </c>
      <c r="X39" s="21" t="str">
        <f t="shared" si="6"/>
        <v/>
      </c>
      <c r="Y39" s="21" t="str">
        <f>IF($B39="","",ROUND(SUMPRODUCT((X39&gt;'Cài đặt'!$B$18:$B$22)*(X39-'Cài đặt'!$B$18:$B$22)*'Cài đặt'!$E$18:$E$22),0))</f>
        <v/>
      </c>
      <c r="Z39" s="16"/>
      <c r="AA39" s="16"/>
      <c r="AB39" s="21" t="str">
        <f t="shared" si="7"/>
        <v/>
      </c>
      <c r="AC39" s="62" t="str">
        <f t="shared" si="8"/>
        <v/>
      </c>
      <c r="AD39" s="13"/>
      <c r="AE39" s="63"/>
      <c r="AF39" s="13"/>
      <c r="AG39" s="14"/>
    </row>
    <row r="40" ht="21.75" customHeight="1">
      <c r="A40" s="57" t="str">
        <f t="shared" si="1"/>
        <v/>
      </c>
      <c r="B40" s="57" t="str">
        <f>IF('Nhân viên'!A30="","",'Nhân viên'!A30)</f>
        <v/>
      </c>
      <c r="C40" s="50" t="str">
        <f>IF($B40="","",'Nhân viên'!B30)</f>
        <v/>
      </c>
      <c r="D40" s="50" t="str">
        <f>IF($B40="","",'Nhân viên'!C30)</f>
        <v/>
      </c>
      <c r="E40" s="50" t="str">
        <f>IF($B40="","",'Nhân viên'!E30)</f>
        <v/>
      </c>
      <c r="F40" s="64" t="str">
        <f>IF(OR($B40="",'Nhân viên'!F30=""),"",'Nhân viên'!F30)</f>
        <v/>
      </c>
      <c r="G40" s="26" t="str">
        <f>IF($B40="","",'Nhân viên'!I30)</f>
        <v/>
      </c>
      <c r="H40" s="65" t="str">
        <f t="shared" si="2"/>
        <v/>
      </c>
      <c r="I40" s="66"/>
      <c r="J40" s="26" t="str">
        <f t="shared" si="3"/>
        <v/>
      </c>
      <c r="K40" s="25"/>
      <c r="L40" s="26" t="str">
        <f t="shared" si="4"/>
        <v/>
      </c>
      <c r="M40" s="25"/>
      <c r="N40" s="25"/>
      <c r="O40" s="25"/>
      <c r="P40" s="25"/>
      <c r="Q40" s="23"/>
      <c r="R40" s="22"/>
      <c r="S40" s="26" t="str">
        <f t="shared" si="5"/>
        <v/>
      </c>
      <c r="T40" s="26" t="str">
        <f>IF($B40="","",ROUND(MIN('Nhân viên'!L30,'Cài đặt'!$B$10)*'Cài đặt'!$B$5,0))</f>
        <v/>
      </c>
      <c r="U40" s="26" t="str">
        <f>IF($B40="","",ROUND(MIN('Nhân viên'!L30,'Cài đặt'!$B$10)*'Cài đặt'!$B$6,0))</f>
        <v/>
      </c>
      <c r="V40" s="26" t="str">
        <f>IF($B40="","",ROUND(MIN('Nhân viên'!L30,'Cài đặt'!$B$12)*'Cài đặt'!$B$7,0))</f>
        <v/>
      </c>
      <c r="W40" s="26" t="str">
        <f>IF($B40="","",'Cài đặt'!$B$13+'Nhân viên'!H30*'Cài đặt'!$B$14)</f>
        <v/>
      </c>
      <c r="X40" s="26" t="str">
        <f t="shared" si="6"/>
        <v/>
      </c>
      <c r="Y40" s="26" t="str">
        <f>IF($B40="","",ROUND(SUMPRODUCT((X40&gt;'Cài đặt'!$B$18:$B$22)*(X40-'Cài đặt'!$B$18:$B$22)*'Cài đặt'!$E$18:$E$22),0))</f>
        <v/>
      </c>
      <c r="Z40" s="25"/>
      <c r="AA40" s="25"/>
      <c r="AB40" s="26" t="str">
        <f t="shared" si="7"/>
        <v/>
      </c>
      <c r="AC40" s="62" t="str">
        <f t="shared" si="8"/>
        <v/>
      </c>
      <c r="AD40" s="22"/>
      <c r="AE40" s="69"/>
      <c r="AF40" s="22"/>
      <c r="AG40" s="23"/>
    </row>
    <row r="41" ht="21.75" customHeight="1">
      <c r="A41" s="39" t="str">
        <f t="shared" si="1"/>
        <v/>
      </c>
      <c r="B41" s="39" t="str">
        <f>IF('Nhân viên'!A31="","",'Nhân viên'!A31)</f>
        <v/>
      </c>
      <c r="C41" s="40" t="str">
        <f>IF($B41="","",'Nhân viên'!B31)</f>
        <v/>
      </c>
      <c r="D41" s="40" t="str">
        <f>IF($B41="","",'Nhân viên'!C31)</f>
        <v/>
      </c>
      <c r="E41" s="40" t="str">
        <f>IF($B41="","",'Nhân viên'!E31)</f>
        <v/>
      </c>
      <c r="F41" s="42" t="str">
        <f>IF(OR($B41="",'Nhân viên'!F31=""),"",'Nhân viên'!F31)</f>
        <v/>
      </c>
      <c r="G41" s="21" t="str">
        <f>IF($B41="","",'Nhân viên'!I31)</f>
        <v/>
      </c>
      <c r="H41" s="43" t="str">
        <f t="shared" si="2"/>
        <v/>
      </c>
      <c r="I41" s="44"/>
      <c r="J41" s="21" t="str">
        <f t="shared" si="3"/>
        <v/>
      </c>
      <c r="K41" s="16"/>
      <c r="L41" s="21" t="str">
        <f t="shared" si="4"/>
        <v/>
      </c>
      <c r="M41" s="16"/>
      <c r="N41" s="16"/>
      <c r="O41" s="16"/>
      <c r="P41" s="16"/>
      <c r="Q41" s="14"/>
      <c r="R41" s="13"/>
      <c r="S41" s="21" t="str">
        <f t="shared" si="5"/>
        <v/>
      </c>
      <c r="T41" s="21" t="str">
        <f>IF($B41="","",ROUND(MIN('Nhân viên'!L31,'Cài đặt'!$B$10)*'Cài đặt'!$B$5,0))</f>
        <v/>
      </c>
      <c r="U41" s="21" t="str">
        <f>IF($B41="","",ROUND(MIN('Nhân viên'!L31,'Cài đặt'!$B$10)*'Cài đặt'!$B$6,0))</f>
        <v/>
      </c>
      <c r="V41" s="21" t="str">
        <f>IF($B41="","",ROUND(MIN('Nhân viên'!L31,'Cài đặt'!$B$12)*'Cài đặt'!$B$7,0))</f>
        <v/>
      </c>
      <c r="W41" s="21" t="str">
        <f>IF($B41="","",'Cài đặt'!$B$13+'Nhân viên'!H31*'Cài đặt'!$B$14)</f>
        <v/>
      </c>
      <c r="X41" s="21" t="str">
        <f t="shared" si="6"/>
        <v/>
      </c>
      <c r="Y41" s="21" t="str">
        <f>IF($B41="","",ROUND(SUMPRODUCT((X41&gt;'Cài đặt'!$B$18:$B$22)*(X41-'Cài đặt'!$B$18:$B$22)*'Cài đặt'!$E$18:$E$22),0))</f>
        <v/>
      </c>
      <c r="Z41" s="16"/>
      <c r="AA41" s="16"/>
      <c r="AB41" s="21" t="str">
        <f t="shared" si="7"/>
        <v/>
      </c>
      <c r="AC41" s="62" t="str">
        <f t="shared" si="8"/>
        <v/>
      </c>
      <c r="AD41" s="13"/>
      <c r="AE41" s="63"/>
      <c r="AF41" s="13"/>
      <c r="AG41" s="14"/>
    </row>
    <row r="42" ht="21.75" customHeight="1">
      <c r="A42" s="57" t="str">
        <f t="shared" si="1"/>
        <v/>
      </c>
      <c r="B42" s="57" t="str">
        <f>IF('Nhân viên'!A32="","",'Nhân viên'!A32)</f>
        <v/>
      </c>
      <c r="C42" s="50" t="str">
        <f>IF($B42="","",'Nhân viên'!B32)</f>
        <v/>
      </c>
      <c r="D42" s="50" t="str">
        <f>IF($B42="","",'Nhân viên'!C32)</f>
        <v/>
      </c>
      <c r="E42" s="50" t="str">
        <f>IF($B42="","",'Nhân viên'!E32)</f>
        <v/>
      </c>
      <c r="F42" s="64" t="str">
        <f>IF(OR($B42="",'Nhân viên'!F32=""),"",'Nhân viên'!F32)</f>
        <v/>
      </c>
      <c r="G42" s="26" t="str">
        <f>IF($B42="","",'Nhân viên'!I32)</f>
        <v/>
      </c>
      <c r="H42" s="65" t="str">
        <f t="shared" si="2"/>
        <v/>
      </c>
      <c r="I42" s="66"/>
      <c r="J42" s="26" t="str">
        <f t="shared" si="3"/>
        <v/>
      </c>
      <c r="K42" s="25"/>
      <c r="L42" s="26" t="str">
        <f t="shared" si="4"/>
        <v/>
      </c>
      <c r="M42" s="25"/>
      <c r="N42" s="25"/>
      <c r="O42" s="25"/>
      <c r="P42" s="25"/>
      <c r="Q42" s="23"/>
      <c r="R42" s="22"/>
      <c r="S42" s="26" t="str">
        <f t="shared" si="5"/>
        <v/>
      </c>
      <c r="T42" s="26" t="str">
        <f>IF($B42="","",ROUND(MIN('Nhân viên'!L32,'Cài đặt'!$B$10)*'Cài đặt'!$B$5,0))</f>
        <v/>
      </c>
      <c r="U42" s="26" t="str">
        <f>IF($B42="","",ROUND(MIN('Nhân viên'!L32,'Cài đặt'!$B$10)*'Cài đặt'!$B$6,0))</f>
        <v/>
      </c>
      <c r="V42" s="26" t="str">
        <f>IF($B42="","",ROUND(MIN('Nhân viên'!L32,'Cài đặt'!$B$12)*'Cài đặt'!$B$7,0))</f>
        <v/>
      </c>
      <c r="W42" s="26" t="str">
        <f>IF($B42="","",'Cài đặt'!$B$13+'Nhân viên'!H32*'Cài đặt'!$B$14)</f>
        <v/>
      </c>
      <c r="X42" s="26" t="str">
        <f t="shared" si="6"/>
        <v/>
      </c>
      <c r="Y42" s="26" t="str">
        <f>IF($B42="","",ROUND(SUMPRODUCT((X42&gt;'Cài đặt'!$B$18:$B$22)*(X42-'Cài đặt'!$B$18:$B$22)*'Cài đặt'!$E$18:$E$22),0))</f>
        <v/>
      </c>
      <c r="Z42" s="25"/>
      <c r="AA42" s="25"/>
      <c r="AB42" s="26" t="str">
        <f t="shared" si="7"/>
        <v/>
      </c>
      <c r="AC42" s="62" t="str">
        <f t="shared" si="8"/>
        <v/>
      </c>
      <c r="AD42" s="22"/>
      <c r="AE42" s="69"/>
      <c r="AF42" s="22"/>
      <c r="AG42" s="23"/>
    </row>
    <row r="43" ht="21.75" customHeight="1">
      <c r="A43" s="39" t="str">
        <f t="shared" si="1"/>
        <v/>
      </c>
      <c r="B43" s="39" t="str">
        <f>IF('Nhân viên'!A33="","",'Nhân viên'!A33)</f>
        <v/>
      </c>
      <c r="C43" s="40" t="str">
        <f>IF($B43="","",'Nhân viên'!B33)</f>
        <v/>
      </c>
      <c r="D43" s="40" t="str">
        <f>IF($B43="","",'Nhân viên'!C33)</f>
        <v/>
      </c>
      <c r="E43" s="40" t="str">
        <f>IF($B43="","",'Nhân viên'!E33)</f>
        <v/>
      </c>
      <c r="F43" s="42" t="str">
        <f>IF(OR($B43="",'Nhân viên'!F33=""),"",'Nhân viên'!F33)</f>
        <v/>
      </c>
      <c r="G43" s="21" t="str">
        <f>IF($B43="","",'Nhân viên'!I33)</f>
        <v/>
      </c>
      <c r="H43" s="43" t="str">
        <f t="shared" si="2"/>
        <v/>
      </c>
      <c r="I43" s="44"/>
      <c r="J43" s="21" t="str">
        <f t="shared" si="3"/>
        <v/>
      </c>
      <c r="K43" s="16"/>
      <c r="L43" s="21" t="str">
        <f t="shared" si="4"/>
        <v/>
      </c>
      <c r="M43" s="16"/>
      <c r="N43" s="16"/>
      <c r="O43" s="16"/>
      <c r="P43" s="16"/>
      <c r="Q43" s="14"/>
      <c r="R43" s="13"/>
      <c r="S43" s="21" t="str">
        <f t="shared" si="5"/>
        <v/>
      </c>
      <c r="T43" s="21" t="str">
        <f>IF($B43="","",ROUND(MIN('Nhân viên'!L33,'Cài đặt'!$B$10)*'Cài đặt'!$B$5,0))</f>
        <v/>
      </c>
      <c r="U43" s="21" t="str">
        <f>IF($B43="","",ROUND(MIN('Nhân viên'!L33,'Cài đặt'!$B$10)*'Cài đặt'!$B$6,0))</f>
        <v/>
      </c>
      <c r="V43" s="21" t="str">
        <f>IF($B43="","",ROUND(MIN('Nhân viên'!L33,'Cài đặt'!$B$12)*'Cài đặt'!$B$7,0))</f>
        <v/>
      </c>
      <c r="W43" s="21" t="str">
        <f>IF($B43="","",'Cài đặt'!$B$13+'Nhân viên'!H33*'Cài đặt'!$B$14)</f>
        <v/>
      </c>
      <c r="X43" s="21" t="str">
        <f t="shared" si="6"/>
        <v/>
      </c>
      <c r="Y43" s="21" t="str">
        <f>IF($B43="","",ROUND(SUMPRODUCT((X43&gt;'Cài đặt'!$B$18:$B$22)*(X43-'Cài đặt'!$B$18:$B$22)*'Cài đặt'!$E$18:$E$22),0))</f>
        <v/>
      </c>
      <c r="Z43" s="16"/>
      <c r="AA43" s="16"/>
      <c r="AB43" s="21" t="str">
        <f t="shared" si="7"/>
        <v/>
      </c>
      <c r="AC43" s="62" t="str">
        <f t="shared" si="8"/>
        <v/>
      </c>
      <c r="AD43" s="13"/>
      <c r="AE43" s="63"/>
      <c r="AF43" s="13"/>
      <c r="AG43" s="14"/>
    </row>
    <row r="44" ht="21.75" customHeight="1">
      <c r="A44" s="57" t="str">
        <f t="shared" si="1"/>
        <v/>
      </c>
      <c r="B44" s="57" t="str">
        <f>IF('Nhân viên'!A34="","",'Nhân viên'!A34)</f>
        <v/>
      </c>
      <c r="C44" s="50" t="str">
        <f>IF($B44="","",'Nhân viên'!B34)</f>
        <v/>
      </c>
      <c r="D44" s="50" t="str">
        <f>IF($B44="","",'Nhân viên'!C34)</f>
        <v/>
      </c>
      <c r="E44" s="50" t="str">
        <f>IF($B44="","",'Nhân viên'!E34)</f>
        <v/>
      </c>
      <c r="F44" s="64" t="str">
        <f>IF(OR($B44="",'Nhân viên'!F34=""),"",'Nhân viên'!F34)</f>
        <v/>
      </c>
      <c r="G44" s="26" t="str">
        <f>IF($B44="","",'Nhân viên'!I34)</f>
        <v/>
      </c>
      <c r="H44" s="65" t="str">
        <f t="shared" si="2"/>
        <v/>
      </c>
      <c r="I44" s="66"/>
      <c r="J44" s="26" t="str">
        <f t="shared" si="3"/>
        <v/>
      </c>
      <c r="K44" s="25"/>
      <c r="L44" s="26" t="str">
        <f t="shared" si="4"/>
        <v/>
      </c>
      <c r="M44" s="25"/>
      <c r="N44" s="25"/>
      <c r="O44" s="25"/>
      <c r="P44" s="25"/>
      <c r="Q44" s="23"/>
      <c r="R44" s="22"/>
      <c r="S44" s="26" t="str">
        <f t="shared" si="5"/>
        <v/>
      </c>
      <c r="T44" s="26" t="str">
        <f>IF($B44="","",ROUND(MIN('Nhân viên'!L34,'Cài đặt'!$B$10)*'Cài đặt'!$B$5,0))</f>
        <v/>
      </c>
      <c r="U44" s="26" t="str">
        <f>IF($B44="","",ROUND(MIN('Nhân viên'!L34,'Cài đặt'!$B$10)*'Cài đặt'!$B$6,0))</f>
        <v/>
      </c>
      <c r="V44" s="26" t="str">
        <f>IF($B44="","",ROUND(MIN('Nhân viên'!L34,'Cài đặt'!$B$12)*'Cài đặt'!$B$7,0))</f>
        <v/>
      </c>
      <c r="W44" s="26" t="str">
        <f>IF($B44="","",'Cài đặt'!$B$13+'Nhân viên'!H34*'Cài đặt'!$B$14)</f>
        <v/>
      </c>
      <c r="X44" s="26" t="str">
        <f t="shared" si="6"/>
        <v/>
      </c>
      <c r="Y44" s="26" t="str">
        <f>IF($B44="","",ROUND(SUMPRODUCT((X44&gt;'Cài đặt'!$B$18:$B$22)*(X44-'Cài đặt'!$B$18:$B$22)*'Cài đặt'!$E$18:$E$22),0))</f>
        <v/>
      </c>
      <c r="Z44" s="25"/>
      <c r="AA44" s="25"/>
      <c r="AB44" s="26" t="str">
        <f t="shared" si="7"/>
        <v/>
      </c>
      <c r="AC44" s="62" t="str">
        <f t="shared" si="8"/>
        <v/>
      </c>
      <c r="AD44" s="22"/>
      <c r="AE44" s="69"/>
      <c r="AF44" s="22"/>
      <c r="AG44" s="23"/>
    </row>
    <row r="45" ht="21.75" customHeight="1">
      <c r="A45" s="39" t="str">
        <f t="shared" si="1"/>
        <v/>
      </c>
      <c r="B45" s="39" t="str">
        <f>IF('Nhân viên'!A35="","",'Nhân viên'!A35)</f>
        <v/>
      </c>
      <c r="C45" s="40" t="str">
        <f>IF($B45="","",'Nhân viên'!B35)</f>
        <v/>
      </c>
      <c r="D45" s="40" t="str">
        <f>IF($B45="","",'Nhân viên'!C35)</f>
        <v/>
      </c>
      <c r="E45" s="40" t="str">
        <f>IF($B45="","",'Nhân viên'!E35)</f>
        <v/>
      </c>
      <c r="F45" s="42" t="str">
        <f>IF(OR($B45="",'Nhân viên'!F35=""),"",'Nhân viên'!F35)</f>
        <v/>
      </c>
      <c r="G45" s="21" t="str">
        <f>IF($B45="","",'Nhân viên'!I35)</f>
        <v/>
      </c>
      <c r="H45" s="43" t="str">
        <f t="shared" si="2"/>
        <v/>
      </c>
      <c r="I45" s="44"/>
      <c r="J45" s="21" t="str">
        <f t="shared" si="3"/>
        <v/>
      </c>
      <c r="K45" s="16"/>
      <c r="L45" s="21" t="str">
        <f t="shared" si="4"/>
        <v/>
      </c>
      <c r="M45" s="16"/>
      <c r="N45" s="16"/>
      <c r="O45" s="16"/>
      <c r="P45" s="16"/>
      <c r="Q45" s="14"/>
      <c r="R45" s="13"/>
      <c r="S45" s="21" t="str">
        <f t="shared" si="5"/>
        <v/>
      </c>
      <c r="T45" s="21" t="str">
        <f>IF($B45="","",ROUND(MIN('Nhân viên'!L35,'Cài đặt'!$B$10)*'Cài đặt'!$B$5,0))</f>
        <v/>
      </c>
      <c r="U45" s="21" t="str">
        <f>IF($B45="","",ROUND(MIN('Nhân viên'!L35,'Cài đặt'!$B$10)*'Cài đặt'!$B$6,0))</f>
        <v/>
      </c>
      <c r="V45" s="21" t="str">
        <f>IF($B45="","",ROUND(MIN('Nhân viên'!L35,'Cài đặt'!$B$12)*'Cài đặt'!$B$7,0))</f>
        <v/>
      </c>
      <c r="W45" s="21" t="str">
        <f>IF($B45="","",'Cài đặt'!$B$13+'Nhân viên'!H35*'Cài đặt'!$B$14)</f>
        <v/>
      </c>
      <c r="X45" s="21" t="str">
        <f t="shared" si="6"/>
        <v/>
      </c>
      <c r="Y45" s="21" t="str">
        <f>IF($B45="","",ROUND(SUMPRODUCT((X45&gt;'Cài đặt'!$B$18:$B$22)*(X45-'Cài đặt'!$B$18:$B$22)*'Cài đặt'!$E$18:$E$22),0))</f>
        <v/>
      </c>
      <c r="Z45" s="16"/>
      <c r="AA45" s="16"/>
      <c r="AB45" s="21" t="str">
        <f t="shared" si="7"/>
        <v/>
      </c>
      <c r="AC45" s="62" t="str">
        <f t="shared" si="8"/>
        <v/>
      </c>
      <c r="AD45" s="13"/>
      <c r="AE45" s="63"/>
      <c r="AF45" s="13"/>
      <c r="AG45" s="14"/>
    </row>
    <row r="46" ht="21.75" customHeight="1">
      <c r="A46" s="57" t="str">
        <f t="shared" si="1"/>
        <v/>
      </c>
      <c r="B46" s="57" t="str">
        <f>IF('Nhân viên'!A36="","",'Nhân viên'!A36)</f>
        <v/>
      </c>
      <c r="C46" s="50" t="str">
        <f>IF($B46="","",'Nhân viên'!B36)</f>
        <v/>
      </c>
      <c r="D46" s="50" t="str">
        <f>IF($B46="","",'Nhân viên'!C36)</f>
        <v/>
      </c>
      <c r="E46" s="50" t="str">
        <f>IF($B46="","",'Nhân viên'!E36)</f>
        <v/>
      </c>
      <c r="F46" s="64" t="str">
        <f>IF(OR($B46="",'Nhân viên'!F36=""),"",'Nhân viên'!F36)</f>
        <v/>
      </c>
      <c r="G46" s="26" t="str">
        <f>IF($B46="","",'Nhân viên'!I36)</f>
        <v/>
      </c>
      <c r="H46" s="65" t="str">
        <f t="shared" si="2"/>
        <v/>
      </c>
      <c r="I46" s="66"/>
      <c r="J46" s="26" t="str">
        <f t="shared" si="3"/>
        <v/>
      </c>
      <c r="K46" s="25"/>
      <c r="L46" s="26" t="str">
        <f t="shared" si="4"/>
        <v/>
      </c>
      <c r="M46" s="25"/>
      <c r="N46" s="25"/>
      <c r="O46" s="25"/>
      <c r="P46" s="25"/>
      <c r="Q46" s="23"/>
      <c r="R46" s="22"/>
      <c r="S46" s="26" t="str">
        <f t="shared" si="5"/>
        <v/>
      </c>
      <c r="T46" s="26" t="str">
        <f>IF($B46="","",ROUND(MIN('Nhân viên'!L36,'Cài đặt'!$B$10)*'Cài đặt'!$B$5,0))</f>
        <v/>
      </c>
      <c r="U46" s="26" t="str">
        <f>IF($B46="","",ROUND(MIN('Nhân viên'!L36,'Cài đặt'!$B$10)*'Cài đặt'!$B$6,0))</f>
        <v/>
      </c>
      <c r="V46" s="26" t="str">
        <f>IF($B46="","",ROUND(MIN('Nhân viên'!L36,'Cài đặt'!$B$12)*'Cài đặt'!$B$7,0))</f>
        <v/>
      </c>
      <c r="W46" s="26" t="str">
        <f>IF($B46="","",'Cài đặt'!$B$13+'Nhân viên'!H36*'Cài đặt'!$B$14)</f>
        <v/>
      </c>
      <c r="X46" s="26" t="str">
        <f t="shared" si="6"/>
        <v/>
      </c>
      <c r="Y46" s="26" t="str">
        <f>IF($B46="","",ROUND(SUMPRODUCT((X46&gt;'Cài đặt'!$B$18:$B$22)*(X46-'Cài đặt'!$B$18:$B$22)*'Cài đặt'!$E$18:$E$22),0))</f>
        <v/>
      </c>
      <c r="Z46" s="25"/>
      <c r="AA46" s="25"/>
      <c r="AB46" s="26" t="str">
        <f t="shared" si="7"/>
        <v/>
      </c>
      <c r="AC46" s="62" t="str">
        <f t="shared" si="8"/>
        <v/>
      </c>
      <c r="AD46" s="22"/>
      <c r="AE46" s="69"/>
      <c r="AF46" s="22"/>
      <c r="AG46" s="23"/>
    </row>
    <row r="47" ht="21.75" customHeight="1">
      <c r="A47" s="39" t="str">
        <f t="shared" si="1"/>
        <v/>
      </c>
      <c r="B47" s="39" t="str">
        <f>IF('Nhân viên'!A37="","",'Nhân viên'!A37)</f>
        <v/>
      </c>
      <c r="C47" s="40" t="str">
        <f>IF($B47="","",'Nhân viên'!B37)</f>
        <v/>
      </c>
      <c r="D47" s="40" t="str">
        <f>IF($B47="","",'Nhân viên'!C37)</f>
        <v/>
      </c>
      <c r="E47" s="40" t="str">
        <f>IF($B47="","",'Nhân viên'!E37)</f>
        <v/>
      </c>
      <c r="F47" s="42" t="str">
        <f>IF(OR($B47="",'Nhân viên'!F37=""),"",'Nhân viên'!F37)</f>
        <v/>
      </c>
      <c r="G47" s="21" t="str">
        <f>IF($B47="","",'Nhân viên'!I37)</f>
        <v/>
      </c>
      <c r="H47" s="43" t="str">
        <f t="shared" si="2"/>
        <v/>
      </c>
      <c r="I47" s="44"/>
      <c r="J47" s="21" t="str">
        <f t="shared" si="3"/>
        <v/>
      </c>
      <c r="K47" s="16"/>
      <c r="L47" s="21" t="str">
        <f t="shared" si="4"/>
        <v/>
      </c>
      <c r="M47" s="16"/>
      <c r="N47" s="16"/>
      <c r="O47" s="16"/>
      <c r="P47" s="16"/>
      <c r="Q47" s="14"/>
      <c r="R47" s="13"/>
      <c r="S47" s="21" t="str">
        <f t="shared" si="5"/>
        <v/>
      </c>
      <c r="T47" s="21" t="str">
        <f>IF($B47="","",ROUND(MIN('Nhân viên'!L37,'Cài đặt'!$B$10)*'Cài đặt'!$B$5,0))</f>
        <v/>
      </c>
      <c r="U47" s="21" t="str">
        <f>IF($B47="","",ROUND(MIN('Nhân viên'!L37,'Cài đặt'!$B$10)*'Cài đặt'!$B$6,0))</f>
        <v/>
      </c>
      <c r="V47" s="21" t="str">
        <f>IF($B47="","",ROUND(MIN('Nhân viên'!L37,'Cài đặt'!$B$12)*'Cài đặt'!$B$7,0))</f>
        <v/>
      </c>
      <c r="W47" s="21" t="str">
        <f>IF($B47="","",'Cài đặt'!$B$13+'Nhân viên'!H37*'Cài đặt'!$B$14)</f>
        <v/>
      </c>
      <c r="X47" s="21" t="str">
        <f t="shared" si="6"/>
        <v/>
      </c>
      <c r="Y47" s="21" t="str">
        <f>IF($B47="","",ROUND(SUMPRODUCT((X47&gt;'Cài đặt'!$B$18:$B$22)*(X47-'Cài đặt'!$B$18:$B$22)*'Cài đặt'!$E$18:$E$22),0))</f>
        <v/>
      </c>
      <c r="Z47" s="16"/>
      <c r="AA47" s="16"/>
      <c r="AB47" s="21" t="str">
        <f t="shared" si="7"/>
        <v/>
      </c>
      <c r="AC47" s="62" t="str">
        <f t="shared" si="8"/>
        <v/>
      </c>
      <c r="AD47" s="13"/>
      <c r="AE47" s="63"/>
      <c r="AF47" s="13"/>
      <c r="AG47" s="14"/>
    </row>
    <row r="48" ht="21.75" customHeight="1">
      <c r="A48" s="57" t="str">
        <f t="shared" si="1"/>
        <v/>
      </c>
      <c r="B48" s="57" t="str">
        <f>IF('Nhân viên'!A38="","",'Nhân viên'!A38)</f>
        <v/>
      </c>
      <c r="C48" s="50" t="str">
        <f>IF($B48="","",'Nhân viên'!B38)</f>
        <v/>
      </c>
      <c r="D48" s="50" t="str">
        <f>IF($B48="","",'Nhân viên'!C38)</f>
        <v/>
      </c>
      <c r="E48" s="50" t="str">
        <f>IF($B48="","",'Nhân viên'!E38)</f>
        <v/>
      </c>
      <c r="F48" s="64" t="str">
        <f>IF(OR($B48="",'Nhân viên'!F38=""),"",'Nhân viên'!F38)</f>
        <v/>
      </c>
      <c r="G48" s="26" t="str">
        <f>IF($B48="","",'Nhân viên'!I38)</f>
        <v/>
      </c>
      <c r="H48" s="65" t="str">
        <f t="shared" si="2"/>
        <v/>
      </c>
      <c r="I48" s="66"/>
      <c r="J48" s="26" t="str">
        <f t="shared" si="3"/>
        <v/>
      </c>
      <c r="K48" s="25"/>
      <c r="L48" s="26" t="str">
        <f t="shared" si="4"/>
        <v/>
      </c>
      <c r="M48" s="25"/>
      <c r="N48" s="25"/>
      <c r="O48" s="25"/>
      <c r="P48" s="25"/>
      <c r="Q48" s="23"/>
      <c r="R48" s="22"/>
      <c r="S48" s="26" t="str">
        <f t="shared" si="5"/>
        <v/>
      </c>
      <c r="T48" s="26" t="str">
        <f>IF($B48="","",ROUND(MIN('Nhân viên'!L38,'Cài đặt'!$B$10)*'Cài đặt'!$B$5,0))</f>
        <v/>
      </c>
      <c r="U48" s="26" t="str">
        <f>IF($B48="","",ROUND(MIN('Nhân viên'!L38,'Cài đặt'!$B$10)*'Cài đặt'!$B$6,0))</f>
        <v/>
      </c>
      <c r="V48" s="26" t="str">
        <f>IF($B48="","",ROUND(MIN('Nhân viên'!L38,'Cài đặt'!$B$12)*'Cài đặt'!$B$7,0))</f>
        <v/>
      </c>
      <c r="W48" s="26" t="str">
        <f>IF($B48="","",'Cài đặt'!$B$13+'Nhân viên'!H38*'Cài đặt'!$B$14)</f>
        <v/>
      </c>
      <c r="X48" s="26" t="str">
        <f t="shared" si="6"/>
        <v/>
      </c>
      <c r="Y48" s="26" t="str">
        <f>IF($B48="","",ROUND(SUMPRODUCT((X48&gt;'Cài đặt'!$B$18:$B$22)*(X48-'Cài đặt'!$B$18:$B$22)*'Cài đặt'!$E$18:$E$22),0))</f>
        <v/>
      </c>
      <c r="Z48" s="25"/>
      <c r="AA48" s="25"/>
      <c r="AB48" s="26" t="str">
        <f t="shared" si="7"/>
        <v/>
      </c>
      <c r="AC48" s="62" t="str">
        <f t="shared" si="8"/>
        <v/>
      </c>
      <c r="AD48" s="22"/>
      <c r="AE48" s="69"/>
      <c r="AF48" s="22"/>
      <c r="AG48" s="23"/>
    </row>
    <row r="49" ht="21.75" customHeight="1">
      <c r="A49" s="39" t="str">
        <f t="shared" si="1"/>
        <v/>
      </c>
      <c r="B49" s="39" t="str">
        <f>IF('Nhân viên'!A39="","",'Nhân viên'!A39)</f>
        <v/>
      </c>
      <c r="C49" s="40" t="str">
        <f>IF($B49="","",'Nhân viên'!B39)</f>
        <v/>
      </c>
      <c r="D49" s="40" t="str">
        <f>IF($B49="","",'Nhân viên'!C39)</f>
        <v/>
      </c>
      <c r="E49" s="40" t="str">
        <f>IF($B49="","",'Nhân viên'!E39)</f>
        <v/>
      </c>
      <c r="F49" s="42" t="str">
        <f>IF(OR($B49="",'Nhân viên'!F39=""),"",'Nhân viên'!F39)</f>
        <v/>
      </c>
      <c r="G49" s="21" t="str">
        <f>IF($B49="","",'Nhân viên'!I39)</f>
        <v/>
      </c>
      <c r="H49" s="43" t="str">
        <f t="shared" si="2"/>
        <v/>
      </c>
      <c r="I49" s="44"/>
      <c r="J49" s="21" t="str">
        <f t="shared" si="3"/>
        <v/>
      </c>
      <c r="K49" s="16"/>
      <c r="L49" s="21" t="str">
        <f t="shared" si="4"/>
        <v/>
      </c>
      <c r="M49" s="16"/>
      <c r="N49" s="16"/>
      <c r="O49" s="16"/>
      <c r="P49" s="16"/>
      <c r="Q49" s="14"/>
      <c r="R49" s="13"/>
      <c r="S49" s="21" t="str">
        <f t="shared" si="5"/>
        <v/>
      </c>
      <c r="T49" s="21" t="str">
        <f>IF($B49="","",ROUND(MIN('Nhân viên'!L39,'Cài đặt'!$B$10)*'Cài đặt'!$B$5,0))</f>
        <v/>
      </c>
      <c r="U49" s="21" t="str">
        <f>IF($B49="","",ROUND(MIN('Nhân viên'!L39,'Cài đặt'!$B$10)*'Cài đặt'!$B$6,0))</f>
        <v/>
      </c>
      <c r="V49" s="21" t="str">
        <f>IF($B49="","",ROUND(MIN('Nhân viên'!L39,'Cài đặt'!$B$12)*'Cài đặt'!$B$7,0))</f>
        <v/>
      </c>
      <c r="W49" s="21" t="str">
        <f>IF($B49="","",'Cài đặt'!$B$13+'Nhân viên'!H39*'Cài đặt'!$B$14)</f>
        <v/>
      </c>
      <c r="X49" s="21" t="str">
        <f t="shared" si="6"/>
        <v/>
      </c>
      <c r="Y49" s="21" t="str">
        <f>IF($B49="","",ROUND(SUMPRODUCT((X49&gt;'Cài đặt'!$B$18:$B$22)*(X49-'Cài đặt'!$B$18:$B$22)*'Cài đặt'!$E$18:$E$22),0))</f>
        <v/>
      </c>
      <c r="Z49" s="16"/>
      <c r="AA49" s="16"/>
      <c r="AB49" s="21" t="str">
        <f t="shared" si="7"/>
        <v/>
      </c>
      <c r="AC49" s="62" t="str">
        <f t="shared" si="8"/>
        <v/>
      </c>
      <c r="AD49" s="13"/>
      <c r="AE49" s="63"/>
      <c r="AF49" s="13"/>
      <c r="AG49" s="14"/>
    </row>
    <row r="50" ht="21.75" customHeight="1">
      <c r="A50" s="57" t="str">
        <f t="shared" si="1"/>
        <v/>
      </c>
      <c r="B50" s="57" t="str">
        <f>IF('Nhân viên'!A40="","",'Nhân viên'!A40)</f>
        <v/>
      </c>
      <c r="C50" s="50" t="str">
        <f>IF($B50="","",'Nhân viên'!B40)</f>
        <v/>
      </c>
      <c r="D50" s="50" t="str">
        <f>IF($B50="","",'Nhân viên'!C40)</f>
        <v/>
      </c>
      <c r="E50" s="50" t="str">
        <f>IF($B50="","",'Nhân viên'!E40)</f>
        <v/>
      </c>
      <c r="F50" s="64" t="str">
        <f>IF(OR($B50="",'Nhân viên'!F40=""),"",'Nhân viên'!F40)</f>
        <v/>
      </c>
      <c r="G50" s="26" t="str">
        <f>IF($B50="","",'Nhân viên'!I40)</f>
        <v/>
      </c>
      <c r="H50" s="65" t="str">
        <f t="shared" si="2"/>
        <v/>
      </c>
      <c r="I50" s="66"/>
      <c r="J50" s="26" t="str">
        <f t="shared" si="3"/>
        <v/>
      </c>
      <c r="K50" s="25"/>
      <c r="L50" s="26" t="str">
        <f t="shared" si="4"/>
        <v/>
      </c>
      <c r="M50" s="25"/>
      <c r="N50" s="25"/>
      <c r="O50" s="25"/>
      <c r="P50" s="25"/>
      <c r="Q50" s="23"/>
      <c r="R50" s="22"/>
      <c r="S50" s="26" t="str">
        <f t="shared" si="5"/>
        <v/>
      </c>
      <c r="T50" s="26" t="str">
        <f>IF($B50="","",ROUND(MIN('Nhân viên'!L40,'Cài đặt'!$B$10)*'Cài đặt'!$B$5,0))</f>
        <v/>
      </c>
      <c r="U50" s="26" t="str">
        <f>IF($B50="","",ROUND(MIN('Nhân viên'!L40,'Cài đặt'!$B$10)*'Cài đặt'!$B$6,0))</f>
        <v/>
      </c>
      <c r="V50" s="26" t="str">
        <f>IF($B50="","",ROUND(MIN('Nhân viên'!L40,'Cài đặt'!$B$12)*'Cài đặt'!$B$7,0))</f>
        <v/>
      </c>
      <c r="W50" s="26" t="str">
        <f>IF($B50="","",'Cài đặt'!$B$13+'Nhân viên'!H40*'Cài đặt'!$B$14)</f>
        <v/>
      </c>
      <c r="X50" s="26" t="str">
        <f t="shared" si="6"/>
        <v/>
      </c>
      <c r="Y50" s="26" t="str">
        <f>IF($B50="","",ROUND(SUMPRODUCT((X50&gt;'Cài đặt'!$B$18:$B$22)*(X50-'Cài đặt'!$B$18:$B$22)*'Cài đặt'!$E$18:$E$22),0))</f>
        <v/>
      </c>
      <c r="Z50" s="25"/>
      <c r="AA50" s="25"/>
      <c r="AB50" s="26" t="str">
        <f t="shared" si="7"/>
        <v/>
      </c>
      <c r="AC50" s="62" t="str">
        <f t="shared" si="8"/>
        <v/>
      </c>
      <c r="AD50" s="22"/>
      <c r="AE50" s="69"/>
      <c r="AF50" s="22"/>
      <c r="AG50" s="23"/>
    </row>
    <row r="51" ht="21.75" customHeight="1">
      <c r="A51" s="39" t="str">
        <f t="shared" si="1"/>
        <v/>
      </c>
      <c r="B51" s="39" t="str">
        <f>IF('Nhân viên'!A41="","",'Nhân viên'!A41)</f>
        <v/>
      </c>
      <c r="C51" s="40" t="str">
        <f>IF($B51="","",'Nhân viên'!B41)</f>
        <v/>
      </c>
      <c r="D51" s="40" t="str">
        <f>IF($B51="","",'Nhân viên'!C41)</f>
        <v/>
      </c>
      <c r="E51" s="40" t="str">
        <f>IF($B51="","",'Nhân viên'!E41)</f>
        <v/>
      </c>
      <c r="F51" s="42" t="str">
        <f>IF(OR($B51="",'Nhân viên'!F41=""),"",'Nhân viên'!F41)</f>
        <v/>
      </c>
      <c r="G51" s="21" t="str">
        <f>IF($B51="","",'Nhân viên'!I41)</f>
        <v/>
      </c>
      <c r="H51" s="43" t="str">
        <f t="shared" si="2"/>
        <v/>
      </c>
      <c r="I51" s="44"/>
      <c r="J51" s="21" t="str">
        <f t="shared" si="3"/>
        <v/>
      </c>
      <c r="K51" s="16"/>
      <c r="L51" s="21" t="str">
        <f t="shared" si="4"/>
        <v/>
      </c>
      <c r="M51" s="16"/>
      <c r="N51" s="16"/>
      <c r="O51" s="16"/>
      <c r="P51" s="16"/>
      <c r="Q51" s="14"/>
      <c r="R51" s="13"/>
      <c r="S51" s="21" t="str">
        <f t="shared" si="5"/>
        <v/>
      </c>
      <c r="T51" s="21" t="str">
        <f>IF($B51="","",ROUND(MIN('Nhân viên'!L41,'Cài đặt'!$B$10)*'Cài đặt'!$B$5,0))</f>
        <v/>
      </c>
      <c r="U51" s="21" t="str">
        <f>IF($B51="","",ROUND(MIN('Nhân viên'!L41,'Cài đặt'!$B$10)*'Cài đặt'!$B$6,0))</f>
        <v/>
      </c>
      <c r="V51" s="21" t="str">
        <f>IF($B51="","",ROUND(MIN('Nhân viên'!L41,'Cài đặt'!$B$12)*'Cài đặt'!$B$7,0))</f>
        <v/>
      </c>
      <c r="W51" s="21" t="str">
        <f>IF($B51="","",'Cài đặt'!$B$13+'Nhân viên'!H41*'Cài đặt'!$B$14)</f>
        <v/>
      </c>
      <c r="X51" s="21" t="str">
        <f t="shared" si="6"/>
        <v/>
      </c>
      <c r="Y51" s="21" t="str">
        <f>IF($B51="","",ROUND(SUMPRODUCT((X51&gt;'Cài đặt'!$B$18:$B$22)*(X51-'Cài đặt'!$B$18:$B$22)*'Cài đặt'!$E$18:$E$22),0))</f>
        <v/>
      </c>
      <c r="Z51" s="16"/>
      <c r="AA51" s="16"/>
      <c r="AB51" s="21" t="str">
        <f t="shared" si="7"/>
        <v/>
      </c>
      <c r="AC51" s="62" t="str">
        <f t="shared" si="8"/>
        <v/>
      </c>
      <c r="AD51" s="13"/>
      <c r="AE51" s="63"/>
      <c r="AF51" s="13"/>
      <c r="AG51" s="14"/>
    </row>
    <row r="52" ht="21.75" customHeight="1">
      <c r="A52" s="57" t="str">
        <f t="shared" si="1"/>
        <v/>
      </c>
      <c r="B52" s="57" t="str">
        <f>IF('Nhân viên'!A42="","",'Nhân viên'!A42)</f>
        <v/>
      </c>
      <c r="C52" s="50" t="str">
        <f>IF($B52="","",'Nhân viên'!B42)</f>
        <v/>
      </c>
      <c r="D52" s="50" t="str">
        <f>IF($B52="","",'Nhân viên'!C42)</f>
        <v/>
      </c>
      <c r="E52" s="50" t="str">
        <f>IF($B52="","",'Nhân viên'!E42)</f>
        <v/>
      </c>
      <c r="F52" s="64" t="str">
        <f>IF(OR($B52="",'Nhân viên'!F42=""),"",'Nhân viên'!F42)</f>
        <v/>
      </c>
      <c r="G52" s="26" t="str">
        <f>IF($B52="","",'Nhân viên'!I42)</f>
        <v/>
      </c>
      <c r="H52" s="65" t="str">
        <f t="shared" si="2"/>
        <v/>
      </c>
      <c r="I52" s="66"/>
      <c r="J52" s="26" t="str">
        <f t="shared" si="3"/>
        <v/>
      </c>
      <c r="K52" s="25"/>
      <c r="L52" s="26" t="str">
        <f t="shared" si="4"/>
        <v/>
      </c>
      <c r="M52" s="25"/>
      <c r="N52" s="25"/>
      <c r="O52" s="25"/>
      <c r="P52" s="25"/>
      <c r="Q52" s="23"/>
      <c r="R52" s="22"/>
      <c r="S52" s="26" t="str">
        <f t="shared" si="5"/>
        <v/>
      </c>
      <c r="T52" s="26" t="str">
        <f>IF($B52="","",ROUND(MIN('Nhân viên'!L42,'Cài đặt'!$B$10)*'Cài đặt'!$B$5,0))</f>
        <v/>
      </c>
      <c r="U52" s="26" t="str">
        <f>IF($B52="","",ROUND(MIN('Nhân viên'!L42,'Cài đặt'!$B$10)*'Cài đặt'!$B$6,0))</f>
        <v/>
      </c>
      <c r="V52" s="26" t="str">
        <f>IF($B52="","",ROUND(MIN('Nhân viên'!L42,'Cài đặt'!$B$12)*'Cài đặt'!$B$7,0))</f>
        <v/>
      </c>
      <c r="W52" s="26" t="str">
        <f>IF($B52="","",'Cài đặt'!$B$13+'Nhân viên'!H42*'Cài đặt'!$B$14)</f>
        <v/>
      </c>
      <c r="X52" s="26" t="str">
        <f t="shared" si="6"/>
        <v/>
      </c>
      <c r="Y52" s="26" t="str">
        <f>IF($B52="","",ROUND(SUMPRODUCT((X52&gt;'Cài đặt'!$B$18:$B$22)*(X52-'Cài đặt'!$B$18:$B$22)*'Cài đặt'!$E$18:$E$22),0))</f>
        <v/>
      </c>
      <c r="Z52" s="25"/>
      <c r="AA52" s="25"/>
      <c r="AB52" s="26" t="str">
        <f t="shared" si="7"/>
        <v/>
      </c>
      <c r="AC52" s="62" t="str">
        <f t="shared" si="8"/>
        <v/>
      </c>
      <c r="AD52" s="22"/>
      <c r="AE52" s="69"/>
      <c r="AF52" s="22"/>
      <c r="AG52" s="23"/>
    </row>
    <row r="53" ht="21.75" customHeight="1">
      <c r="A53" s="39" t="str">
        <f t="shared" si="1"/>
        <v/>
      </c>
      <c r="B53" s="39" t="str">
        <f>IF('Nhân viên'!A43="","",'Nhân viên'!A43)</f>
        <v/>
      </c>
      <c r="C53" s="40" t="str">
        <f>IF($B53="","",'Nhân viên'!B43)</f>
        <v/>
      </c>
      <c r="D53" s="40" t="str">
        <f>IF($B53="","",'Nhân viên'!C43)</f>
        <v/>
      </c>
      <c r="E53" s="40" t="str">
        <f>IF($B53="","",'Nhân viên'!E43)</f>
        <v/>
      </c>
      <c r="F53" s="42" t="str">
        <f>IF(OR($B53="",'Nhân viên'!F43=""),"",'Nhân viên'!F43)</f>
        <v/>
      </c>
      <c r="G53" s="21" t="str">
        <f>IF($B53="","",'Nhân viên'!I43)</f>
        <v/>
      </c>
      <c r="H53" s="43" t="str">
        <f t="shared" si="2"/>
        <v/>
      </c>
      <c r="I53" s="44"/>
      <c r="J53" s="21" t="str">
        <f t="shared" si="3"/>
        <v/>
      </c>
      <c r="K53" s="16"/>
      <c r="L53" s="21" t="str">
        <f t="shared" si="4"/>
        <v/>
      </c>
      <c r="M53" s="16"/>
      <c r="N53" s="16"/>
      <c r="O53" s="16"/>
      <c r="P53" s="16"/>
      <c r="Q53" s="14"/>
      <c r="R53" s="13"/>
      <c r="S53" s="21" t="str">
        <f t="shared" si="5"/>
        <v/>
      </c>
      <c r="T53" s="21" t="str">
        <f>IF($B53="","",ROUND(MIN('Nhân viên'!L43,'Cài đặt'!$B$10)*'Cài đặt'!$B$5,0))</f>
        <v/>
      </c>
      <c r="U53" s="21" t="str">
        <f>IF($B53="","",ROUND(MIN('Nhân viên'!L43,'Cài đặt'!$B$10)*'Cài đặt'!$B$6,0))</f>
        <v/>
      </c>
      <c r="V53" s="21" t="str">
        <f>IF($B53="","",ROUND(MIN('Nhân viên'!L43,'Cài đặt'!$B$12)*'Cài đặt'!$B$7,0))</f>
        <v/>
      </c>
      <c r="W53" s="21" t="str">
        <f>IF($B53="","",'Cài đặt'!$B$13+'Nhân viên'!H43*'Cài đặt'!$B$14)</f>
        <v/>
      </c>
      <c r="X53" s="21" t="str">
        <f t="shared" si="6"/>
        <v/>
      </c>
      <c r="Y53" s="21" t="str">
        <f>IF($B53="","",ROUND(SUMPRODUCT((X53&gt;'Cài đặt'!$B$18:$B$22)*(X53-'Cài đặt'!$B$18:$B$22)*'Cài đặt'!$E$18:$E$22),0))</f>
        <v/>
      </c>
      <c r="Z53" s="16"/>
      <c r="AA53" s="16"/>
      <c r="AB53" s="21" t="str">
        <f t="shared" si="7"/>
        <v/>
      </c>
      <c r="AC53" s="62" t="str">
        <f t="shared" si="8"/>
        <v/>
      </c>
      <c r="AD53" s="13"/>
      <c r="AE53" s="63"/>
      <c r="AF53" s="13"/>
      <c r="AG53" s="14"/>
    </row>
    <row r="54" ht="21.75" customHeight="1">
      <c r="A54" s="57" t="str">
        <f t="shared" si="1"/>
        <v/>
      </c>
      <c r="B54" s="57" t="str">
        <f>IF('Nhân viên'!A44="","",'Nhân viên'!A44)</f>
        <v/>
      </c>
      <c r="C54" s="50" t="str">
        <f>IF($B54="","",'Nhân viên'!B44)</f>
        <v/>
      </c>
      <c r="D54" s="50" t="str">
        <f>IF($B54="","",'Nhân viên'!C44)</f>
        <v/>
      </c>
      <c r="E54" s="50" t="str">
        <f>IF($B54="","",'Nhân viên'!E44)</f>
        <v/>
      </c>
      <c r="F54" s="64" t="str">
        <f>IF(OR($B54="",'Nhân viên'!F44=""),"",'Nhân viên'!F44)</f>
        <v/>
      </c>
      <c r="G54" s="26" t="str">
        <f>IF($B54="","",'Nhân viên'!I44)</f>
        <v/>
      </c>
      <c r="H54" s="65" t="str">
        <f t="shared" si="2"/>
        <v/>
      </c>
      <c r="I54" s="66"/>
      <c r="J54" s="26" t="str">
        <f t="shared" si="3"/>
        <v/>
      </c>
      <c r="K54" s="25"/>
      <c r="L54" s="26" t="str">
        <f t="shared" si="4"/>
        <v/>
      </c>
      <c r="M54" s="25"/>
      <c r="N54" s="25"/>
      <c r="O54" s="25"/>
      <c r="P54" s="25"/>
      <c r="Q54" s="23"/>
      <c r="R54" s="22"/>
      <c r="S54" s="26" t="str">
        <f t="shared" si="5"/>
        <v/>
      </c>
      <c r="T54" s="26" t="str">
        <f>IF($B54="","",ROUND(MIN('Nhân viên'!L44,'Cài đặt'!$B$10)*'Cài đặt'!$B$5,0))</f>
        <v/>
      </c>
      <c r="U54" s="26" t="str">
        <f>IF($B54="","",ROUND(MIN('Nhân viên'!L44,'Cài đặt'!$B$10)*'Cài đặt'!$B$6,0))</f>
        <v/>
      </c>
      <c r="V54" s="26" t="str">
        <f>IF($B54="","",ROUND(MIN('Nhân viên'!L44,'Cài đặt'!$B$12)*'Cài đặt'!$B$7,0))</f>
        <v/>
      </c>
      <c r="W54" s="26" t="str">
        <f>IF($B54="","",'Cài đặt'!$B$13+'Nhân viên'!H44*'Cài đặt'!$B$14)</f>
        <v/>
      </c>
      <c r="X54" s="26" t="str">
        <f t="shared" si="6"/>
        <v/>
      </c>
      <c r="Y54" s="26" t="str">
        <f>IF($B54="","",ROUND(SUMPRODUCT((X54&gt;'Cài đặt'!$B$18:$B$22)*(X54-'Cài đặt'!$B$18:$B$22)*'Cài đặt'!$E$18:$E$22),0))</f>
        <v/>
      </c>
      <c r="Z54" s="25"/>
      <c r="AA54" s="25"/>
      <c r="AB54" s="26" t="str">
        <f t="shared" si="7"/>
        <v/>
      </c>
      <c r="AC54" s="62" t="str">
        <f t="shared" si="8"/>
        <v/>
      </c>
      <c r="AD54" s="22"/>
      <c r="AE54" s="69"/>
      <c r="AF54" s="22"/>
      <c r="AG54" s="23"/>
    </row>
    <row r="55" ht="27.75" customHeight="1">
      <c r="A55" s="70" t="s">
        <v>167</v>
      </c>
      <c r="B55" s="46"/>
      <c r="C55" s="46"/>
      <c r="D55" s="46"/>
      <c r="E55" s="46"/>
      <c r="F55" s="47"/>
      <c r="G55" s="71"/>
      <c r="H55" s="71"/>
      <c r="I55" s="71"/>
      <c r="J55" s="68">
        <f t="shared" ref="J55:P55" si="9">SUM(J15:J54)</f>
        <v>152538461</v>
      </c>
      <c r="K55" s="68">
        <f t="shared" si="9"/>
        <v>500000</v>
      </c>
      <c r="L55" s="68">
        <f t="shared" si="9"/>
        <v>153038461</v>
      </c>
      <c r="M55" s="68">
        <f t="shared" si="9"/>
        <v>5500000</v>
      </c>
      <c r="N55" s="68">
        <f t="shared" si="9"/>
        <v>5840000</v>
      </c>
      <c r="O55" s="68">
        <f t="shared" si="9"/>
        <v>8000000</v>
      </c>
      <c r="P55" s="68">
        <f t="shared" si="9"/>
        <v>500000</v>
      </c>
      <c r="Q55" s="71"/>
      <c r="R55" s="71"/>
      <c r="S55" s="68">
        <f t="shared" ref="S55:V55" si="10">SUM(S15:S54)</f>
        <v>169878461</v>
      </c>
      <c r="T55" s="68">
        <f t="shared" si="10"/>
        <v>11640000</v>
      </c>
      <c r="U55" s="68">
        <f t="shared" si="10"/>
        <v>2182500</v>
      </c>
      <c r="V55" s="68">
        <f t="shared" si="10"/>
        <v>1455000</v>
      </c>
      <c r="W55" s="71"/>
      <c r="X55" s="68">
        <f t="shared" ref="X55:AC55" si="11">SUM(X15:X54)</f>
        <v>28667692</v>
      </c>
      <c r="Y55" s="68">
        <f t="shared" si="11"/>
        <v>1702135</v>
      </c>
      <c r="Z55" s="68">
        <f t="shared" si="11"/>
        <v>5000000</v>
      </c>
      <c r="AA55" s="68">
        <f t="shared" si="11"/>
        <v>200000</v>
      </c>
      <c r="AB55" s="68">
        <f t="shared" si="11"/>
        <v>22179635</v>
      </c>
      <c r="AC55" s="68">
        <f t="shared" si="11"/>
        <v>147698826</v>
      </c>
      <c r="AD55" s="71"/>
      <c r="AE55" s="71"/>
      <c r="AF55" s="71"/>
      <c r="AG55" s="71"/>
    </row>
    <row r="56" ht="15.75" customHeight="1"/>
    <row r="57" ht="15.75" customHeight="1">
      <c r="A57" s="54" t="s">
        <v>181</v>
      </c>
    </row>
    <row r="58" ht="15.75" customHeight="1">
      <c r="A58" s="7" t="s">
        <v>182</v>
      </c>
      <c r="E58" s="72"/>
      <c r="F58" s="47"/>
    </row>
    <row r="59" ht="15.75" customHeight="1">
      <c r="A59" s="7" t="s">
        <v>183</v>
      </c>
      <c r="E59" s="73">
        <f>E9</f>
        <v>86064307</v>
      </c>
      <c r="F59" s="47"/>
    </row>
    <row r="60" ht="15.75" customHeight="1">
      <c r="A60" s="7" t="s">
        <v>184</v>
      </c>
      <c r="E60" s="73" t="str">
        <f>IF(E58="","Chưa nhập chứng từ",E59-E58)</f>
        <v>Chưa nhập chứng từ</v>
      </c>
      <c r="F60" s="47"/>
      <c r="G60" s="41" t="str">
        <f>IF(E58="","",IF(E59=E58,"Khớp","Lệch – cần đối chiếu"))</f>
        <v/>
      </c>
    </row>
    <row r="61" ht="15.75" customHeight="1"/>
    <row r="62" ht="15.75" customHeight="1">
      <c r="B62" s="74" t="s">
        <v>185</v>
      </c>
      <c r="H62" s="74" t="s">
        <v>186</v>
      </c>
      <c r="N62" s="74" t="s">
        <v>187</v>
      </c>
    </row>
    <row r="63" ht="15.75" customHeight="1">
      <c r="B63" s="75" t="s">
        <v>188</v>
      </c>
      <c r="H63" s="75" t="s">
        <v>188</v>
      </c>
      <c r="N63" s="75" t="s">
        <v>188</v>
      </c>
    </row>
    <row r="64" ht="21.75" customHeight="1"/>
    <row r="65" ht="21.75" customHeight="1"/>
    <row r="66" ht="21.75" customHeight="1"/>
    <row r="67" ht="15.75" customHeight="1">
      <c r="B67" s="76" t="s">
        <v>189</v>
      </c>
      <c r="C67" s="4"/>
      <c r="D67" s="9"/>
      <c r="H67" s="76" t="s">
        <v>190</v>
      </c>
      <c r="I67" s="4"/>
      <c r="J67" s="4"/>
      <c r="K67" s="9"/>
      <c r="N67" s="76" t="s">
        <v>191</v>
      </c>
      <c r="O67" s="4"/>
      <c r="P67" s="4"/>
      <c r="Q67" s="9"/>
    </row>
    <row r="68" ht="15.75" customHeight="1">
      <c r="B68" s="77">
        <v>46323.0</v>
      </c>
      <c r="H68" s="77">
        <v>46323.0</v>
      </c>
      <c r="N68" s="77">
        <v>46323.0</v>
      </c>
    </row>
    <row r="69" ht="15.75" customHeight="1"/>
    <row r="70" ht="15.75" customHeight="1">
      <c r="A70" s="54" t="s">
        <v>192</v>
      </c>
    </row>
    <row r="71" ht="27.75" customHeight="1">
      <c r="A71" s="78" t="s">
        <v>193</v>
      </c>
    </row>
    <row r="72" ht="27.75" customHeight="1">
      <c r="A72" s="78" t="s">
        <v>194</v>
      </c>
    </row>
    <row r="73" ht="27.75" customHeight="1">
      <c r="A73" s="78" t="s">
        <v>195</v>
      </c>
    </row>
    <row r="74" ht="27.75" customHeight="1">
      <c r="A74" s="78" t="s">
        <v>196</v>
      </c>
    </row>
    <row r="75" ht="27.75" customHeight="1">
      <c r="A75" s="78" t="s">
        <v>197</v>
      </c>
    </row>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4">
    <mergeCell ref="A60:D60"/>
    <mergeCell ref="B62:D62"/>
    <mergeCell ref="H62:K62"/>
    <mergeCell ref="N62:Q62"/>
    <mergeCell ref="B63:D63"/>
    <mergeCell ref="H63:K63"/>
    <mergeCell ref="N63:Q63"/>
    <mergeCell ref="A55:F55"/>
    <mergeCell ref="A58:D58"/>
    <mergeCell ref="E58:F58"/>
    <mergeCell ref="A59:D59"/>
    <mergeCell ref="E59:F59"/>
    <mergeCell ref="E60:F60"/>
    <mergeCell ref="G60:I60"/>
    <mergeCell ref="A2:AG2"/>
    <mergeCell ref="C4:D4"/>
    <mergeCell ref="E4:G4"/>
    <mergeCell ref="H4:K4"/>
    <mergeCell ref="L4:N4"/>
    <mergeCell ref="O4:Q4"/>
    <mergeCell ref="D1:Q1"/>
    <mergeCell ref="A4:B4"/>
    <mergeCell ref="A5:B5"/>
    <mergeCell ref="C5:D5"/>
    <mergeCell ref="E5:G6"/>
    <mergeCell ref="H5:K6"/>
    <mergeCell ref="L5:N6"/>
    <mergeCell ref="O5:Q6"/>
    <mergeCell ref="H8:K8"/>
    <mergeCell ref="L8:N8"/>
    <mergeCell ref="O8:Q8"/>
    <mergeCell ref="A10:B10"/>
    <mergeCell ref="A11:B11"/>
    <mergeCell ref="C11:D11"/>
    <mergeCell ref="A13:F13"/>
    <mergeCell ref="G13:L13"/>
    <mergeCell ref="M13:S13"/>
    <mergeCell ref="T13:AC13"/>
    <mergeCell ref="AD13:AG13"/>
    <mergeCell ref="A9:B9"/>
    <mergeCell ref="C9:D9"/>
    <mergeCell ref="E9:G10"/>
    <mergeCell ref="H9:K10"/>
    <mergeCell ref="L9:N10"/>
    <mergeCell ref="O9:Q10"/>
    <mergeCell ref="C10:D10"/>
    <mergeCell ref="A6:B6"/>
    <mergeCell ref="C6:D6"/>
    <mergeCell ref="A7:B7"/>
    <mergeCell ref="C7:D7"/>
    <mergeCell ref="A8:B8"/>
    <mergeCell ref="C8:D8"/>
    <mergeCell ref="E8:G8"/>
    <mergeCell ref="A72:Q72"/>
    <mergeCell ref="A73:Q73"/>
    <mergeCell ref="A74:Q74"/>
    <mergeCell ref="A75:Q75"/>
    <mergeCell ref="B67:D67"/>
    <mergeCell ref="H67:K67"/>
    <mergeCell ref="N67:Q67"/>
    <mergeCell ref="B68:D68"/>
    <mergeCell ref="H68:K68"/>
    <mergeCell ref="N68:Q68"/>
    <mergeCell ref="A71:Q71"/>
  </mergeCells>
  <conditionalFormatting sqref="G60">
    <cfRule type="expression" dxfId="0" priority="1">
      <formula>G60="Lệch – cần đối chiếu"</formula>
    </cfRule>
  </conditionalFormatting>
  <conditionalFormatting sqref="AD15:AD54">
    <cfRule type="cellIs" dxfId="1" priority="2" operator="equal">
      <formula>"Đã thanh toán"</formula>
    </cfRule>
  </conditionalFormatting>
  <conditionalFormatting sqref="AD15:AD54">
    <cfRule type="cellIs" dxfId="2" priority="3" operator="equal">
      <formula>"Chưa thanh toán"</formula>
    </cfRule>
  </conditionalFormatting>
  <conditionalFormatting sqref="R15:R54">
    <cfRule type="cellIs" dxfId="3" priority="4" operator="equal">
      <formula>"Chờ xác nhận"</formula>
    </cfRule>
  </conditionalFormatting>
  <conditionalFormatting sqref="AC15:AC54">
    <cfRule type="cellIs" dxfId="0" priority="5" operator="lessThan">
      <formula>0</formula>
    </cfRule>
  </conditionalFormatting>
  <dataValidations>
    <dataValidation type="list" allowBlank="1" sqref="R15:R54">
      <formula1>"Đã xác nhận,Chờ xác nhận"</formula1>
    </dataValidation>
    <dataValidation type="list" allowBlank="1" sqref="AD15:AD54">
      <formula1>"Chưa thanh toán,Đã thanh toán"</formula1>
    </dataValidation>
    <dataValidation type="decimal" allowBlank="1" sqref="I15:I54">
      <formula1>0.0</formula1>
      <formula2>31.0</formula2>
    </dataValidation>
  </dataValidations>
  <printOptions/>
  <pageMargins bottom="1.0" footer="0.0" header="0.0" left="0.75" right="0.75" top="1.0"/>
  <pageSetup fitToHeight="0" paperSize="8"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3F3F46"/>
    <pageSetUpPr/>
  </sheetPr>
  <sheetViews>
    <sheetView showGridLines="0" workbookViewId="0"/>
  </sheetViews>
  <sheetFormatPr customHeight="1" defaultColWidth="14.43" defaultRowHeight="15.0"/>
  <cols>
    <col customWidth="1" min="1" max="1" width="20.0"/>
    <col customWidth="1" min="2" max="2" width="12.0"/>
    <col customWidth="1" min="3" max="4" width="18.0"/>
    <col customWidth="1" min="5" max="5" width="16.0"/>
    <col customWidth="1" min="6" max="9" width="18.0"/>
    <col customWidth="1" min="10" max="26" width="8.71"/>
  </cols>
  <sheetData>
    <row r="1" ht="42.0" customHeight="1">
      <c r="A1" s="1" t="s">
        <v>119</v>
      </c>
      <c r="B1" s="4"/>
      <c r="C1" s="4"/>
      <c r="D1" s="4"/>
      <c r="E1" s="4"/>
      <c r="F1" s="4"/>
      <c r="G1" s="4"/>
      <c r="H1" s="4"/>
      <c r="I1" s="9"/>
    </row>
    <row r="2" ht="19.5" customHeight="1">
      <c r="A2" s="6" t="s">
        <v>120</v>
      </c>
    </row>
    <row r="3">
      <c r="A3" s="41" t="str">
        <f>"Tháng "&amp;TEXT('Bảng lương'!$C$6,"mm/yyyy")&amp;"  |  "&amp;'Bảng lương'!$C$4&amp;" – "&amp;'Bảng lương'!$C$5</f>
        <v>Tháng 10/2026  |  Công ty TNHH ABC – Trụ sở chính</v>
      </c>
    </row>
    <row r="5" ht="33.75" customHeight="1">
      <c r="A5" s="12" t="s">
        <v>11</v>
      </c>
      <c r="B5" s="12" t="s">
        <v>4</v>
      </c>
      <c r="C5" s="12" t="s">
        <v>7</v>
      </c>
      <c r="D5" s="12" t="s">
        <v>121</v>
      </c>
      <c r="E5" s="12" t="s">
        <v>111</v>
      </c>
      <c r="F5" s="12" t="s">
        <v>9</v>
      </c>
      <c r="G5" s="12" t="s">
        <v>122</v>
      </c>
      <c r="H5" s="12" t="s">
        <v>68</v>
      </c>
      <c r="I5" s="12" t="s">
        <v>71</v>
      </c>
    </row>
    <row r="6" ht="21.75" customHeight="1">
      <c r="A6" s="40" t="str">
        <f>'Cài đặt'!A26</f>
        <v>Ban giám đốc</v>
      </c>
      <c r="B6" s="21">
        <f>COUNTIF('Bảng lương'!$D$15:$D$54,A6)</f>
        <v>1</v>
      </c>
      <c r="C6" s="21">
        <f>SUMIF('Bảng lương'!$D$15:$D$54,A6,'Bảng lương'!$S$15:$S$54)</f>
        <v>48730000</v>
      </c>
      <c r="D6" s="21">
        <f>SUMIF('Bảng lương'!$D$15:$D$54,A6,'Bảng lương'!$T$15:$T$54)+SUMIF('Bảng lương'!$D$15:$D$54,A6,'Bảng lương'!$U$15:$U$54)+SUMIF('Bảng lương'!$D$15:$D$54,A6,'Bảng lương'!$V$15:$V$54)</f>
        <v>4725000</v>
      </c>
      <c r="E6" s="21">
        <f>SUMIF('Bảng lương'!$D$15:$D$54,A6,'Bảng lương'!$Y$15:$Y$54)</f>
        <v>1037500</v>
      </c>
      <c r="F6" s="21">
        <f>SUMIF('Bảng lương'!$D$15:$D$54,A6,'Bảng lương'!$AB$15:$AB$54)</f>
        <v>5762500</v>
      </c>
      <c r="G6" s="21">
        <f>SUMIF('Bảng lương'!$D$15:$D$54,A6,'Bảng lương'!$AC$15:$AC$54)</f>
        <v>42967500</v>
      </c>
      <c r="H6" s="21">
        <f>SUMIFS('Bảng lương'!$AC$15:$AC$54,'Bảng lương'!$D$15:$D$54,A6,'Bảng lương'!$AD$15:$AD$54,"Đã thanh toán")</f>
        <v>42967500</v>
      </c>
      <c r="I6" s="21">
        <f t="shared" ref="I6:I12" si="1">G6-H6</f>
        <v>0</v>
      </c>
    </row>
    <row r="7" ht="21.75" customHeight="1">
      <c r="A7" s="50" t="str">
        <f>'Cài đặt'!A27</f>
        <v>Kế toán</v>
      </c>
      <c r="B7" s="26">
        <f>COUNTIF('Bảng lương'!$D$15:$D$54,A7)</f>
        <v>2</v>
      </c>
      <c r="C7" s="26">
        <f>SUMIF('Bảng lương'!$D$15:$D$54,A7,'Bảng lương'!$S$15:$S$54)</f>
        <v>33421538</v>
      </c>
      <c r="D7" s="26">
        <f>SUMIF('Bảng lương'!$D$15:$D$54,A7,'Bảng lương'!$T$15:$T$54)+SUMIF('Bảng lương'!$D$15:$D$54,A7,'Bảng lương'!$U$15:$U$54)+SUMIF('Bảng lương'!$D$15:$D$54,A7,'Bảng lương'!$V$15:$V$54)</f>
        <v>2310000</v>
      </c>
      <c r="E7" s="26">
        <f>SUMIF('Bảng lương'!$D$15:$D$54,A7,'Bảng lương'!$Y$15:$Y$54)</f>
        <v>0</v>
      </c>
      <c r="F7" s="26">
        <f>SUMIF('Bảng lương'!$D$15:$D$54,A7,'Bảng lương'!$AB$15:$AB$54)</f>
        <v>2510000</v>
      </c>
      <c r="G7" s="26">
        <f>SUMIF('Bảng lương'!$D$15:$D$54,A7,'Bảng lương'!$AC$15:$AC$54)</f>
        <v>30911538</v>
      </c>
      <c r="H7" s="26">
        <f>SUMIFS('Bảng lương'!$AC$15:$AC$54,'Bảng lương'!$D$15:$D$54,A7,'Bảng lương'!$AD$15:$AD$54,"Đã thanh toán")</f>
        <v>21720000</v>
      </c>
      <c r="I7" s="26">
        <f t="shared" si="1"/>
        <v>9191538</v>
      </c>
    </row>
    <row r="8" ht="21.75" customHeight="1">
      <c r="A8" s="40" t="str">
        <f>'Cài đặt'!A28</f>
        <v>Kinh doanh</v>
      </c>
      <c r="B8" s="21">
        <f>COUNTIF('Bảng lương'!$D$15:$D$54,A8)</f>
        <v>2</v>
      </c>
      <c r="C8" s="21">
        <f>SUMIF('Bảng lương'!$D$15:$D$54,A8,'Bảng lương'!$S$15:$S$54)</f>
        <v>36267692</v>
      </c>
      <c r="D8" s="21">
        <f>SUMIF('Bảng lương'!$D$15:$D$54,A8,'Bảng lương'!$T$15:$T$54)+SUMIF('Bảng lương'!$D$15:$D$54,A8,'Bảng lương'!$U$15:$U$54)+SUMIF('Bảng lương'!$D$15:$D$54,A8,'Bảng lương'!$V$15:$V$54)</f>
        <v>3150000</v>
      </c>
      <c r="E8" s="21">
        <f>SUMIF('Bảng lương'!$D$15:$D$54,A8,'Bảng lương'!$Y$15:$Y$54)</f>
        <v>270885</v>
      </c>
      <c r="F8" s="21">
        <f>SUMIF('Bảng lương'!$D$15:$D$54,A8,'Bảng lương'!$AB$15:$AB$54)</f>
        <v>6420885</v>
      </c>
      <c r="G8" s="21">
        <f>SUMIF('Bảng lương'!$D$15:$D$54,A8,'Bảng lương'!$AC$15:$AC$54)</f>
        <v>29846807</v>
      </c>
      <c r="H8" s="21">
        <f>SUMIFS('Bảng lương'!$AC$15:$AC$54,'Bảng lương'!$D$15:$D$54,A8,'Bảng lương'!$AD$15:$AD$54,"Đã thanh toán")</f>
        <v>21376807</v>
      </c>
      <c r="I8" s="21">
        <f t="shared" si="1"/>
        <v>8470000</v>
      </c>
    </row>
    <row r="9" ht="21.75" customHeight="1">
      <c r="A9" s="50" t="str">
        <f>'Cài đặt'!A29</f>
        <v>Nhân sự</v>
      </c>
      <c r="B9" s="26">
        <f>COUNTIF('Bảng lương'!$D$15:$D$54,A9)</f>
        <v>1</v>
      </c>
      <c r="C9" s="26">
        <f>SUMIF('Bảng lương'!$D$15:$D$54,A9,'Bảng lương'!$S$15:$S$54)</f>
        <v>15230000</v>
      </c>
      <c r="D9" s="26">
        <f>SUMIF('Bảng lương'!$D$15:$D$54,A9,'Bảng lương'!$T$15:$T$54)+SUMIF('Bảng lương'!$D$15:$D$54,A9,'Bảng lương'!$U$15:$U$54)+SUMIF('Bảng lương'!$D$15:$D$54,A9,'Bảng lương'!$V$15:$V$54)</f>
        <v>1470000</v>
      </c>
      <c r="E9" s="26">
        <f>SUMIF('Bảng lương'!$D$15:$D$54,A9,'Bảng lương'!$Y$15:$Y$54)</f>
        <v>0</v>
      </c>
      <c r="F9" s="26">
        <f>SUMIF('Bảng lương'!$D$15:$D$54,A9,'Bảng lương'!$AB$15:$AB$54)</f>
        <v>1470000</v>
      </c>
      <c r="G9" s="26">
        <f>SUMIF('Bảng lương'!$D$15:$D$54,A9,'Bảng lương'!$AC$15:$AC$54)</f>
        <v>13760000</v>
      </c>
      <c r="H9" s="26">
        <f>SUMIFS('Bảng lương'!$AC$15:$AC$54,'Bảng lương'!$D$15:$D$54,A9,'Bảng lương'!$AD$15:$AD$54,"Đã thanh toán")</f>
        <v>0</v>
      </c>
      <c r="I9" s="26">
        <f t="shared" si="1"/>
        <v>13760000</v>
      </c>
    </row>
    <row r="10" ht="21.75" customHeight="1">
      <c r="A10" s="40" t="str">
        <f>'Cài đặt'!A30</f>
        <v>Kỹ thuật</v>
      </c>
      <c r="B10" s="21">
        <f>COUNTIF('Bảng lương'!$D$15:$D$54,A10)</f>
        <v>1</v>
      </c>
      <c r="C10" s="21">
        <f>SUMIF('Bảng lương'!$D$15:$D$54,A10,'Bảng lương'!$S$15:$S$54)</f>
        <v>26730000</v>
      </c>
      <c r="D10" s="21">
        <f>SUMIF('Bảng lương'!$D$15:$D$54,A10,'Bảng lương'!$T$15:$T$54)+SUMIF('Bảng lương'!$D$15:$D$54,A10,'Bảng lương'!$U$15:$U$54)+SUMIF('Bảng lương'!$D$15:$D$54,A10,'Bảng lương'!$V$15:$V$54)</f>
        <v>2625000</v>
      </c>
      <c r="E10" s="21">
        <f>SUMIF('Bảng lương'!$D$15:$D$54,A10,'Bảng lương'!$Y$15:$Y$54)</f>
        <v>393750</v>
      </c>
      <c r="F10" s="21">
        <f>SUMIF('Bảng lương'!$D$15:$D$54,A10,'Bảng lương'!$AB$15:$AB$54)</f>
        <v>3018750</v>
      </c>
      <c r="G10" s="21">
        <f>SUMIF('Bảng lương'!$D$15:$D$54,A10,'Bảng lương'!$AC$15:$AC$54)</f>
        <v>23711250</v>
      </c>
      <c r="H10" s="21">
        <f>SUMIFS('Bảng lương'!$AC$15:$AC$54,'Bảng lương'!$D$15:$D$54,A10,'Bảng lương'!$AD$15:$AD$54,"Đã thanh toán")</f>
        <v>0</v>
      </c>
      <c r="I10" s="21">
        <f t="shared" si="1"/>
        <v>23711250</v>
      </c>
    </row>
    <row r="11" ht="21.75" customHeight="1">
      <c r="A11" s="50" t="str">
        <f>'Cài đặt'!A31</f>
        <v>Hành chính</v>
      </c>
      <c r="B11" s="26">
        <f>COUNTIF('Bảng lương'!$D$15:$D$54,A11)</f>
        <v>1</v>
      </c>
      <c r="C11" s="26">
        <f>SUMIF('Bảng lương'!$D$15:$D$54,A11,'Bảng lương'!$S$15:$S$54)</f>
        <v>9499231</v>
      </c>
      <c r="D11" s="26">
        <f>SUMIF('Bảng lương'!$D$15:$D$54,A11,'Bảng lương'!$T$15:$T$54)+SUMIF('Bảng lương'!$D$15:$D$54,A11,'Bảng lương'!$U$15:$U$54)+SUMIF('Bảng lương'!$D$15:$D$54,A11,'Bảng lương'!$V$15:$V$54)</f>
        <v>997500</v>
      </c>
      <c r="E11" s="26">
        <f>SUMIF('Bảng lương'!$D$15:$D$54,A11,'Bảng lương'!$Y$15:$Y$54)</f>
        <v>0</v>
      </c>
      <c r="F11" s="26">
        <f>SUMIF('Bảng lương'!$D$15:$D$54,A11,'Bảng lương'!$AB$15:$AB$54)</f>
        <v>2997500</v>
      </c>
      <c r="G11" s="26">
        <f>SUMIF('Bảng lương'!$D$15:$D$54,A11,'Bảng lương'!$AC$15:$AC$54)</f>
        <v>6501731</v>
      </c>
      <c r="H11" s="26">
        <f>SUMIFS('Bảng lương'!$AC$15:$AC$54,'Bảng lương'!$D$15:$D$54,A11,'Bảng lương'!$AD$15:$AD$54,"Đã thanh toán")</f>
        <v>0</v>
      </c>
      <c r="I11" s="26">
        <f t="shared" si="1"/>
        <v>6501731</v>
      </c>
    </row>
    <row r="12" ht="21.75" customHeight="1">
      <c r="A12" s="40" t="str">
        <f>'Cài đặt'!A32</f>
        <v>Khác</v>
      </c>
      <c r="B12" s="21">
        <f>COUNTIF('Bảng lương'!$D$15:$D$54,A12)</f>
        <v>0</v>
      </c>
      <c r="C12" s="21">
        <f>SUMIF('Bảng lương'!$D$15:$D$54,A12,'Bảng lương'!$S$15:$S$54)</f>
        <v>0</v>
      </c>
      <c r="D12" s="21">
        <f>SUMIF('Bảng lương'!$D$15:$D$54,A12,'Bảng lương'!$T$15:$T$54)+SUMIF('Bảng lương'!$D$15:$D$54,A12,'Bảng lương'!$U$15:$U$54)+SUMIF('Bảng lương'!$D$15:$D$54,A12,'Bảng lương'!$V$15:$V$54)</f>
        <v>0</v>
      </c>
      <c r="E12" s="21">
        <f>SUMIF('Bảng lương'!$D$15:$D$54,A12,'Bảng lương'!$Y$15:$Y$54)</f>
        <v>0</v>
      </c>
      <c r="F12" s="21">
        <f>SUMIF('Bảng lương'!$D$15:$D$54,A12,'Bảng lương'!$AB$15:$AB$54)</f>
        <v>0</v>
      </c>
      <c r="G12" s="21">
        <f>SUMIF('Bảng lương'!$D$15:$D$54,A12,'Bảng lương'!$AC$15:$AC$54)</f>
        <v>0</v>
      </c>
      <c r="H12" s="21">
        <f>SUMIFS('Bảng lương'!$AC$15:$AC$54,'Bảng lương'!$D$15:$D$54,A12,'Bảng lương'!$AD$15:$AD$54,"Đã thanh toán")</f>
        <v>0</v>
      </c>
      <c r="I12" s="21">
        <f t="shared" si="1"/>
        <v>0</v>
      </c>
    </row>
    <row r="13" ht="25.5" customHeight="1">
      <c r="A13" s="67" t="s">
        <v>167</v>
      </c>
      <c r="B13" s="68">
        <f t="shared" ref="B13:I13" si="2">SUM(B6:B12)</f>
        <v>8</v>
      </c>
      <c r="C13" s="68">
        <f t="shared" si="2"/>
        <v>169878461</v>
      </c>
      <c r="D13" s="68">
        <f t="shared" si="2"/>
        <v>15277500</v>
      </c>
      <c r="E13" s="68">
        <f t="shared" si="2"/>
        <v>1702135</v>
      </c>
      <c r="F13" s="68">
        <f t="shared" si="2"/>
        <v>22179635</v>
      </c>
      <c r="G13" s="68">
        <f t="shared" si="2"/>
        <v>147698826</v>
      </c>
      <c r="H13" s="68">
        <f t="shared" si="2"/>
        <v>86064307</v>
      </c>
      <c r="I13" s="68">
        <f t="shared" si="2"/>
        <v>61634519</v>
      </c>
    </row>
    <row r="14">
      <c r="A14" s="61" t="s">
        <v>168</v>
      </c>
    </row>
    <row r="15">
      <c r="A15" s="7" t="s">
        <v>169</v>
      </c>
      <c r="C15" s="41" t="str">
        <f>IF(G13='Bảng lương'!AC55,"Khớp","Lệch – kiểm tra phòng ban")</f>
        <v>Khớp</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I1"/>
    <mergeCell ref="A2:I2"/>
  </mergeCells>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1717A"/>
    <pageSetUpPr/>
  </sheetPr>
  <sheetViews>
    <sheetView showGridLines="0" workbookViewId="0">
      <pane xSplit="2.0" ySplit="4.0" topLeftCell="C5" activePane="bottomRight" state="frozen"/>
      <selection activeCell="C1" sqref="C1" pane="topRight"/>
      <selection activeCell="A5" sqref="A5" pane="bottomLeft"/>
      <selection activeCell="C5" sqref="C5" pane="bottomRight"/>
    </sheetView>
  </sheetViews>
  <sheetFormatPr customHeight="1" defaultColWidth="14.43" defaultRowHeight="15.0"/>
  <cols>
    <col customWidth="1" min="1" max="1" width="10.0"/>
    <col customWidth="1" min="2" max="2" width="24.0"/>
    <col customWidth="1" min="3" max="3" width="16.0"/>
    <col customWidth="1" min="4" max="4" width="24.0"/>
    <col customWidth="1" min="5" max="5" width="16.0"/>
    <col customWidth="1" min="6" max="6" width="18.0"/>
    <col customWidth="1" min="7" max="7" width="14.0"/>
    <col customWidth="1" min="8" max="8" width="12.0"/>
    <col customWidth="1" min="9" max="9" width="17.0"/>
    <col customWidth="1" min="10" max="10" width="13.0"/>
    <col customWidth="1" min="11" max="11" width="19.0"/>
    <col customWidth="1" min="12" max="12" width="17.0"/>
    <col customWidth="1" min="13" max="26" width="8.71"/>
  </cols>
  <sheetData>
    <row r="1" ht="42.0" customHeight="1">
      <c r="A1" s="1" t="s">
        <v>3</v>
      </c>
      <c r="B1" s="4"/>
      <c r="C1" s="4"/>
      <c r="D1" s="4"/>
      <c r="E1" s="4"/>
      <c r="F1" s="4"/>
      <c r="G1" s="4"/>
      <c r="H1" s="4"/>
      <c r="I1" s="4"/>
      <c r="J1" s="4"/>
      <c r="K1" s="4"/>
      <c r="L1" s="9"/>
    </row>
    <row r="2" ht="19.5" customHeight="1">
      <c r="A2" s="6" t="s">
        <v>5</v>
      </c>
    </row>
    <row r="3">
      <c r="A3" s="11" t="s">
        <v>6</v>
      </c>
    </row>
    <row r="4" ht="48.0" customHeight="1">
      <c r="A4" s="12" t="s">
        <v>8</v>
      </c>
      <c r="B4" s="12" t="s">
        <v>10</v>
      </c>
      <c r="C4" s="12" t="s">
        <v>11</v>
      </c>
      <c r="D4" s="12" t="s">
        <v>13</v>
      </c>
      <c r="E4" s="12" t="s">
        <v>14</v>
      </c>
      <c r="F4" s="12" t="s">
        <v>15</v>
      </c>
      <c r="G4" s="12" t="s">
        <v>16</v>
      </c>
      <c r="H4" s="12" t="s">
        <v>17</v>
      </c>
      <c r="I4" s="12" t="s">
        <v>18</v>
      </c>
      <c r="J4" s="12" t="s">
        <v>19</v>
      </c>
      <c r="K4" s="12" t="s">
        <v>20</v>
      </c>
      <c r="L4" s="12" t="s">
        <v>21</v>
      </c>
    </row>
    <row r="5" ht="21.75" customHeight="1">
      <c r="A5" s="13" t="s">
        <v>23</v>
      </c>
      <c r="B5" s="14" t="s">
        <v>25</v>
      </c>
      <c r="C5" s="14" t="s">
        <v>26</v>
      </c>
      <c r="D5" s="14" t="s">
        <v>27</v>
      </c>
      <c r="E5" s="14" t="s">
        <v>28</v>
      </c>
      <c r="F5" s="15" t="s">
        <v>29</v>
      </c>
      <c r="G5" s="15" t="s">
        <v>30</v>
      </c>
      <c r="H5" s="13">
        <v>2.0</v>
      </c>
      <c r="I5" s="16">
        <v>4.5E7</v>
      </c>
      <c r="J5" s="13" t="s">
        <v>31</v>
      </c>
      <c r="K5" s="16"/>
      <c r="L5" s="21">
        <f t="shared" ref="L5:L44" si="1">IF(A5="","",IF(J5="Không",0,IF(K5="",I5,K5)))</f>
        <v>45000000</v>
      </c>
    </row>
    <row r="6" ht="21.75" customHeight="1">
      <c r="A6" s="22" t="s">
        <v>32</v>
      </c>
      <c r="B6" s="23" t="s">
        <v>33</v>
      </c>
      <c r="C6" s="23" t="s">
        <v>34</v>
      </c>
      <c r="D6" s="23" t="s">
        <v>35</v>
      </c>
      <c r="E6" s="23" t="s">
        <v>36</v>
      </c>
      <c r="F6" s="24" t="s">
        <v>37</v>
      </c>
      <c r="G6" s="24" t="s">
        <v>38</v>
      </c>
      <c r="H6" s="22">
        <v>1.0</v>
      </c>
      <c r="I6" s="25">
        <v>2.2E7</v>
      </c>
      <c r="J6" s="22" t="s">
        <v>31</v>
      </c>
      <c r="K6" s="25"/>
      <c r="L6" s="26">
        <f t="shared" si="1"/>
        <v>22000000</v>
      </c>
    </row>
    <row r="7" ht="21.75" customHeight="1">
      <c r="A7" s="13" t="s">
        <v>40</v>
      </c>
      <c r="B7" s="14" t="s">
        <v>41</v>
      </c>
      <c r="C7" s="14" t="s">
        <v>42</v>
      </c>
      <c r="D7" s="14" t="s">
        <v>43</v>
      </c>
      <c r="E7" s="14" t="s">
        <v>44</v>
      </c>
      <c r="F7" s="15" t="s">
        <v>45</v>
      </c>
      <c r="G7" s="15" t="s">
        <v>46</v>
      </c>
      <c r="H7" s="13">
        <v>0.0</v>
      </c>
      <c r="I7" s="16">
        <v>1.8E7</v>
      </c>
      <c r="J7" s="13" t="s">
        <v>31</v>
      </c>
      <c r="K7" s="16"/>
      <c r="L7" s="21">
        <f t="shared" si="1"/>
        <v>18000000</v>
      </c>
    </row>
    <row r="8" ht="21.75" customHeight="1">
      <c r="A8" s="22" t="s">
        <v>47</v>
      </c>
      <c r="B8" s="23" t="s">
        <v>48</v>
      </c>
      <c r="C8" s="23" t="s">
        <v>49</v>
      </c>
      <c r="D8" s="23" t="s">
        <v>50</v>
      </c>
      <c r="E8" s="23" t="s">
        <v>51</v>
      </c>
      <c r="F8" s="24" t="s">
        <v>52</v>
      </c>
      <c r="G8" s="24" t="s">
        <v>53</v>
      </c>
      <c r="H8" s="22">
        <v>1.0</v>
      </c>
      <c r="I8" s="25">
        <v>1.4E7</v>
      </c>
      <c r="J8" s="22" t="s">
        <v>31</v>
      </c>
      <c r="K8" s="25"/>
      <c r="L8" s="26">
        <f t="shared" si="1"/>
        <v>14000000</v>
      </c>
    </row>
    <row r="9" ht="21.75" customHeight="1">
      <c r="A9" s="13" t="s">
        <v>55</v>
      </c>
      <c r="B9" s="14" t="s">
        <v>56</v>
      </c>
      <c r="C9" s="14" t="s">
        <v>57</v>
      </c>
      <c r="D9" s="14" t="s">
        <v>58</v>
      </c>
      <c r="E9" s="14" t="s">
        <v>59</v>
      </c>
      <c r="F9" s="15" t="s">
        <v>60</v>
      </c>
      <c r="G9" s="15" t="s">
        <v>61</v>
      </c>
      <c r="H9" s="13">
        <v>0.0</v>
      </c>
      <c r="I9" s="16">
        <v>2.5E7</v>
      </c>
      <c r="J9" s="13" t="s">
        <v>31</v>
      </c>
      <c r="K9" s="16"/>
      <c r="L9" s="21">
        <f t="shared" si="1"/>
        <v>25000000</v>
      </c>
    </row>
    <row r="10" ht="21.75" customHeight="1">
      <c r="A10" s="22" t="s">
        <v>63</v>
      </c>
      <c r="B10" s="23" t="s">
        <v>64</v>
      </c>
      <c r="C10" s="23" t="s">
        <v>65</v>
      </c>
      <c r="D10" s="23" t="s">
        <v>66</v>
      </c>
      <c r="E10" s="23" t="s">
        <v>67</v>
      </c>
      <c r="F10" s="24" t="s">
        <v>69</v>
      </c>
      <c r="G10" s="24" t="s">
        <v>70</v>
      </c>
      <c r="H10" s="22">
        <v>0.0</v>
      </c>
      <c r="I10" s="25">
        <v>9500000.0</v>
      </c>
      <c r="J10" s="22" t="s">
        <v>31</v>
      </c>
      <c r="K10" s="25"/>
      <c r="L10" s="26">
        <f t="shared" si="1"/>
        <v>9500000</v>
      </c>
    </row>
    <row r="11" ht="21.75" customHeight="1">
      <c r="A11" s="13" t="s">
        <v>72</v>
      </c>
      <c r="B11" s="14" t="s">
        <v>73</v>
      </c>
      <c r="C11" s="14" t="s">
        <v>42</v>
      </c>
      <c r="D11" s="14" t="s">
        <v>74</v>
      </c>
      <c r="E11" s="14" t="s">
        <v>75</v>
      </c>
      <c r="F11" s="15" t="s">
        <v>76</v>
      </c>
      <c r="G11" s="15" t="s">
        <v>77</v>
      </c>
      <c r="H11" s="13">
        <v>2.0</v>
      </c>
      <c r="I11" s="16">
        <v>1.2E7</v>
      </c>
      <c r="J11" s="13" t="s">
        <v>31</v>
      </c>
      <c r="K11" s="16"/>
      <c r="L11" s="21">
        <f t="shared" si="1"/>
        <v>12000000</v>
      </c>
    </row>
    <row r="12" ht="21.75" customHeight="1">
      <c r="A12" s="22" t="s">
        <v>80</v>
      </c>
      <c r="B12" s="23" t="s">
        <v>81</v>
      </c>
      <c r="C12" s="23" t="s">
        <v>34</v>
      </c>
      <c r="D12" s="23" t="s">
        <v>82</v>
      </c>
      <c r="E12" s="23" t="s">
        <v>83</v>
      </c>
      <c r="F12" s="24" t="s">
        <v>84</v>
      </c>
      <c r="G12" s="24"/>
      <c r="H12" s="22">
        <v>0.0</v>
      </c>
      <c r="I12" s="25">
        <v>1.0E7</v>
      </c>
      <c r="J12" s="22" t="s">
        <v>85</v>
      </c>
      <c r="K12" s="25"/>
      <c r="L12" s="26">
        <f t="shared" si="1"/>
        <v>0</v>
      </c>
    </row>
    <row r="13" ht="21.75" customHeight="1">
      <c r="A13" s="13"/>
      <c r="B13" s="14"/>
      <c r="C13" s="14"/>
      <c r="D13" s="14"/>
      <c r="E13" s="14"/>
      <c r="F13" s="15"/>
      <c r="G13" s="15"/>
      <c r="H13" s="13"/>
      <c r="I13" s="16"/>
      <c r="J13" s="13"/>
      <c r="K13" s="16"/>
      <c r="L13" s="21" t="str">
        <f t="shared" si="1"/>
        <v/>
      </c>
    </row>
    <row r="14" ht="21.75" customHeight="1">
      <c r="A14" s="22"/>
      <c r="B14" s="23"/>
      <c r="C14" s="23"/>
      <c r="D14" s="23"/>
      <c r="E14" s="23"/>
      <c r="F14" s="24"/>
      <c r="G14" s="24"/>
      <c r="H14" s="22"/>
      <c r="I14" s="25"/>
      <c r="J14" s="22"/>
      <c r="K14" s="25"/>
      <c r="L14" s="26" t="str">
        <f t="shared" si="1"/>
        <v/>
      </c>
    </row>
    <row r="15" ht="21.75" customHeight="1">
      <c r="A15" s="13"/>
      <c r="B15" s="14"/>
      <c r="C15" s="14"/>
      <c r="D15" s="14"/>
      <c r="E15" s="14"/>
      <c r="F15" s="15"/>
      <c r="G15" s="15"/>
      <c r="H15" s="13"/>
      <c r="I15" s="16"/>
      <c r="J15" s="13"/>
      <c r="K15" s="16"/>
      <c r="L15" s="21" t="str">
        <f t="shared" si="1"/>
        <v/>
      </c>
    </row>
    <row r="16" ht="21.75" customHeight="1">
      <c r="A16" s="22"/>
      <c r="B16" s="23"/>
      <c r="C16" s="23"/>
      <c r="D16" s="23"/>
      <c r="E16" s="23"/>
      <c r="F16" s="24"/>
      <c r="G16" s="24"/>
      <c r="H16" s="22"/>
      <c r="I16" s="25"/>
      <c r="J16" s="22"/>
      <c r="K16" s="25"/>
      <c r="L16" s="26" t="str">
        <f t="shared" si="1"/>
        <v/>
      </c>
    </row>
    <row r="17" ht="21.75" customHeight="1">
      <c r="A17" s="13"/>
      <c r="B17" s="14"/>
      <c r="C17" s="14"/>
      <c r="D17" s="14"/>
      <c r="E17" s="14"/>
      <c r="F17" s="15"/>
      <c r="G17" s="15"/>
      <c r="H17" s="13"/>
      <c r="I17" s="16"/>
      <c r="J17" s="13"/>
      <c r="K17" s="16"/>
      <c r="L17" s="21" t="str">
        <f t="shared" si="1"/>
        <v/>
      </c>
    </row>
    <row r="18" ht="21.75" customHeight="1">
      <c r="A18" s="22"/>
      <c r="B18" s="23"/>
      <c r="C18" s="23"/>
      <c r="D18" s="23"/>
      <c r="E18" s="23"/>
      <c r="F18" s="24"/>
      <c r="G18" s="24"/>
      <c r="H18" s="22"/>
      <c r="I18" s="25"/>
      <c r="J18" s="22"/>
      <c r="K18" s="25"/>
      <c r="L18" s="26" t="str">
        <f t="shared" si="1"/>
        <v/>
      </c>
    </row>
    <row r="19" ht="21.75" customHeight="1">
      <c r="A19" s="13"/>
      <c r="B19" s="14"/>
      <c r="C19" s="14"/>
      <c r="D19" s="14"/>
      <c r="E19" s="14"/>
      <c r="F19" s="15"/>
      <c r="G19" s="15"/>
      <c r="H19" s="13"/>
      <c r="I19" s="16"/>
      <c r="J19" s="13"/>
      <c r="K19" s="16"/>
      <c r="L19" s="21" t="str">
        <f t="shared" si="1"/>
        <v/>
      </c>
    </row>
    <row r="20" ht="21.75" customHeight="1">
      <c r="A20" s="22"/>
      <c r="B20" s="23"/>
      <c r="C20" s="23"/>
      <c r="D20" s="23"/>
      <c r="E20" s="23"/>
      <c r="F20" s="24"/>
      <c r="G20" s="24"/>
      <c r="H20" s="22"/>
      <c r="I20" s="25"/>
      <c r="J20" s="22"/>
      <c r="K20" s="25"/>
      <c r="L20" s="26" t="str">
        <f t="shared" si="1"/>
        <v/>
      </c>
    </row>
    <row r="21" ht="21.75" customHeight="1">
      <c r="A21" s="13"/>
      <c r="B21" s="14"/>
      <c r="C21" s="14"/>
      <c r="D21" s="14"/>
      <c r="E21" s="14"/>
      <c r="F21" s="15"/>
      <c r="G21" s="15"/>
      <c r="H21" s="13"/>
      <c r="I21" s="16"/>
      <c r="J21" s="13"/>
      <c r="K21" s="16"/>
      <c r="L21" s="21" t="str">
        <f t="shared" si="1"/>
        <v/>
      </c>
    </row>
    <row r="22" ht="21.75" customHeight="1">
      <c r="A22" s="22"/>
      <c r="B22" s="23"/>
      <c r="C22" s="23"/>
      <c r="D22" s="23"/>
      <c r="E22" s="23"/>
      <c r="F22" s="24"/>
      <c r="G22" s="24"/>
      <c r="H22" s="22"/>
      <c r="I22" s="25"/>
      <c r="J22" s="22"/>
      <c r="K22" s="25"/>
      <c r="L22" s="26" t="str">
        <f t="shared" si="1"/>
        <v/>
      </c>
    </row>
    <row r="23" ht="21.75" customHeight="1">
      <c r="A23" s="13"/>
      <c r="B23" s="14"/>
      <c r="C23" s="14"/>
      <c r="D23" s="14"/>
      <c r="E23" s="14"/>
      <c r="F23" s="15"/>
      <c r="G23" s="15"/>
      <c r="H23" s="13"/>
      <c r="I23" s="16"/>
      <c r="J23" s="13"/>
      <c r="K23" s="16"/>
      <c r="L23" s="21" t="str">
        <f t="shared" si="1"/>
        <v/>
      </c>
    </row>
    <row r="24" ht="21.75" customHeight="1">
      <c r="A24" s="22"/>
      <c r="B24" s="23"/>
      <c r="C24" s="23"/>
      <c r="D24" s="23"/>
      <c r="E24" s="23"/>
      <c r="F24" s="24"/>
      <c r="G24" s="24"/>
      <c r="H24" s="22"/>
      <c r="I24" s="25"/>
      <c r="J24" s="22"/>
      <c r="K24" s="25"/>
      <c r="L24" s="26" t="str">
        <f t="shared" si="1"/>
        <v/>
      </c>
    </row>
    <row r="25" ht="21.75" customHeight="1">
      <c r="A25" s="13"/>
      <c r="B25" s="14"/>
      <c r="C25" s="14"/>
      <c r="D25" s="14"/>
      <c r="E25" s="14"/>
      <c r="F25" s="15"/>
      <c r="G25" s="15"/>
      <c r="H25" s="13"/>
      <c r="I25" s="16"/>
      <c r="J25" s="13"/>
      <c r="K25" s="16"/>
      <c r="L25" s="21" t="str">
        <f t="shared" si="1"/>
        <v/>
      </c>
    </row>
    <row r="26" ht="21.75" customHeight="1">
      <c r="A26" s="22"/>
      <c r="B26" s="23"/>
      <c r="C26" s="23"/>
      <c r="D26" s="23"/>
      <c r="E26" s="23"/>
      <c r="F26" s="24"/>
      <c r="G26" s="24"/>
      <c r="H26" s="22"/>
      <c r="I26" s="25"/>
      <c r="J26" s="22"/>
      <c r="K26" s="25"/>
      <c r="L26" s="26" t="str">
        <f t="shared" si="1"/>
        <v/>
      </c>
    </row>
    <row r="27" ht="21.75" customHeight="1">
      <c r="A27" s="13"/>
      <c r="B27" s="14"/>
      <c r="C27" s="14"/>
      <c r="D27" s="14"/>
      <c r="E27" s="14"/>
      <c r="F27" s="15"/>
      <c r="G27" s="15"/>
      <c r="H27" s="13"/>
      <c r="I27" s="16"/>
      <c r="J27" s="13"/>
      <c r="K27" s="16"/>
      <c r="L27" s="21" t="str">
        <f t="shared" si="1"/>
        <v/>
      </c>
    </row>
    <row r="28" ht="21.75" customHeight="1">
      <c r="A28" s="22"/>
      <c r="B28" s="23"/>
      <c r="C28" s="23"/>
      <c r="D28" s="23"/>
      <c r="E28" s="23"/>
      <c r="F28" s="24"/>
      <c r="G28" s="24"/>
      <c r="H28" s="22"/>
      <c r="I28" s="25"/>
      <c r="J28" s="22"/>
      <c r="K28" s="25"/>
      <c r="L28" s="26" t="str">
        <f t="shared" si="1"/>
        <v/>
      </c>
    </row>
    <row r="29" ht="21.75" customHeight="1">
      <c r="A29" s="13"/>
      <c r="B29" s="14"/>
      <c r="C29" s="14"/>
      <c r="D29" s="14"/>
      <c r="E29" s="14"/>
      <c r="F29" s="15"/>
      <c r="G29" s="15"/>
      <c r="H29" s="13"/>
      <c r="I29" s="16"/>
      <c r="J29" s="13"/>
      <c r="K29" s="16"/>
      <c r="L29" s="21" t="str">
        <f t="shared" si="1"/>
        <v/>
      </c>
    </row>
    <row r="30" ht="21.75" customHeight="1">
      <c r="A30" s="22"/>
      <c r="B30" s="23"/>
      <c r="C30" s="23"/>
      <c r="D30" s="23"/>
      <c r="E30" s="23"/>
      <c r="F30" s="24"/>
      <c r="G30" s="24"/>
      <c r="H30" s="22"/>
      <c r="I30" s="25"/>
      <c r="J30" s="22"/>
      <c r="K30" s="25"/>
      <c r="L30" s="26" t="str">
        <f t="shared" si="1"/>
        <v/>
      </c>
    </row>
    <row r="31" ht="21.75" customHeight="1">
      <c r="A31" s="13"/>
      <c r="B31" s="14"/>
      <c r="C31" s="14"/>
      <c r="D31" s="14"/>
      <c r="E31" s="14"/>
      <c r="F31" s="15"/>
      <c r="G31" s="15"/>
      <c r="H31" s="13"/>
      <c r="I31" s="16"/>
      <c r="J31" s="13"/>
      <c r="K31" s="16"/>
      <c r="L31" s="21" t="str">
        <f t="shared" si="1"/>
        <v/>
      </c>
    </row>
    <row r="32" ht="21.75" customHeight="1">
      <c r="A32" s="22"/>
      <c r="B32" s="23"/>
      <c r="C32" s="23"/>
      <c r="D32" s="23"/>
      <c r="E32" s="23"/>
      <c r="F32" s="24"/>
      <c r="G32" s="24"/>
      <c r="H32" s="22"/>
      <c r="I32" s="25"/>
      <c r="J32" s="22"/>
      <c r="K32" s="25"/>
      <c r="L32" s="26" t="str">
        <f t="shared" si="1"/>
        <v/>
      </c>
    </row>
    <row r="33" ht="21.75" customHeight="1">
      <c r="A33" s="13"/>
      <c r="B33" s="14"/>
      <c r="C33" s="14"/>
      <c r="D33" s="14"/>
      <c r="E33" s="14"/>
      <c r="F33" s="15"/>
      <c r="G33" s="15"/>
      <c r="H33" s="13"/>
      <c r="I33" s="16"/>
      <c r="J33" s="13"/>
      <c r="K33" s="16"/>
      <c r="L33" s="21" t="str">
        <f t="shared" si="1"/>
        <v/>
      </c>
    </row>
    <row r="34" ht="21.75" customHeight="1">
      <c r="A34" s="22"/>
      <c r="B34" s="23"/>
      <c r="C34" s="23"/>
      <c r="D34" s="23"/>
      <c r="E34" s="23"/>
      <c r="F34" s="24"/>
      <c r="G34" s="24"/>
      <c r="H34" s="22"/>
      <c r="I34" s="25"/>
      <c r="J34" s="22"/>
      <c r="K34" s="25"/>
      <c r="L34" s="26" t="str">
        <f t="shared" si="1"/>
        <v/>
      </c>
    </row>
    <row r="35" ht="21.75" customHeight="1">
      <c r="A35" s="13"/>
      <c r="B35" s="14"/>
      <c r="C35" s="14"/>
      <c r="D35" s="14"/>
      <c r="E35" s="14"/>
      <c r="F35" s="15"/>
      <c r="G35" s="15"/>
      <c r="H35" s="13"/>
      <c r="I35" s="16"/>
      <c r="J35" s="13"/>
      <c r="K35" s="16"/>
      <c r="L35" s="21" t="str">
        <f t="shared" si="1"/>
        <v/>
      </c>
    </row>
    <row r="36" ht="21.75" customHeight="1">
      <c r="A36" s="22"/>
      <c r="B36" s="23"/>
      <c r="C36" s="23"/>
      <c r="D36" s="23"/>
      <c r="E36" s="23"/>
      <c r="F36" s="24"/>
      <c r="G36" s="24"/>
      <c r="H36" s="22"/>
      <c r="I36" s="25"/>
      <c r="J36" s="22"/>
      <c r="K36" s="25"/>
      <c r="L36" s="26" t="str">
        <f t="shared" si="1"/>
        <v/>
      </c>
    </row>
    <row r="37" ht="21.75" customHeight="1">
      <c r="A37" s="13"/>
      <c r="B37" s="14"/>
      <c r="C37" s="14"/>
      <c r="D37" s="14"/>
      <c r="E37" s="14"/>
      <c r="F37" s="15"/>
      <c r="G37" s="15"/>
      <c r="H37" s="13"/>
      <c r="I37" s="16"/>
      <c r="J37" s="13"/>
      <c r="K37" s="16"/>
      <c r="L37" s="21" t="str">
        <f t="shared" si="1"/>
        <v/>
      </c>
    </row>
    <row r="38" ht="21.75" customHeight="1">
      <c r="A38" s="22"/>
      <c r="B38" s="23"/>
      <c r="C38" s="23"/>
      <c r="D38" s="23"/>
      <c r="E38" s="23"/>
      <c r="F38" s="24"/>
      <c r="G38" s="24"/>
      <c r="H38" s="22"/>
      <c r="I38" s="25"/>
      <c r="J38" s="22"/>
      <c r="K38" s="25"/>
      <c r="L38" s="26" t="str">
        <f t="shared" si="1"/>
        <v/>
      </c>
    </row>
    <row r="39" ht="21.75" customHeight="1">
      <c r="A39" s="13"/>
      <c r="B39" s="14"/>
      <c r="C39" s="14"/>
      <c r="D39" s="14"/>
      <c r="E39" s="14"/>
      <c r="F39" s="15"/>
      <c r="G39" s="15"/>
      <c r="H39" s="13"/>
      <c r="I39" s="16"/>
      <c r="J39" s="13"/>
      <c r="K39" s="16"/>
      <c r="L39" s="21" t="str">
        <f t="shared" si="1"/>
        <v/>
      </c>
    </row>
    <row r="40" ht="21.75" customHeight="1">
      <c r="A40" s="22"/>
      <c r="B40" s="23"/>
      <c r="C40" s="23"/>
      <c r="D40" s="23"/>
      <c r="E40" s="23"/>
      <c r="F40" s="24"/>
      <c r="G40" s="24"/>
      <c r="H40" s="22"/>
      <c r="I40" s="25"/>
      <c r="J40" s="22"/>
      <c r="K40" s="25"/>
      <c r="L40" s="26" t="str">
        <f t="shared" si="1"/>
        <v/>
      </c>
    </row>
    <row r="41" ht="21.75" customHeight="1">
      <c r="A41" s="13"/>
      <c r="B41" s="14"/>
      <c r="C41" s="14"/>
      <c r="D41" s="14"/>
      <c r="E41" s="14"/>
      <c r="F41" s="15"/>
      <c r="G41" s="15"/>
      <c r="H41" s="13"/>
      <c r="I41" s="16"/>
      <c r="J41" s="13"/>
      <c r="K41" s="16"/>
      <c r="L41" s="21" t="str">
        <f t="shared" si="1"/>
        <v/>
      </c>
    </row>
    <row r="42" ht="21.75" customHeight="1">
      <c r="A42" s="22"/>
      <c r="B42" s="23"/>
      <c r="C42" s="23"/>
      <c r="D42" s="23"/>
      <c r="E42" s="23"/>
      <c r="F42" s="24"/>
      <c r="G42" s="24"/>
      <c r="H42" s="22"/>
      <c r="I42" s="25"/>
      <c r="J42" s="22"/>
      <c r="K42" s="25"/>
      <c r="L42" s="26" t="str">
        <f t="shared" si="1"/>
        <v/>
      </c>
    </row>
    <row r="43" ht="21.75" customHeight="1">
      <c r="A43" s="13"/>
      <c r="B43" s="14"/>
      <c r="C43" s="14"/>
      <c r="D43" s="14"/>
      <c r="E43" s="14"/>
      <c r="F43" s="15"/>
      <c r="G43" s="15"/>
      <c r="H43" s="13"/>
      <c r="I43" s="16"/>
      <c r="J43" s="13"/>
      <c r="K43" s="16"/>
      <c r="L43" s="21" t="str">
        <f t="shared" si="1"/>
        <v/>
      </c>
    </row>
    <row r="44" ht="21.75" customHeight="1">
      <c r="A44" s="22"/>
      <c r="B44" s="23"/>
      <c r="C44" s="23"/>
      <c r="D44" s="23"/>
      <c r="E44" s="23"/>
      <c r="F44" s="24"/>
      <c r="G44" s="24"/>
      <c r="H44" s="22"/>
      <c r="I44" s="25"/>
      <c r="J44" s="22"/>
      <c r="K44" s="25"/>
      <c r="L44" s="26" t="str">
        <f t="shared" si="1"/>
        <v/>
      </c>
    </row>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L1"/>
    <mergeCell ref="A2:L2"/>
    <mergeCell ref="A3:L3"/>
  </mergeCells>
  <dataValidations>
    <dataValidation type="list" allowBlank="1" sqref="C5:C44">
      <formula1>'Cài đặt'!$A$26:$A$32</formula1>
    </dataValidation>
    <dataValidation type="list" allowBlank="1" sqref="J5:J44">
      <formula1>"Có,Không"</formula1>
    </dataValidation>
    <dataValidation type="decimal" operator="greaterThanOrEqual" allowBlank="1" sqref="H5:H44">
      <formula1>0.0</formula1>
    </dataValidation>
  </dataValidations>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1717A"/>
    <pageSetUpPr/>
  </sheetPr>
  <sheetViews>
    <sheetView showGridLines="0" workbookViewId="0"/>
  </sheetViews>
  <sheetFormatPr customHeight="1" defaultColWidth="14.43" defaultRowHeight="15.0"/>
  <cols>
    <col customWidth="1" min="1" max="1" width="44.0"/>
    <col customWidth="1" min="2" max="2" width="22.0"/>
    <col customWidth="1" min="3" max="3" width="18.0"/>
    <col customWidth="1" min="4" max="4" width="14.0"/>
    <col customWidth="1" min="5" max="5" width="22.0"/>
    <col customWidth="1" min="6" max="26" width="8.71"/>
  </cols>
  <sheetData>
    <row r="1" ht="42.0" customHeight="1">
      <c r="A1" s="1" t="s">
        <v>124</v>
      </c>
      <c r="B1" s="4"/>
      <c r="C1" s="4"/>
      <c r="D1" s="4"/>
      <c r="E1" s="9"/>
    </row>
    <row r="2" ht="19.5" customHeight="1">
      <c r="A2" s="6" t="s">
        <v>125</v>
      </c>
    </row>
    <row r="4" ht="15.0" customHeight="1">
      <c r="A4" s="12" t="s">
        <v>126</v>
      </c>
      <c r="B4" s="12" t="s">
        <v>127</v>
      </c>
      <c r="C4" s="45" t="s">
        <v>128</v>
      </c>
      <c r="D4" s="46"/>
      <c r="E4" s="47"/>
    </row>
    <row r="5" ht="21.75" customHeight="1">
      <c r="A5" s="40" t="s">
        <v>129</v>
      </c>
      <c r="B5" s="48">
        <v>0.08</v>
      </c>
      <c r="C5" s="49" t="s">
        <v>130</v>
      </c>
      <c r="D5" s="46"/>
      <c r="E5" s="47"/>
    </row>
    <row r="6" ht="21.75" customHeight="1">
      <c r="A6" s="50" t="s">
        <v>131</v>
      </c>
      <c r="B6" s="51">
        <v>0.015</v>
      </c>
      <c r="C6" s="52" t="s">
        <v>132</v>
      </c>
      <c r="D6" s="46"/>
      <c r="E6" s="47"/>
    </row>
    <row r="7" ht="21.75" customHeight="1">
      <c r="A7" s="40" t="s">
        <v>133</v>
      </c>
      <c r="B7" s="48">
        <v>0.01</v>
      </c>
      <c r="C7" s="49" t="s">
        <v>134</v>
      </c>
      <c r="D7" s="46"/>
      <c r="E7" s="47"/>
    </row>
    <row r="8" ht="21.75" customHeight="1">
      <c r="A8" s="50" t="s">
        <v>135</v>
      </c>
      <c r="B8" s="25">
        <v>2530000.0</v>
      </c>
      <c r="C8" s="52" t="s">
        <v>136</v>
      </c>
      <c r="D8" s="46"/>
      <c r="E8" s="47"/>
    </row>
    <row r="9" ht="21.75" customHeight="1">
      <c r="A9" s="40" t="s">
        <v>137</v>
      </c>
      <c r="B9" s="53">
        <v>20.0</v>
      </c>
      <c r="C9" s="49" t="s">
        <v>138</v>
      </c>
      <c r="D9" s="46"/>
      <c r="E9" s="47"/>
    </row>
    <row r="10" ht="21.75" customHeight="1">
      <c r="A10" s="50" t="s">
        <v>139</v>
      </c>
      <c r="B10" s="26">
        <f>B8*B9</f>
        <v>50600000</v>
      </c>
      <c r="C10" s="52" t="s">
        <v>140</v>
      </c>
      <c r="D10" s="46"/>
      <c r="E10" s="47"/>
    </row>
    <row r="11" ht="21.75" customHeight="1">
      <c r="A11" s="40" t="s">
        <v>141</v>
      </c>
      <c r="B11" s="16">
        <v>5310000.0</v>
      </c>
      <c r="C11" s="49" t="s">
        <v>142</v>
      </c>
      <c r="D11" s="46"/>
      <c r="E11" s="47"/>
    </row>
    <row r="12" ht="21.75" customHeight="1">
      <c r="A12" s="50" t="s">
        <v>143</v>
      </c>
      <c r="B12" s="26">
        <f>B11*B9</f>
        <v>106200000</v>
      </c>
      <c r="C12" s="52" t="s">
        <v>144</v>
      </c>
      <c r="D12" s="46"/>
      <c r="E12" s="47"/>
    </row>
    <row r="13" ht="21.75" customHeight="1">
      <c r="A13" s="40" t="s">
        <v>145</v>
      </c>
      <c r="B13" s="16">
        <v>1.55E7</v>
      </c>
      <c r="C13" s="49" t="s">
        <v>146</v>
      </c>
      <c r="D13" s="46"/>
      <c r="E13" s="47"/>
    </row>
    <row r="14" ht="21.75" customHeight="1">
      <c r="A14" s="50" t="s">
        <v>147</v>
      </c>
      <c r="B14" s="25">
        <v>6200000.0</v>
      </c>
      <c r="C14" s="52" t="s">
        <v>146</v>
      </c>
      <c r="D14" s="46"/>
      <c r="E14" s="47"/>
    </row>
    <row r="16">
      <c r="A16" s="54" t="s">
        <v>148</v>
      </c>
    </row>
    <row r="17" ht="33.75" customHeight="1">
      <c r="A17" s="12" t="s">
        <v>149</v>
      </c>
      <c r="B17" s="12" t="s">
        <v>150</v>
      </c>
      <c r="C17" s="12" t="s">
        <v>151</v>
      </c>
      <c r="D17" s="12" t="s">
        <v>152</v>
      </c>
      <c r="E17" s="12" t="s">
        <v>153</v>
      </c>
    </row>
    <row r="18" ht="21.75" customHeight="1">
      <c r="A18" s="39" t="s">
        <v>154</v>
      </c>
      <c r="B18" s="16">
        <v>0.0</v>
      </c>
      <c r="C18" s="16">
        <v>1.0E7</v>
      </c>
      <c r="D18" s="55">
        <v>0.05</v>
      </c>
      <c r="E18" s="56">
        <f>D18</f>
        <v>0.05</v>
      </c>
    </row>
    <row r="19" ht="21.75" customHeight="1">
      <c r="A19" s="57" t="s">
        <v>155</v>
      </c>
      <c r="B19" s="25">
        <v>1.0E7</v>
      </c>
      <c r="C19" s="25">
        <v>3.0E7</v>
      </c>
      <c r="D19" s="58">
        <v>0.1</v>
      </c>
      <c r="E19" s="59">
        <f t="shared" ref="E19:E22" si="1">D19-D18</f>
        <v>0.05</v>
      </c>
    </row>
    <row r="20" ht="21.75" customHeight="1">
      <c r="A20" s="39" t="s">
        <v>156</v>
      </c>
      <c r="B20" s="16">
        <v>3.0E7</v>
      </c>
      <c r="C20" s="16">
        <v>6.0E7</v>
      </c>
      <c r="D20" s="55">
        <v>0.2</v>
      </c>
      <c r="E20" s="56">
        <f t="shared" si="1"/>
        <v>0.1</v>
      </c>
    </row>
    <row r="21" ht="21.75" customHeight="1">
      <c r="A21" s="57" t="s">
        <v>157</v>
      </c>
      <c r="B21" s="25">
        <v>6.0E7</v>
      </c>
      <c r="C21" s="25">
        <v>1.0E8</v>
      </c>
      <c r="D21" s="58">
        <v>0.3</v>
      </c>
      <c r="E21" s="59">
        <f t="shared" si="1"/>
        <v>0.1</v>
      </c>
    </row>
    <row r="22" ht="21.75" customHeight="1">
      <c r="A22" s="39" t="s">
        <v>158</v>
      </c>
      <c r="B22" s="16">
        <v>1.0E8</v>
      </c>
      <c r="C22" s="21" t="s">
        <v>159</v>
      </c>
      <c r="D22" s="55">
        <v>0.35</v>
      </c>
      <c r="E22" s="56">
        <f t="shared" si="1"/>
        <v>0.05</v>
      </c>
    </row>
    <row r="23" ht="15.75" customHeight="1"/>
    <row r="24" ht="15.75" customHeight="1">
      <c r="A24" s="54" t="s">
        <v>160</v>
      </c>
    </row>
    <row r="25" ht="15.75" customHeight="1">
      <c r="A25" s="12" t="s">
        <v>11</v>
      </c>
    </row>
    <row r="26" ht="21.75" customHeight="1">
      <c r="A26" s="14" t="s">
        <v>26</v>
      </c>
    </row>
    <row r="27" ht="21.75" customHeight="1">
      <c r="A27" s="23" t="s">
        <v>34</v>
      </c>
    </row>
    <row r="28" ht="21.75" customHeight="1">
      <c r="A28" s="14" t="s">
        <v>42</v>
      </c>
    </row>
    <row r="29" ht="21.75" customHeight="1">
      <c r="A29" s="23" t="s">
        <v>49</v>
      </c>
    </row>
    <row r="30" ht="21.75" customHeight="1">
      <c r="A30" s="14" t="s">
        <v>57</v>
      </c>
    </row>
    <row r="31" ht="21.75" customHeight="1">
      <c r="A31" s="23" t="s">
        <v>65</v>
      </c>
    </row>
    <row r="32" ht="21.75" customHeight="1">
      <c r="A32" s="14" t="s">
        <v>161</v>
      </c>
    </row>
    <row r="33" ht="15.75" customHeight="1"/>
    <row r="34" ht="15.75" customHeight="1">
      <c r="A34" s="60" t="s">
        <v>118</v>
      </c>
    </row>
    <row r="35" ht="15.75" customHeight="1">
      <c r="A35" s="61" t="s">
        <v>162</v>
      </c>
    </row>
    <row r="36" ht="15.75" customHeight="1">
      <c r="A36" s="61" t="s">
        <v>163</v>
      </c>
    </row>
    <row r="37" ht="15.75" customHeight="1">
      <c r="A37" s="61" t="s">
        <v>164</v>
      </c>
    </row>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C9:E9"/>
    <mergeCell ref="C10:E10"/>
    <mergeCell ref="C11:E11"/>
    <mergeCell ref="C12:E12"/>
    <mergeCell ref="C13:E13"/>
    <mergeCell ref="C14:E14"/>
    <mergeCell ref="A1:E1"/>
    <mergeCell ref="A2:E2"/>
    <mergeCell ref="C4:E4"/>
    <mergeCell ref="C5:E5"/>
    <mergeCell ref="C6:E6"/>
    <mergeCell ref="C7:E7"/>
    <mergeCell ref="C8:E8"/>
  </mergeCell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2026-10-29T07:23:59Z</dcterms:created>
  <dc:creator>openpyxl</dc:creator>
</cp:coreProperties>
</file>

<file path=docProps/custom.xml><?xml version="1.0" encoding="utf-8"?>
<Properties xmlns="http://schemas.openxmlformats.org/officeDocument/2006/custom-properties" xmlns:vt="http://schemas.openxmlformats.org/officeDocument/2006/docPropsVTypes"/>
</file>