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uongDan" sheetId="1" r:id="rId4"/>
    <sheet state="visible" name="CauHinh" sheetId="2" r:id="rId5"/>
    <sheet state="visible" name="NhapLieu" sheetId="3" r:id="rId6"/>
    <sheet state="visible" name="TinhDiem" sheetId="4" r:id="rId7"/>
    <sheet state="visible" name="TongHop" sheetId="5" r:id="rId8"/>
    <sheet state="visible" name="PhieuDanhGia" sheetId="6" r:id="rId9"/>
  </sheets>
  <definedNames/>
  <calcPr/>
  <extLst>
    <ext uri="GoogleSheetsCustomDataVersion2">
      <go:sheetsCustomData xmlns:go="http://customooxmlschemas.google.com/" r:id="rId10" roundtripDataChecksum="Lg/6aO8AHwImunZMa3Csbk3NOr5WGsMevBqm1Lq+cxs="/>
    </ext>
  </extLst>
</workbook>
</file>

<file path=xl/sharedStrings.xml><?xml version="1.0" encoding="utf-8"?>
<sst xmlns="http://schemas.openxmlformats.org/spreadsheetml/2006/main" count="281" uniqueCount="202">
  <si>
    <t>MẪU ĐÁNH GIÁ KPI NHÂN VIÊN KẾ TOÁN – HƯỚNG DẪN SỬ DỤNG</t>
  </si>
  <si>
    <t>1. CẤU TRÚC FILE</t>
  </si>
  <si>
    <t>BẢNG TÍNH % HOÀN THÀNH TỪNG KPI (TỰ ĐỘNG)</t>
  </si>
  <si>
    <t>CauHinh</t>
  </si>
  <si>
    <t>Khai báo thông tin công ty, kỳ đánh giá, danh mục 14 KPI (mục tiêu, ngưỡng, trọng số), thang xếp loại &amp; hệ số thưởng.</t>
  </si>
  <si>
    <t>NhapLieu</t>
  </si>
  <si>
    <t>Nhập danh sách nhân viên và số liệu THỰC TẾ của từng KPI (tối đa 20 nhân viên).</t>
  </si>
  <si>
    <t>TinhDiem</t>
  </si>
  <si>
    <t>Tự động tính % hoàn thành của từng KPI cho từng nhân viên (không cần nhập).</t>
  </si>
  <si>
    <t>TongHop</t>
  </si>
  <si>
    <t>Tự động tổng hợp điểm theo nhóm, tổng điểm, xếp loại, hệ số thưởng, xếp hạng, thống kê và biểu đồ.</t>
  </si>
  <si>
    <t>PhieuDanhGia</t>
  </si>
  <si>
    <t>Phiếu đánh giá cá nhân để in/ký: chọn Mã NV trong ô C4, toàn bộ nội dung tự điền.</t>
  </si>
  <si>
    <t>2. QUY ƯỚC MÀU SẮC</t>
  </si>
  <si>
    <t>BẢNG NHẬP SỐ LIỆU KPI THỰC TẾ</t>
  </si>
  <si>
    <t>Chữ cam đậm, nền cam nhạt</t>
  </si>
  <si>
    <t>Ô cần nhập/ chỉnh sửa. Dữ liệu mẫu (6 nhân viên) chỉ để minh họa – hãy xóa và nhập dữ liệu thật.</t>
  </si>
  <si>
    <t>Chữ đen / xám</t>
  </si>
  <si>
    <t>Ô công thức tự động – KHÔNG sửa/ xóa.</t>
  </si>
  <si>
    <t>3. QUY TRÌNH SỬ DỤNG (5 BƯỚC)</t>
  </si>
  <si>
    <t>Bước 1</t>
  </si>
  <si>
    <t>CẤU HÌNH DANH MỤC KPI KẾ TOÁN</t>
  </si>
  <si>
    <t>Vào CauHinh: nhập tên công ty, kỳ đánh giá; rà soát mục tiêu, ngưỡng, trọng số từng KPI (tổng trọng số phải = 100%).</t>
  </si>
  <si>
    <t>Bước 2</t>
  </si>
  <si>
    <t>Vào NhapLieu: nhập Mã NV, Họ tên, Chức danh và số liệu thực tế cho từng KPI. Tỷ lệ % nhập dạng 95% hoặc 0.95.</t>
  </si>
  <si>
    <t>Bước 3</t>
  </si>
  <si>
    <t>KPI không áp dụng cho vị trí (VD: kế toán thuế không phụ trách công nợ) → để TRỐNG ô đó.</t>
  </si>
  <si>
    <t>Bước 4</t>
  </si>
  <si>
    <t>Xem kết quả ở TongHop (xếp loại, xếp hạng, biểu đồ).</t>
  </si>
  <si>
    <t>Bước 5</t>
  </si>
  <si>
    <t>Mở PhieuDanhGia, chọn Mã NV, bổ sung nhận xét và in ký xác nhận.</t>
  </si>
  <si>
    <t>4. CÁCH TÍNH ĐIỂM</t>
  </si>
  <si>
    <t>KPI 'Cao hơn tốt hơn'</t>
  </si>
  <si>
    <t>% hoàn thành = Thực tế ÷ Mục tiêu, tối đa bằng 'Trần hoàn thành' (mặc định 120%).</t>
  </si>
  <si>
    <t>KPI 'Thấp hơn tốt hơn'</t>
  </si>
  <si>
    <t>Thực tế ≤ Mục tiêu → 100%. Thực tế ≥ Ngưỡng tối đa → 0%. Ở giữa → nội suy tuyến tính = (Ngưỡng − Thực tế) ÷ (Ngưỡng − Mục tiêu).</t>
  </si>
  <si>
    <t>Điểm KPI</t>
  </si>
  <si>
    <t>THÔNG TIN CHUNG</t>
  </si>
  <si>
    <t>Bằng % hoàn thành × Trọng số × 100 (× hệ số quy đổi nếu có KPI bỏ trống).</t>
  </si>
  <si>
    <t>Tổng điểm</t>
  </si>
  <si>
    <t>Bằng tổng điểm các KPI (thang 100; có thể &gt; 100 nếu vượt mục tiêu, tối đa 120).</t>
  </si>
  <si>
    <t>Chế độ KPI bỏ trống</t>
  </si>
  <si>
    <t>Nhóm KPI</t>
  </si>
  <si>
    <t>CauHinh!C8: 'Quy đổi theo KPI có dữ liệu' → trọng số KPI bỏ trống được chia đều lại cho các KPI còn lại (tổng vẫn thang 100); 'Tính 0 điểm KPI bỏ trống' → KPI trống bị tính 0.</t>
  </si>
  <si>
    <t>Xếp loại &amp; hệ số thưởng</t>
  </si>
  <si>
    <t>Tra theo bảng ở CauHinh (điểm ≥ ngưỡng gần nhất). Hệ số thưởng nhân với mức thưởng KPI cơ sở theo chính sách công ty.</t>
  </si>
  <si>
    <t>5. GIẢ ĐỊNH &amp; LƯU Ý</t>
  </si>
  <si>
    <t>Giả định</t>
  </si>
  <si>
    <t>Danh mục KPI, mục tiêu, ngưỡng, trọng số, thang xếp loại và hệ số thưởng là giá trị đề xuất tham khảo cho kế toán doanh nghiệp vừa/nhỏ – cần điều chỉnh theo quy chế lương thưởng của công ty.</t>
  </si>
  <si>
    <t>Tên công ty</t>
  </si>
  <si>
    <t>Đơn vị</t>
  </si>
  <si>
    <t>Nếu đổi đơn vị KPI (% ↔ số) trong CauHinh, hãy đổi định dạng ô tương ứng ở NhapLieu/ PhieuDanhGia.</t>
  </si>
  <si>
    <t>Thêm nhân viên</t>
  </si>
  <si>
    <t>Hỗ trợ tối đa 20 nhân viên (dòng 12–31 ở NhapLieu). Cần nhiều hơn: chèn dòng ở NhapLieu, TinhDiem, TongHop và kéo công thức.</t>
  </si>
  <si>
    <t>CÔNG TY TNHH ABC</t>
  </si>
  <si>
    <t>Ghi chú: ô chữ cam đậm nền cam nhạt là ô nhập/ chỉnh sửa. 'Trần hoàn thành' giới hạn % hoàn thành tối đa của KPI loại 'Cao hơn tốt hơn' (120% = vượt mục tiêu tối đa 20% vẫn chỉ tính 120%). Đây là giả định đề xuất, có thể điều chỉnh.</t>
  </si>
  <si>
    <t>Kỳ đánh giá</t>
  </si>
  <si>
    <t>Tháng 10/2026</t>
  </si>
  <si>
    <t>Trần hoàn thành tối đa mỗi KPI</t>
  </si>
  <si>
    <t>Kiểm tra tổng trọng số</t>
  </si>
  <si>
    <t>Chế độ xử lý KPI bỏ trống</t>
  </si>
  <si>
    <t>Quy đổi theo KPI có dữ liệu</t>
  </si>
  <si>
    <t>STT</t>
  </si>
  <si>
    <t>Mã KPI</t>
  </si>
  <si>
    <t>Tên KPI</t>
  </si>
  <si>
    <t>Cách tính / Nguồn dữ liệu</t>
  </si>
  <si>
    <t>Chiều đánh giá</t>
  </si>
  <si>
    <t>Mục tiêu</t>
  </si>
  <si>
    <t>Ngưỡng tối đa*</t>
  </si>
  <si>
    <t>Trọng số</t>
  </si>
  <si>
    <t>KPI01</t>
  </si>
  <si>
    <t>A. Chất lượng &amp; độ chính xác</t>
  </si>
  <si>
    <t>Tỷ lệ chứng từ hạch toán chính xác</t>
  </si>
  <si>
    <t>Số chứng từ đúng ÷ Tổng chứng từ đã hạch toán (kiểm tra mẫu/ soát xét của KTT)</t>
  </si>
  <si>
    <t>%</t>
  </si>
  <si>
    <t>Cao hơn tốt hơn</t>
  </si>
  <si>
    <t>KPI02</t>
  </si>
  <si>
    <t>Số sai sót nghiêm trọng</t>
  </si>
  <si>
    <t>Số lần sai sót làm sai lệch số liệu báo cáo / phải hạch toán điều chỉnh lớn</t>
  </si>
  <si>
    <t>lần</t>
  </si>
  <si>
    <t>Thấp hơn tốt hơn</t>
  </si>
  <si>
    <t>KPI03</t>
  </si>
  <si>
    <t>Tỷ lệ báo cáo phải điều chỉnh sau khi nộp</t>
  </si>
  <si>
    <t>Số báo cáo phải điều chỉnh ÷ Tổng số báo cáo đã nộp</t>
  </si>
  <si>
    <t>KPI04</t>
  </si>
  <si>
    <t>Tỷ lệ chênh lệch đối chiếu chưa xử lý</t>
  </si>
  <si>
    <t>Giá trị chênh lệch công nợ/ngân hàng/kho chưa xử lý ÷ Tổng giá trị đối chiếu</t>
  </si>
  <si>
    <t>KPI05</t>
  </si>
  <si>
    <t>B. Tiến độ &amp; tuân thủ</t>
  </si>
  <si>
    <t>Tỷ lệ báo cáo nộp đúng hạn</t>
  </si>
  <si>
    <t>Số báo cáo nộp đúng hạn nội bộ ÷ Tổng số báo cáo phải nộp</t>
  </si>
  <si>
    <t>KPI06</t>
  </si>
  <si>
    <t>Số ngày hoàn thành khóa sổ</t>
  </si>
  <si>
    <t>Số ngày làm việc kể từ cuối tháng đến khi khóa sổ xong</t>
  </si>
  <si>
    <t>ngày</t>
  </si>
  <si>
    <t>KPI07</t>
  </si>
  <si>
    <t>Tỷ lệ tờ khai thuế/ BHXH nộp đúng hạn</t>
  </si>
  <si>
    <t>Số tờ khai nộp đúng hạn ÷ Tổng số tờ khai phải nộp</t>
  </si>
  <si>
    <t>KPI08</t>
  </si>
  <si>
    <t>Số lần bị phạt do chậm/ sai</t>
  </si>
  <si>
    <t>Số lần bị xử phạt (thuế, BHXH, hóa đơn...) do lỗi của nhân viên</t>
  </si>
  <si>
    <t>KPI09</t>
  </si>
  <si>
    <t>C. Hiệu quả công việc</t>
  </si>
  <si>
    <t>Tỷ lệ chứng từ xử lý trong 24h</t>
  </si>
  <si>
    <t>Số chứng từ xử lý ≤ 24h ÷ Tổng chứng từ tiếp nhận</t>
  </si>
  <si>
    <t>KPI10</t>
  </si>
  <si>
    <t>Tỷ lệ thu hồi công nợ đúng hạn</t>
  </si>
  <si>
    <t>Số tiền thu hồi đúng hạn ÷ Tổng công nợ đến hạn (bỏ trống nếu không phụ trách)</t>
  </si>
  <si>
    <t>KPI11</t>
  </si>
  <si>
    <t>Số sáng kiến cải tiến/ tiết kiệm chi phí</t>
  </si>
  <si>
    <t>Số đề xuất được duyệt áp dụng trong kỳ</t>
  </si>
  <si>
    <t>sáng kiến</t>
  </si>
  <si>
    <t>KPI12</t>
  </si>
  <si>
    <t>D. Thái độ &amp; phát triển</t>
  </si>
  <si>
    <t>Điểm tuân thủ quy trình, nội quy, bảo mật</t>
  </si>
  <si>
    <t>Điểm 0-100 do Kế toán trưởng chấm theo checklist tuân thủ</t>
  </si>
  <si>
    <t>điểm</t>
  </si>
  <si>
    <t>KPI13</t>
  </si>
  <si>
    <t>Điểm phối hợp &amp; thái độ làm việc</t>
  </si>
  <si>
    <t>Điểm 0-100 do quản lý trực tiếp và bộ phận liên quan đánh giá</t>
  </si>
  <si>
    <t>KPI14</t>
  </si>
  <si>
    <t>Số giờ đào tạo/ cập nhật chuẩn mực, luật</t>
  </si>
  <si>
    <t>Số giờ tham dự đào tạo, cập nhật VAS/IFRS/thuế trong kỳ</t>
  </si>
  <si>
    <t>giờ</t>
  </si>
  <si>
    <t>TỔNG TRỌNG SỐ</t>
  </si>
  <si>
    <t>* Ngưỡng tối đa chỉ dùng cho KPI 'Thấp hơn tốt hơn': đạt ngưỡng này (hoặc tệ hơn) → 0%. KPI 'Cao hơn tốt hơn' để trống cột này.</t>
  </si>
  <si>
    <t>THANG XẾP LOẠI &amp; HỆ SỐ THƯỞNG (sắp xếp tăng dần theo điểm)</t>
  </si>
  <si>
    <t>Điểm từ</t>
  </si>
  <si>
    <t>Xếp loại</t>
  </si>
  <si>
    <t>Hệ số thưởng</t>
  </si>
  <si>
    <t>Diễn giải</t>
  </si>
  <si>
    <t>Không đạt</t>
  </si>
  <si>
    <t>Dưới 70 điểm – chưa đáp ứng yêu cầu, cần kế hoạch cải thiện</t>
  </si>
  <si>
    <t>Cần cải thiện</t>
  </si>
  <si>
    <t>70–&lt;85 điểm – đạt một phần mục tiêu</t>
  </si>
  <si>
    <t>Hoàn thành</t>
  </si>
  <si>
    <t>85–&lt;95 điểm – hoàn thành mục tiêu</t>
  </si>
  <si>
    <t>Tốt</t>
  </si>
  <si>
    <t>95–&lt;105 điểm – hoàn thành tốt, vượt mục tiêu</t>
  </si>
  <si>
    <t>Xuất sắc</t>
  </si>
  <si>
    <t>Từ 105 điểm – vượt trội so với mục tiêu</t>
  </si>
  <si>
    <t>NHÓM KPI (tên nhóm dùng để tổng hợp điểm theo nhóm)</t>
  </si>
  <si>
    <t>Tên nhóm</t>
  </si>
  <si>
    <t>Trọng số nhóm (tự tính)</t>
  </si>
  <si>
    <t>Ngưỡng tối đa</t>
  </si>
  <si>
    <t>BẢNG TỔNG HỢP KẾT QUẢ ĐÁNH GIÁ KPI NHÂN VIÊN KẾ TOÁN</t>
  </si>
  <si>
    <t>Điểm tối đa theo trọng số</t>
  </si>
  <si>
    <t>Mã NV</t>
  </si>
  <si>
    <t>Họ và tên</t>
  </si>
  <si>
    <t>Chức danh</t>
  </si>
  <si>
    <t>TỔNG ĐIỂM</t>
  </si>
  <si>
    <t>Xếp hạng</t>
  </si>
  <si>
    <t>Trạng thái dữ liệu</t>
  </si>
  <si>
    <t>Tổng trọng số KPI có dữ liệu</t>
  </si>
  <si>
    <t>Hệ số quy đổi</t>
  </si>
  <si>
    <t>Số KPI đã nhập</t>
  </si>
  <si>
    <t>PHIẾU ĐÁNH GIÁ KPI NHÂN VIÊN KẾ TOÁN</t>
  </si>
  <si>
    <t>NV001</t>
  </si>
  <si>
    <t>Nguyễn Thị Lan</t>
  </si>
  <si>
    <t>Kế toán tổng hợp</t>
  </si>
  <si>
    <t>Mã nhân viên (chọn)</t>
  </si>
  <si>
    <t>NV002</t>
  </si>
  <si>
    <t>Trần Văn Minh</t>
  </si>
  <si>
    <t>Kế toán thuế</t>
  </si>
  <si>
    <t>Người đánh giá</t>
  </si>
  <si>
    <t>NV003</t>
  </si>
  <si>
    <t>Lê Thu Hà</t>
  </si>
  <si>
    <t>Kế toán công nợ</t>
  </si>
  <si>
    <t>Ngày đánh giá</t>
  </si>
  <si>
    <t>NV004</t>
  </si>
  <si>
    <t>Phạm Quốc Bảo</t>
  </si>
  <si>
    <t>Kế toán ngân hàng</t>
  </si>
  <si>
    <t>Vị trí dòng dữ liệu (tự động)</t>
  </si>
  <si>
    <t>NV005</t>
  </si>
  <si>
    <t>Hoàng Anh Tuấn</t>
  </si>
  <si>
    <t>Kế toán kho</t>
  </si>
  <si>
    <t>Thực tế</t>
  </si>
  <si>
    <t>NV006</t>
  </si>
  <si>
    <t>% hoàn thành</t>
  </si>
  <si>
    <t>Đỗ Mai Phương</t>
  </si>
  <si>
    <t>Kế toán thanh toán</t>
  </si>
  <si>
    <t>Điểm đạt</t>
  </si>
  <si>
    <t>TỔNG CỘNG</t>
  </si>
  <si>
    <t>KẾT QUẢ TỔNG HỢP</t>
  </si>
  <si>
    <t>ĐIỂM THEO NHÓM KPI</t>
  </si>
  <si>
    <t>Tối đa</t>
  </si>
  <si>
    <t>Tỷ lệ</t>
  </si>
  <si>
    <t>Điểm mạnh</t>
  </si>
  <si>
    <t>Điểm cần cải thiện</t>
  </si>
  <si>
    <t>Mục tiêu / kế hoạch phát triển kỳ tới</t>
  </si>
  <si>
    <t>Ý kiến của nhân viên</t>
  </si>
  <si>
    <t>Nhân viên</t>
  </si>
  <si>
    <t>Quản lý trực tiếp</t>
  </si>
  <si>
    <t>Kế toán trưởng / Giám đốc</t>
  </si>
  <si>
    <t>(Ký, ghi rõ họ tên)</t>
  </si>
  <si>
    <t>THỐNG KÊ CHUNG</t>
  </si>
  <si>
    <t>Số nhân viên được đánh giá</t>
  </si>
  <si>
    <t>Điểm trung bình</t>
  </si>
  <si>
    <t>Điểm cao nhất</t>
  </si>
  <si>
    <t>Điểm thấp nhất</t>
  </si>
  <si>
    <t>PHÂN BỐ XẾP LOẠI</t>
  </si>
  <si>
    <t>Số lượng  |  Tỷ lệ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</si>
</sst>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%"/>
    <numFmt numFmtId="165" formatCode="0.0\x"/>
    <numFmt numFmtId="166" formatCode="0.0"/>
    <numFmt numFmtId="167" formatCode="0.000"/>
  </numFmts>
  <fonts count="17">
    <font>
      <sz val="11.0"/>
      <color theme="1"/>
      <name val="Calibri"/>
      <scheme val="minor"/>
    </font>
    <font>
      <b/>
      <sz val="14.0"/>
      <color rgb="FFFFFFFF"/>
      <name val="Inter Tight"/>
    </font>
    <font/>
    <font>
      <b/>
      <sz val="10.0"/>
      <color rgb="FFFFFFFF"/>
      <name val="Inter Tight"/>
    </font>
    <font>
      <b/>
      <sz val="10.0"/>
      <color rgb="FF000000"/>
      <name val="Inter Tight"/>
    </font>
    <font>
      <sz val="10.0"/>
      <color rgb="FF000000"/>
      <name val="Inter Tight"/>
    </font>
    <font>
      <b/>
      <sz val="10.0"/>
      <color rgb="FFC2410C"/>
      <name val="Inter Tight"/>
    </font>
    <font>
      <b/>
      <sz val="11.0"/>
      <color rgb="FFE8590C"/>
      <name val="Inter Tight"/>
    </font>
    <font>
      <sz val="10.0"/>
      <color rgb="FFC2410C"/>
      <name val="Inter Tight"/>
    </font>
    <font>
      <i/>
      <sz val="10.0"/>
      <color rgb="FF595959"/>
      <name val="Inter Tight"/>
    </font>
    <font>
      <sz val="10.0"/>
      <color rgb="FF595959"/>
      <name val="Inter Tight"/>
    </font>
    <font>
      <b/>
      <sz val="10.0"/>
      <color rgb="FF595959"/>
      <name val="Inter Tight"/>
    </font>
    <font>
      <sz val="11.0"/>
      <color theme="1"/>
      <name val="Calibri"/>
    </font>
    <font>
      <b/>
      <sz val="12.0"/>
      <color rgb="FFE8590C"/>
      <name val="Inter Tight"/>
    </font>
    <font>
      <b/>
      <sz val="11.0"/>
      <color rgb="FFC2410C"/>
      <name val="Inter Tight"/>
    </font>
    <font>
      <i/>
      <sz val="10.0"/>
      <color rgb="FF808080"/>
      <name val="Inter Tight"/>
    </font>
    <font>
      <b/>
      <sz val="11.0"/>
      <color rgb="FF000000"/>
      <name val="Inter Tight"/>
    </font>
  </fonts>
  <fills count="9">
    <fill>
      <patternFill patternType="none"/>
    </fill>
    <fill>
      <patternFill patternType="lightGray"/>
    </fill>
    <fill>
      <patternFill patternType="solid">
        <fgColor rgb="FFE8590C"/>
        <bgColor rgb="FFE8590C"/>
      </patternFill>
    </fill>
    <fill>
      <patternFill patternType="solid">
        <fgColor rgb="FF595959"/>
        <bgColor rgb="FF595959"/>
      </patternFill>
    </fill>
    <fill>
      <patternFill patternType="solid">
        <fgColor rgb="FFFFF1E0"/>
        <bgColor rgb="FFFFF1E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DE3CF"/>
        <bgColor rgb="FFFDE3CF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top style="thin">
        <color rgb="FFA6A6A6"/>
      </top>
      <bottom style="thin">
        <color rgb="FFA6A6A6"/>
      </bottom>
    </border>
    <border>
      <top style="thin">
        <color rgb="FFA6A6A6"/>
      </top>
      <bottom style="thin">
        <color rgb="FFA6A6A6"/>
      </bottom>
    </border>
    <border>
      <right style="thin">
        <color rgb="FFA6A6A6"/>
      </right>
      <top style="thin">
        <color rgb="FFA6A6A6"/>
      </top>
      <bottom style="thin">
        <color rgb="FFA6A6A6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left" shrinkToFit="0" vertical="center" wrapText="1"/>
    </xf>
    <xf borderId="4" fillId="0" fontId="4" numFmtId="0" xfId="0" applyAlignment="1" applyBorder="1" applyFont="1">
      <alignment horizontal="left" shrinkToFit="0" vertical="center" wrapText="1"/>
    </xf>
    <xf borderId="4" fillId="0" fontId="5" numFmtId="0" xfId="0" applyAlignment="1" applyBorder="1" applyFont="1">
      <alignment horizontal="left" shrinkToFit="0" vertical="center" wrapText="1"/>
    </xf>
    <xf borderId="4" fillId="4" fontId="6" numFmtId="0" xfId="0" applyAlignment="1" applyBorder="1" applyFill="1" applyFont="1">
      <alignment horizontal="left" shrinkToFit="0" vertical="center" wrapText="1"/>
    </xf>
    <xf borderId="0" fillId="0" fontId="7" numFmtId="0" xfId="0" applyAlignment="1" applyFont="1">
      <alignment shrinkToFit="0" vertical="bottom" wrapText="0"/>
    </xf>
    <xf borderId="1" fillId="3" fontId="3" numFmtId="0" xfId="0" applyAlignment="1" applyBorder="1" applyFill="1" applyFont="1">
      <alignment shrinkToFit="0" vertical="bottom" wrapText="0"/>
    </xf>
    <xf borderId="5" fillId="5" fontId="4" numFmtId="0" xfId="0" applyAlignment="1" applyBorder="1" applyFill="1" applyFont="1">
      <alignment horizontal="right" shrinkToFit="0" vertical="center" wrapText="0"/>
    </xf>
    <xf borderId="6" fillId="0" fontId="2" numFmtId="0" xfId="0" applyBorder="1" applyFont="1"/>
    <xf borderId="7" fillId="0" fontId="2" numFmtId="0" xfId="0" applyBorder="1" applyFont="1"/>
    <xf borderId="5" fillId="5" fontId="4" numFmtId="0" xfId="0" applyAlignment="1" applyBorder="1" applyFill="1" applyFont="1">
      <alignment horizontal="left" shrinkToFit="0" vertical="center" wrapText="1"/>
    </xf>
    <xf borderId="5" fillId="4" fontId="8" numFmtId="0" xfId="0" applyAlignment="1" applyBorder="1" applyFill="1" applyFont="1">
      <alignment horizontal="left" shrinkToFit="0" vertical="center" wrapText="1"/>
    </xf>
    <xf borderId="5" fillId="5" fontId="4" numFmtId="0" xfId="0" applyAlignment="1" applyBorder="1" applyFill="1" applyFont="1">
      <alignment horizontal="center" shrinkToFit="0" vertical="center" wrapText="0"/>
    </xf>
    <xf borderId="0" fillId="0" fontId="9" numFmtId="0" xfId="0" applyAlignment="1" applyFont="1">
      <alignment shrinkToFit="0" vertical="top" wrapText="1"/>
    </xf>
    <xf borderId="6" fillId="5" fontId="2" numFmtId="0" xfId="0" applyBorder="1" applyFill="1" applyFont="1"/>
    <xf borderId="4" fillId="5" fontId="10" numFmtId="0" xfId="0" applyAlignment="1" applyBorder="1" applyFill="1" applyFont="1">
      <alignment horizontal="center" shrinkToFit="0" vertical="center" wrapText="1"/>
    </xf>
    <xf borderId="7" fillId="5" fontId="2" numFmtId="0" xfId="0" applyBorder="1" applyFill="1" applyFont="1"/>
    <xf borderId="5" fillId="4" fontId="8" numFmtId="9" xfId="0" applyAlignment="1" applyBorder="1" applyFill="1" applyFont="1" applyNumberFormat="1">
      <alignment horizontal="left" shrinkToFit="0" vertical="center" wrapText="1"/>
    </xf>
    <xf borderId="5" fillId="0" fontId="4" numFmtId="0" xfId="0" applyAlignment="1" applyBorder="1" applyFont="1">
      <alignment horizontal="left" shrinkToFit="0" vertical="center" wrapText="1"/>
    </xf>
    <xf borderId="4" fillId="2" fontId="3" numFmtId="0" xfId="0" applyAlignment="1" applyBorder="1" applyFill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4" fontId="8" numFmtId="0" xfId="0" applyAlignment="1" applyBorder="1" applyFill="1" applyFont="1">
      <alignment horizontal="center" shrinkToFit="0" vertical="center" wrapText="1"/>
    </xf>
    <xf borderId="4" fillId="4" fontId="8" numFmtId="0" xfId="0" applyAlignment="1" applyBorder="1" applyFill="1" applyFont="1">
      <alignment horizontal="left" shrinkToFit="0" vertical="center" wrapText="1"/>
    </xf>
    <xf borderId="4" fillId="4" fontId="8" numFmtId="164" xfId="0" applyAlignment="1" applyBorder="1" applyFill="1" applyFont="1" applyNumberFormat="1">
      <alignment horizontal="center" shrinkToFit="0" vertical="center" wrapText="1"/>
    </xf>
    <xf borderId="4" fillId="4" fontId="8" numFmtId="9" xfId="0" applyAlignment="1" applyBorder="1" applyFill="1" applyFont="1" applyNumberFormat="1">
      <alignment horizontal="center" shrinkToFit="0" vertical="center" wrapText="1"/>
    </xf>
    <xf borderId="4" fillId="5" fontId="11" numFmtId="0" xfId="0" applyAlignment="1" applyBorder="1" applyFill="1" applyFont="1">
      <alignment horizontal="center" shrinkToFit="0" vertical="center" wrapText="1"/>
    </xf>
    <xf borderId="5" fillId="6" fontId="4" numFmtId="0" xfId="0" applyAlignment="1" applyBorder="1" applyFill="1" applyFont="1">
      <alignment horizontal="center" shrinkToFit="0" vertical="center" wrapText="0"/>
    </xf>
    <xf borderId="6" fillId="6" fontId="2" numFmtId="0" xfId="0" applyBorder="1" applyFill="1" applyFont="1"/>
    <xf borderId="7" fillId="6" fontId="2" numFmtId="0" xfId="0" applyBorder="1" applyFill="1" applyFont="1"/>
    <xf borderId="4" fillId="6" fontId="11" numFmtId="0" xfId="0" applyAlignment="1" applyBorder="1" applyFill="1" applyFont="1">
      <alignment horizontal="center" shrinkToFit="0" vertical="center" wrapText="1"/>
    </xf>
    <xf borderId="5" fillId="7" fontId="4" numFmtId="0" xfId="0" applyAlignment="1" applyBorder="1" applyFill="1" applyFont="1">
      <alignment horizontal="center" shrinkToFit="0" vertical="center" wrapText="0"/>
    </xf>
    <xf borderId="6" fillId="7" fontId="2" numFmtId="0" xfId="0" applyBorder="1" applyFill="1" applyFont="1"/>
    <xf borderId="7" fillId="7" fontId="2" numFmtId="0" xfId="0" applyBorder="1" applyFill="1" applyFont="1"/>
    <xf borderId="4" fillId="7" fontId="10" numFmtId="0" xfId="0" applyAlignment="1" applyBorder="1" applyFill="1" applyFont="1">
      <alignment horizontal="center" shrinkToFit="0" vertical="center" wrapText="1"/>
    </xf>
    <xf borderId="5" fillId="8" fontId="4" numFmtId="0" xfId="0" applyAlignment="1" applyBorder="1" applyFill="1" applyFont="1">
      <alignment horizontal="center" shrinkToFit="0" vertical="center" wrapText="1"/>
    </xf>
    <xf borderId="4" fillId="8" fontId="4" numFmtId="9" xfId="0" applyAlignment="1" applyBorder="1" applyFill="1" applyFont="1" applyNumberFormat="1">
      <alignment horizontal="center" shrinkToFit="0" vertical="center" wrapText="1"/>
    </xf>
    <xf borderId="0" fillId="0" fontId="9" numFmtId="0" xfId="0" applyAlignment="1" applyFont="1">
      <alignment shrinkToFit="0" vertical="bottom" wrapText="0"/>
    </xf>
    <xf borderId="4" fillId="2" fontId="3" numFmtId="0" xfId="0" applyAlignment="1" applyBorder="1" applyFill="1" applyFont="1">
      <alignment horizontal="center" shrinkToFit="0" vertical="center" wrapText="1"/>
    </xf>
    <xf borderId="4" fillId="4" fontId="8" numFmtId="0" xfId="0" applyAlignment="1" applyBorder="1" applyFill="1" applyFont="1">
      <alignment horizontal="center" shrinkToFit="0" vertical="center" wrapText="1"/>
    </xf>
    <xf borderId="4" fillId="4" fontId="8" numFmtId="165" xfId="0" applyAlignment="1" applyBorder="1" applyFill="1" applyFont="1" applyNumberFormat="1">
      <alignment horizontal="center" shrinkToFit="0" vertical="center" wrapText="1"/>
    </xf>
    <xf borderId="4" fillId="4" fontId="8" numFmtId="0" xfId="0" applyAlignment="1" applyBorder="1" applyFill="1" applyFont="1">
      <alignment horizontal="left" shrinkToFit="0" vertical="center" wrapText="1"/>
    </xf>
    <xf borderId="4" fillId="6" fontId="10" numFmtId="0" xfId="0" applyAlignment="1" applyBorder="1" applyFill="1" applyFont="1">
      <alignment horizontal="center" shrinkToFit="0" vertical="center" wrapText="1"/>
    </xf>
    <xf borderId="4" fillId="0" fontId="5" numFmtId="9" xfId="0" applyAlignment="1" applyBorder="1" applyFont="1" applyNumberFormat="1">
      <alignment horizontal="center" shrinkToFit="0" vertical="center" wrapText="1"/>
    </xf>
    <xf borderId="4" fillId="5" fontId="10" numFmtId="164" xfId="0" applyAlignment="1" applyBorder="1" applyFill="1" applyFont="1" applyNumberFormat="1">
      <alignment horizontal="center" shrinkToFit="0" vertical="center" wrapText="1"/>
    </xf>
    <xf borderId="4" fillId="7" fontId="10" numFmtId="164" xfId="0" applyAlignment="1" applyBorder="1" applyFill="1" applyFont="1" applyNumberForma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readingOrder="0" shrinkToFit="0" vertical="center" wrapText="1"/>
    </xf>
    <xf borderId="4" fillId="5" fontId="11" numFmtId="1" xfId="0" applyAlignment="1" applyBorder="1" applyFill="1" applyFont="1" applyNumberFormat="1">
      <alignment horizontal="center" shrinkToFit="0" vertical="center" wrapText="1"/>
    </xf>
    <xf borderId="4" fillId="5" fontId="10" numFmtId="9" xfId="0" applyAlignment="1" applyBorder="1" applyFill="1" applyFont="1" applyNumberFormat="1">
      <alignment horizontal="center" shrinkToFit="0" vertical="center" wrapText="1"/>
    </xf>
    <xf borderId="4" fillId="5" fontId="4" numFmtId="1" xfId="0" applyAlignment="1" applyBorder="1" applyFill="1" applyFont="1" applyNumberFormat="1">
      <alignment horizontal="center" shrinkToFit="0" vertical="center" wrapText="1"/>
    </xf>
    <xf borderId="4" fillId="0" fontId="12" numFmtId="0" xfId="0" applyAlignment="1" applyBorder="1" applyFont="1">
      <alignment shrinkToFit="0" vertical="bottom" wrapText="0"/>
    </xf>
    <xf borderId="4" fillId="3" fontId="3" numFmtId="0" xfId="0" applyAlignment="1" applyBorder="1" applyFill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left" shrinkToFit="0" vertical="center" wrapText="1"/>
    </xf>
    <xf borderId="4" fillId="0" fontId="5" numFmtId="166" xfId="0" applyAlignment="1" applyBorder="1" applyFont="1" applyNumberFormat="1">
      <alignment horizontal="center" shrinkToFit="0" vertical="center" wrapText="1"/>
    </xf>
    <xf borderId="4" fillId="8" fontId="4" numFmtId="166" xfId="0" applyAlignment="1" applyBorder="1" applyFill="1" applyFont="1" applyNumberForma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0" fontId="5" numFmtId="165" xfId="0" applyAlignment="1" applyBorder="1" applyFont="1" applyNumberFormat="1">
      <alignment horizontal="center" shrinkToFit="0" vertical="center" wrapText="1"/>
    </xf>
    <xf borderId="4" fillId="0" fontId="4" numFmtId="1" xfId="0" applyAlignment="1" applyBorder="1" applyFont="1" applyNumberFormat="1">
      <alignment horizontal="center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6" fontId="10" numFmtId="164" xfId="0" applyAlignment="1" applyBorder="1" applyFill="1" applyFont="1" applyNumberFormat="1">
      <alignment horizontal="center" shrinkToFit="0" vertical="center" wrapText="1"/>
    </xf>
    <xf borderId="4" fillId="7" fontId="10" numFmtId="9" xfId="0" applyAlignment="1" applyBorder="1" applyFill="1" applyFont="1" applyNumberFormat="1">
      <alignment horizontal="center" shrinkToFit="0" vertical="center" wrapText="1"/>
    </xf>
    <xf borderId="0" fillId="0" fontId="13" numFmtId="0" xfId="0" applyAlignment="1" applyFont="1">
      <alignment horizontal="center" shrinkToFit="0" vertical="center" wrapText="1"/>
    </xf>
    <xf borderId="4" fillId="5" fontId="4" numFmtId="0" xfId="0" applyAlignment="1" applyBorder="1" applyFill="1" applyFont="1">
      <alignment horizontal="left" shrinkToFit="0" vertical="center" wrapText="1"/>
    </xf>
    <xf borderId="4" fillId="4" fontId="14" numFmtId="0" xfId="0" applyAlignment="1" applyBorder="1" applyFill="1" applyFont="1">
      <alignment horizontal="center" shrinkToFit="0" vertical="center" wrapText="1"/>
    </xf>
    <xf borderId="5" fillId="0" fontId="10" numFmtId="0" xfId="0" applyAlignment="1" applyBorder="1" applyFont="1">
      <alignment horizontal="left" shrinkToFit="0" vertical="center" wrapText="1"/>
    </xf>
    <xf borderId="4" fillId="0" fontId="15" numFmtId="0" xfId="0" applyAlignment="1" applyBorder="1" applyFont="1">
      <alignment horizontal="left" shrinkToFit="0" vertical="center" wrapText="1"/>
    </xf>
    <xf borderId="4" fillId="0" fontId="15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center" shrinkToFit="0" vertical="center" wrapText="1"/>
    </xf>
    <xf borderId="4" fillId="0" fontId="10" numFmtId="164" xfId="0" applyAlignment="1" applyBorder="1" applyFont="1" applyNumberFormat="1">
      <alignment horizontal="center" shrinkToFit="0" vertical="center" wrapText="1"/>
    </xf>
    <xf borderId="4" fillId="0" fontId="4" numFmtId="164" xfId="0" applyAlignment="1" applyBorder="1" applyFont="1" applyNumberFormat="1">
      <alignment horizontal="center" shrinkToFit="0" vertical="center" wrapText="1"/>
    </xf>
    <xf borderId="4" fillId="0" fontId="10" numFmtId="9" xfId="0" applyAlignment="1" applyBorder="1" applyFont="1" applyNumberFormat="1">
      <alignment horizontal="center" shrinkToFit="0" vertical="center" wrapText="1"/>
    </xf>
    <xf borderId="4" fillId="0" fontId="4" numFmtId="166" xfId="0" applyAlignment="1" applyBorder="1" applyFont="1" applyNumberFormat="1">
      <alignment horizontal="center" shrinkToFit="0" vertical="center" wrapText="1"/>
    </xf>
    <xf borderId="4" fillId="0" fontId="5" numFmtId="167" xfId="0" applyAlignment="1" applyBorder="1" applyFont="1" applyNumberFormat="1">
      <alignment horizontal="center" shrinkToFit="0" vertical="center" wrapText="1"/>
    </xf>
    <xf borderId="4" fillId="0" fontId="5" numFmtId="1" xfId="0" applyAlignment="1" applyBorder="1" applyFont="1" applyNumberFormat="1">
      <alignment horizontal="center" shrinkToFit="0" vertical="center" wrapText="1"/>
    </xf>
    <xf borderId="4" fillId="8" fontId="16" numFmtId="166" xfId="0" applyAlignment="1" applyBorder="1" applyFill="1" applyFont="1" applyNumberFormat="1">
      <alignment horizontal="center" shrinkToFit="0" vertical="center" wrapText="1"/>
    </xf>
    <xf borderId="5" fillId="3" fontId="3" numFmtId="0" xfId="0" applyAlignment="1" applyBorder="1" applyFill="1" applyFont="1">
      <alignment horizontal="center" shrinkToFit="0" vertical="center" wrapText="1"/>
    </xf>
    <xf borderId="4" fillId="8" fontId="16" numFmtId="0" xfId="0" applyAlignment="1" applyBorder="1" applyFill="1" applyFont="1">
      <alignment horizontal="center" shrinkToFit="0" vertical="center" wrapText="1"/>
    </xf>
    <xf borderId="4" fillId="0" fontId="10" numFmtId="1" xfId="0" applyAlignment="1" applyBorder="1" applyFont="1" applyNumberFormat="1">
      <alignment horizontal="center" shrinkToFit="0" vertical="center" wrapText="1"/>
    </xf>
    <xf borderId="4" fillId="0" fontId="16" numFmtId="165" xfId="0" applyAlignment="1" applyBorder="1" applyFont="1" applyNumberFormat="1">
      <alignment horizontal="center" shrinkToFit="0" vertical="center" wrapText="1"/>
    </xf>
    <xf borderId="4" fillId="0" fontId="16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15" numFmtId="0" xfId="0" applyAlignment="1" applyFont="1">
      <alignment horizontal="center" shrinkToFit="0" vertical="center" wrapText="1"/>
    </xf>
    <xf borderId="4" fillId="0" fontId="1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19">
    <dxf>
      <font/>
      <fill>
        <patternFill patternType="none"/>
      </fill>
      <border/>
    </dxf>
    <dxf>
      <font/>
      <fill>
        <patternFill patternType="solid">
          <fgColor rgb="FFF46524"/>
          <bgColor rgb="FFF4652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FE6DD"/>
          <bgColor rgb="FFFFE6DD"/>
        </patternFill>
      </fill>
      <border/>
    </dxf>
    <dxf>
      <font>
        <b/>
        <color rgb="FF7C2D12"/>
        <name val="Inter Tight"/>
      </font>
      <fill>
        <patternFill patternType="solid">
          <fgColor rgb="FFFCD5B0"/>
          <bgColor rgb="FFFCD5B0"/>
        </patternFill>
      </fill>
      <border/>
    </dxf>
    <dxf>
      <font>
        <b/>
        <color rgb="FFFFFFFF"/>
        <name val="Inter Tight"/>
      </font>
      <fill>
        <patternFill patternType="solid">
          <fgColor rgb="FF595959"/>
          <bgColor rgb="FF595959"/>
        </patternFill>
      </fill>
      <border/>
    </dxf>
    <dxf>
      <font>
        <color rgb="FF7C2D12"/>
        <name val="Inter Tight"/>
      </font>
      <fill>
        <patternFill patternType="solid">
          <fgColor rgb="FFFCD5B0"/>
          <bgColor rgb="FFFCD5B0"/>
        </patternFill>
      </fill>
      <border/>
    </dxf>
    <dxf>
      <font>
        <color rgb="FF404040"/>
        <name val="Inter Tight"/>
      </font>
      <fill>
        <patternFill patternType="solid">
          <fgColor rgb="FFF2F2F2"/>
          <bgColor rgb="FFF2F2F2"/>
        </patternFill>
      </fill>
      <border/>
    </dxf>
    <dxf>
      <font>
        <color rgb="FF262626"/>
        <name val="Inter Tight"/>
      </font>
      <fill>
        <patternFill patternType="solid">
          <fgColor rgb="FFBFBFBF"/>
          <bgColor rgb="FFBFBFBF"/>
        </patternFill>
      </fill>
      <border/>
    </dxf>
    <dxf>
      <font>
        <b/>
        <sz val="11.0"/>
        <color rgb="FF7C2D12"/>
        <name val="Inter Tight"/>
      </font>
      <fill>
        <patternFill patternType="solid">
          <fgColor rgb="FFFCD5B0"/>
          <bgColor rgb="FFFCD5B0"/>
        </patternFill>
      </fill>
      <border/>
    </dxf>
    <dxf>
      <font>
        <b/>
        <sz val="11.0"/>
        <color rgb="FF9A3412"/>
        <name val="Inter Tight"/>
      </font>
      <fill>
        <patternFill patternType="solid">
          <fgColor rgb="FFFEE8D2"/>
          <bgColor rgb="FFFEE8D2"/>
        </patternFill>
      </fill>
      <border/>
    </dxf>
    <dxf>
      <font>
        <b/>
        <sz val="11.0"/>
        <color rgb="FF404040"/>
        <name val="Inter Tight"/>
      </font>
      <fill>
        <patternFill patternType="solid">
          <fgColor rgb="FFF2F2F2"/>
          <bgColor rgb="FFF2F2F2"/>
        </patternFill>
      </fill>
      <border/>
    </dxf>
    <dxf>
      <font>
        <b/>
        <sz val="11.0"/>
        <color rgb="FF404040"/>
        <name val="Inter Tight"/>
      </font>
      <fill>
        <patternFill patternType="solid">
          <fgColor rgb="FFD9D9D9"/>
          <bgColor rgb="FFD9D9D9"/>
        </patternFill>
      </fill>
      <border/>
    </dxf>
    <dxf>
      <font>
        <b/>
        <sz val="11.0"/>
        <color rgb="FF262626"/>
        <name val="Inter Tight"/>
      </font>
      <fill>
        <patternFill patternType="solid">
          <fgColor rgb="FFBFBFBF"/>
          <bgColor rgb="FFBFBFBF"/>
        </patternFill>
      </fill>
      <border/>
    </dxf>
    <dxf>
      <font>
        <b/>
        <color rgb="FF9A3412"/>
        <name val="Inter Tight"/>
      </font>
      <fill>
        <patternFill patternType="solid">
          <fgColor rgb="FFFEE8D2"/>
          <bgColor rgb="FFFEE8D2"/>
        </patternFill>
      </fill>
      <border/>
    </dxf>
    <dxf>
      <font>
        <b/>
        <color rgb="FF404040"/>
        <name val="Inter Tight"/>
      </font>
      <fill>
        <patternFill patternType="solid">
          <fgColor rgb="FFF2F2F2"/>
          <bgColor rgb="FFF2F2F2"/>
        </patternFill>
      </fill>
      <border/>
    </dxf>
    <dxf>
      <font>
        <b/>
        <color rgb="FF404040"/>
        <name val="Inter Tight"/>
      </font>
      <fill>
        <patternFill patternType="solid">
          <fgColor rgb="FFD9D9D9"/>
          <bgColor rgb="FFD9D9D9"/>
        </patternFill>
      </fill>
      <border/>
    </dxf>
    <dxf>
      <font>
        <b/>
        <color rgb="FF262626"/>
        <name val="Inter Tight"/>
      </font>
      <fill>
        <patternFill patternType="solid">
          <fgColor rgb="FFBFBFBF"/>
          <bgColor rgb="FFBFBFBF"/>
        </patternFill>
      </fill>
      <border/>
    </dxf>
    <dxf>
      <font>
        <i/>
        <color rgb="FFC2410C"/>
        <name val="Inter Tight"/>
      </font>
      <fill>
        <patternFill patternType="none"/>
      </fill>
      <border/>
    </dxf>
  </dxfs>
  <tableStyles count="2">
    <tableStyle count="3" pivot="0" name="CauHinh-style">
      <tableStyleElement dxfId="1" type="headerRow"/>
      <tableStyleElement dxfId="2" type="firstRowStripe"/>
      <tableStyleElement dxfId="3" type="secondRowStripe"/>
    </tableStyle>
    <tableStyle count="3" pivot="0" name="NhapLieu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Tổng điểm KPI theo nhân viên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v>TỔNG ĐIỂM</c:v>
          </c:tx>
          <c:spPr>
            <a:solidFill>
              <a:srgbClr val="E8590C"/>
            </a:solidFill>
            <a:ln cmpd="sng">
              <a:noFill/>
            </a:ln>
          </c:spPr>
          <c:invertIfNegative val="0"/>
          <c:cat>
            <c:strRef>
              <c:f>TongHop!$C$6:$C$25</c:f>
            </c:strRef>
          </c:cat>
          <c:val>
            <c:numRef>
              <c:f>TongHop!$I$6:$I$25</c:f>
              <c:numCache/>
            </c:numRef>
          </c:val>
        </c:ser>
        <c:axId val="1128140558"/>
        <c:axId val="1911063553"/>
      </c:barChart>
      <c:catAx>
        <c:axId val="112814055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911063553"/>
      </c:catAx>
      <c:valAx>
        <c:axId val="191106355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Điểm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128140558"/>
      </c:valAx>
    </c:plotArea>
    <c:plotVisOnly val="1"/>
  </c:chart>
  <c:spPr>
    <a:solidFill>
      <a:srgbClr val="FFFFFF"/>
    </a:solidFill>
  </c:spPr>
</c:chartSpace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133350</xdr:colOff>
      <xdr:row>8</xdr:row>
      <xdr:rowOff>19050</xdr:rowOff>
    </xdr:from>
    <xdr:ext cx="7439025" cy="3362325"/>
    <xdr:graphicFrame>
      <xdr:nvGraphicFramePr>
        <xdr:cNvPr id="674476922" name="Chart 1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0:J24" displayName="Table_1" name="Table_1" id="1">
  <tableColumns count="10">
    <tableColumn name="STT" id="1"/>
    <tableColumn name="Mã KPI" id="2"/>
    <tableColumn name="Nhóm KPI" id="3"/>
    <tableColumn name="Tên KPI" id="4"/>
    <tableColumn name="Cách tính / Nguồn dữ liệu" id="5"/>
    <tableColumn name="Đơn vị" id="6"/>
    <tableColumn name="Chiều đánh giá" id="7"/>
    <tableColumn name="Mục tiêu" id="8"/>
    <tableColumn name="Ngưỡng tối đa*" id="9"/>
    <tableColumn name="Trọng số" id="10"/>
  </tableColumns>
  <tableStyleInfo name="CauHinh-style" showColumnStripes="0" showFirstColumn="1" showLastColumn="1" showRowStripes="1"/>
</table>
</file>

<file path=xl/tables/table2.xml><?xml version="1.0" encoding="utf-8"?>
<table xmlns="http://schemas.openxmlformats.org/spreadsheetml/2006/main" ref="A11:R31" displayName="Table_2" name="Table_2" id="2">
  <tableColumns count="18">
    <tableColumn name="STT" id="1"/>
    <tableColumn name="Mã NV" id="2"/>
    <tableColumn name="Họ và tên" id="3"/>
    <tableColumn name="Chức danh" id="4"/>
    <tableColumn name="KPI01" id="5"/>
    <tableColumn name="KPI02" id="6"/>
    <tableColumn name="KPI03" id="7"/>
    <tableColumn name="KPI04" id="8"/>
    <tableColumn name="KPI05" id="9"/>
    <tableColumn name="KPI06" id="10"/>
    <tableColumn name="KPI07" id="11"/>
    <tableColumn name="KPI08" id="12"/>
    <tableColumn name="KPI09" id="13"/>
    <tableColumn name="KPI10" id="14"/>
    <tableColumn name="KPI11" id="15"/>
    <tableColumn name="KPI12" id="16"/>
    <tableColumn name="KPI13" id="17"/>
    <tableColumn name="KPI14" id="18"/>
  </tableColumns>
  <tableStyleInfo name="NhapLieu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7F7F"/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6.0"/>
    <col customWidth="1" min="3" max="3" width="95.0"/>
    <col customWidth="1" min="4" max="26" width="8.71"/>
  </cols>
  <sheetData>
    <row r="1" ht="30.0" customHeight="1">
      <c r="A1" s="1" t="s">
        <v>0</v>
      </c>
      <c r="B1" s="2"/>
      <c r="C1" s="3"/>
    </row>
    <row r="3" ht="15.0" customHeight="1">
      <c r="B3" s="4" t="s">
        <v>1</v>
      </c>
      <c r="C3" s="3"/>
    </row>
    <row r="4" ht="30.0" customHeight="1">
      <c r="B4" s="5" t="s">
        <v>3</v>
      </c>
      <c r="C4" s="6" t="s">
        <v>4</v>
      </c>
    </row>
    <row r="5" ht="18.0" customHeight="1">
      <c r="B5" s="5" t="s">
        <v>5</v>
      </c>
      <c r="C5" s="6" t="s">
        <v>6</v>
      </c>
    </row>
    <row r="6" ht="18.0" customHeight="1">
      <c r="B6" s="5" t="s">
        <v>7</v>
      </c>
      <c r="C6" s="6" t="s">
        <v>8</v>
      </c>
    </row>
    <row r="7" ht="30.0" customHeight="1">
      <c r="B7" s="5" t="s">
        <v>9</v>
      </c>
      <c r="C7" s="6" t="s">
        <v>10</v>
      </c>
    </row>
    <row r="8" ht="18.0" customHeight="1">
      <c r="B8" s="5" t="s">
        <v>11</v>
      </c>
      <c r="C8" s="6" t="s">
        <v>12</v>
      </c>
    </row>
    <row r="9" ht="15.0" customHeight="1">
      <c r="B9" s="4" t="s">
        <v>13</v>
      </c>
      <c r="C9" s="3"/>
    </row>
    <row r="10" ht="30.0" customHeight="1">
      <c r="B10" s="7" t="s">
        <v>15</v>
      </c>
      <c r="C10" s="6" t="s">
        <v>16</v>
      </c>
    </row>
    <row r="11" ht="18.0" customHeight="1">
      <c r="B11" s="5" t="s">
        <v>17</v>
      </c>
      <c r="C11" s="6" t="s">
        <v>18</v>
      </c>
    </row>
    <row r="12" ht="15.0" customHeight="1">
      <c r="B12" s="4" t="s">
        <v>19</v>
      </c>
      <c r="C12" s="3"/>
    </row>
    <row r="13" ht="30.0" customHeight="1">
      <c r="B13" s="5" t="s">
        <v>20</v>
      </c>
      <c r="C13" s="6" t="s">
        <v>22</v>
      </c>
    </row>
    <row r="14" ht="30.0" customHeight="1">
      <c r="B14" s="5" t="s">
        <v>23</v>
      </c>
      <c r="C14" s="6" t="s">
        <v>24</v>
      </c>
    </row>
    <row r="15" ht="18.0" customHeight="1">
      <c r="B15" s="5" t="s">
        <v>25</v>
      </c>
      <c r="C15" s="6" t="s">
        <v>26</v>
      </c>
    </row>
    <row r="16" ht="18.0" customHeight="1">
      <c r="B16" s="5" t="s">
        <v>27</v>
      </c>
      <c r="C16" s="6" t="s">
        <v>28</v>
      </c>
    </row>
    <row r="17" ht="18.0" customHeight="1">
      <c r="B17" s="5" t="s">
        <v>29</v>
      </c>
      <c r="C17" s="6" t="s">
        <v>30</v>
      </c>
    </row>
    <row r="18" ht="15.0" customHeight="1">
      <c r="B18" s="4" t="s">
        <v>31</v>
      </c>
      <c r="C18" s="3"/>
    </row>
    <row r="19" ht="18.0" customHeight="1">
      <c r="B19" s="5" t="s">
        <v>32</v>
      </c>
      <c r="C19" s="6" t="s">
        <v>33</v>
      </c>
    </row>
    <row r="20" ht="30.0" customHeight="1">
      <c r="B20" s="5" t="s">
        <v>34</v>
      </c>
      <c r="C20" s="6" t="s">
        <v>35</v>
      </c>
    </row>
    <row r="21" ht="18.0" customHeight="1">
      <c r="B21" s="5" t="s">
        <v>36</v>
      </c>
      <c r="C21" s="6" t="s">
        <v>38</v>
      </c>
    </row>
    <row r="22" ht="18.0" customHeight="1">
      <c r="B22" s="5" t="s">
        <v>39</v>
      </c>
      <c r="C22" s="6" t="s">
        <v>40</v>
      </c>
    </row>
    <row r="23" ht="30.0" customHeight="1">
      <c r="B23" s="5" t="s">
        <v>41</v>
      </c>
      <c r="C23" s="6" t="s">
        <v>43</v>
      </c>
    </row>
    <row r="24" ht="30.0" customHeight="1">
      <c r="B24" s="5" t="s">
        <v>44</v>
      </c>
      <c r="C24" s="6" t="s">
        <v>45</v>
      </c>
    </row>
    <row r="25" ht="15.0" customHeight="1">
      <c r="B25" s="4" t="s">
        <v>46</v>
      </c>
      <c r="C25" s="3"/>
    </row>
    <row r="26" ht="30.0" customHeight="1">
      <c r="B26" s="5" t="s">
        <v>47</v>
      </c>
      <c r="C26" s="6" t="s">
        <v>48</v>
      </c>
    </row>
    <row r="27" ht="30.0" customHeight="1">
      <c r="B27" s="5" t="s">
        <v>50</v>
      </c>
      <c r="C27" s="6" t="s">
        <v>51</v>
      </c>
    </row>
    <row r="28" ht="30.0" customHeight="1">
      <c r="B28" s="5" t="s">
        <v>52</v>
      </c>
      <c r="C28" s="6" t="s">
        <v>53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C1"/>
    <mergeCell ref="B3:C3"/>
    <mergeCell ref="B9:C9"/>
    <mergeCell ref="B12:C12"/>
    <mergeCell ref="B18:C18"/>
    <mergeCell ref="B25:C25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8590C"/>
    <pageSetUpPr/>
  </sheetPr>
  <sheetViews>
    <sheetView showGridLines="0" workbookViewId="0">
      <pane ySplit="10.0" topLeftCell="A11" activePane="bottomLeft" state="frozen"/>
      <selection activeCell="B12" sqref="B12" pane="bottomLeft"/>
    </sheetView>
  </sheetViews>
  <sheetFormatPr customHeight="1" defaultColWidth="14.43" defaultRowHeight="15.0"/>
  <cols>
    <col customWidth="1" min="1" max="1" width="11.0"/>
    <col customWidth="1" min="2" max="2" width="16.0"/>
    <col customWidth="1" min="3" max="3" width="28.0"/>
    <col customWidth="1" min="4" max="4" width="44.0"/>
    <col customWidth="1" min="5" max="5" width="52.0"/>
    <col customWidth="1" min="6" max="6" width="12.0"/>
    <col customWidth="1" min="7" max="7" width="17.0"/>
    <col customWidth="1" min="8" max="8" width="12.0"/>
    <col customWidth="1" min="9" max="9" width="14.0"/>
    <col customWidth="1" min="10" max="10" width="11.0"/>
    <col customWidth="1" min="11" max="26" width="8.71"/>
  </cols>
  <sheetData>
    <row r="1" ht="30.0" customHeight="1">
      <c r="A1" s="1" t="s">
        <v>21</v>
      </c>
      <c r="B1" s="2"/>
      <c r="C1" s="2"/>
      <c r="D1" s="2"/>
      <c r="E1" s="2"/>
      <c r="F1" s="2"/>
      <c r="G1" s="2"/>
      <c r="H1" s="2"/>
      <c r="I1" s="2"/>
      <c r="J1" s="3"/>
    </row>
    <row r="3">
      <c r="A3" s="9" t="s">
        <v>37</v>
      </c>
      <c r="B3" s="2"/>
      <c r="C3" s="2"/>
      <c r="D3" s="2"/>
      <c r="E3" s="2"/>
      <c r="F3" s="2"/>
      <c r="G3" s="2"/>
      <c r="H3" s="2"/>
      <c r="I3" s="2"/>
      <c r="J3" s="3"/>
    </row>
    <row r="4" ht="15.0" customHeight="1">
      <c r="A4" s="13" t="s">
        <v>49</v>
      </c>
      <c r="B4" s="12"/>
      <c r="C4" s="14" t="s">
        <v>54</v>
      </c>
      <c r="D4" s="12"/>
      <c r="E4" s="16" t="s">
        <v>55</v>
      </c>
    </row>
    <row r="5" ht="15.0" customHeight="1">
      <c r="A5" s="13" t="s">
        <v>56</v>
      </c>
      <c r="B5" s="12"/>
      <c r="C5" s="14" t="s">
        <v>57</v>
      </c>
      <c r="D5" s="12"/>
    </row>
    <row r="6" ht="23.25" customHeight="1">
      <c r="A6" s="13" t="s">
        <v>58</v>
      </c>
      <c r="B6" s="12"/>
      <c r="C6" s="20">
        <v>1.2</v>
      </c>
      <c r="D6" s="12"/>
    </row>
    <row r="7" ht="15.0" customHeight="1">
      <c r="A7" s="13" t="s">
        <v>59</v>
      </c>
      <c r="B7" s="12"/>
      <c r="C7" s="21" t="str">
        <f>IF(ROUND(J25,4)=1,"✔ Hợp lệ (tổng = 100%)","✘ Tổng trọng số ≠ 100% – cần chỉnh lại")</f>
        <v>✔ Hợp lệ (tổng = 100%)</v>
      </c>
      <c r="D7" s="12"/>
    </row>
    <row r="8" ht="15.0" customHeight="1">
      <c r="A8" s="13" t="s">
        <v>60</v>
      </c>
      <c r="B8" s="12"/>
      <c r="C8" s="14" t="s">
        <v>61</v>
      </c>
      <c r="D8" s="12"/>
    </row>
    <row r="10" ht="31.5" customHeight="1">
      <c r="A10" s="22" t="s">
        <v>62</v>
      </c>
      <c r="B10" s="22" t="s">
        <v>63</v>
      </c>
      <c r="C10" s="22" t="s">
        <v>42</v>
      </c>
      <c r="D10" s="22" t="s">
        <v>64</v>
      </c>
      <c r="E10" s="22" t="s">
        <v>65</v>
      </c>
      <c r="F10" s="22" t="s">
        <v>50</v>
      </c>
      <c r="G10" s="22" t="s">
        <v>66</v>
      </c>
      <c r="H10" s="22" t="s">
        <v>67</v>
      </c>
      <c r="I10" s="22" t="s">
        <v>68</v>
      </c>
      <c r="J10" s="22" t="s">
        <v>69</v>
      </c>
    </row>
    <row r="11" ht="30.0" customHeight="1">
      <c r="A11" s="23">
        <v>1.0</v>
      </c>
      <c r="B11" s="24" t="s">
        <v>70</v>
      </c>
      <c r="C11" s="25" t="s">
        <v>71</v>
      </c>
      <c r="D11" s="25" t="s">
        <v>72</v>
      </c>
      <c r="E11" s="25" t="s">
        <v>73</v>
      </c>
      <c r="F11" s="24" t="s">
        <v>74</v>
      </c>
      <c r="G11" s="24" t="s">
        <v>75</v>
      </c>
      <c r="H11" s="26">
        <v>0.98</v>
      </c>
      <c r="I11" s="26"/>
      <c r="J11" s="27">
        <v>0.1</v>
      </c>
    </row>
    <row r="12" ht="30.0" customHeight="1">
      <c r="A12" s="23">
        <v>2.0</v>
      </c>
      <c r="B12" s="24" t="s">
        <v>76</v>
      </c>
      <c r="C12" s="25" t="s">
        <v>71</v>
      </c>
      <c r="D12" s="25" t="s">
        <v>77</v>
      </c>
      <c r="E12" s="25" t="s">
        <v>78</v>
      </c>
      <c r="F12" s="24" t="s">
        <v>79</v>
      </c>
      <c r="G12" s="24" t="s">
        <v>80</v>
      </c>
      <c r="H12" s="24">
        <v>0.0</v>
      </c>
      <c r="I12" s="24">
        <v>3.0</v>
      </c>
      <c r="J12" s="27">
        <v>0.1</v>
      </c>
    </row>
    <row r="13" ht="30.0" customHeight="1">
      <c r="A13" s="23">
        <v>3.0</v>
      </c>
      <c r="B13" s="24" t="s">
        <v>81</v>
      </c>
      <c r="C13" s="25" t="s">
        <v>71</v>
      </c>
      <c r="D13" s="25" t="s">
        <v>82</v>
      </c>
      <c r="E13" s="25" t="s">
        <v>83</v>
      </c>
      <c r="F13" s="24" t="s">
        <v>74</v>
      </c>
      <c r="G13" s="24" t="s">
        <v>80</v>
      </c>
      <c r="H13" s="26">
        <v>0.02</v>
      </c>
      <c r="I13" s="26">
        <v>0.1</v>
      </c>
      <c r="J13" s="27">
        <v>0.05</v>
      </c>
    </row>
    <row r="14" ht="30.0" customHeight="1">
      <c r="A14" s="23">
        <v>4.0</v>
      </c>
      <c r="B14" s="24" t="s">
        <v>84</v>
      </c>
      <c r="C14" s="25" t="s">
        <v>71</v>
      </c>
      <c r="D14" s="25" t="s">
        <v>85</v>
      </c>
      <c r="E14" s="25" t="s">
        <v>86</v>
      </c>
      <c r="F14" s="24" t="s">
        <v>74</v>
      </c>
      <c r="G14" s="24" t="s">
        <v>80</v>
      </c>
      <c r="H14" s="26">
        <v>0.005</v>
      </c>
      <c r="I14" s="26">
        <v>0.03</v>
      </c>
      <c r="J14" s="27">
        <v>0.1</v>
      </c>
    </row>
    <row r="15" ht="30.0" customHeight="1">
      <c r="A15" s="23">
        <v>5.0</v>
      </c>
      <c r="B15" s="24" t="s">
        <v>87</v>
      </c>
      <c r="C15" s="25" t="s">
        <v>88</v>
      </c>
      <c r="D15" s="25" t="s">
        <v>89</v>
      </c>
      <c r="E15" s="25" t="s">
        <v>90</v>
      </c>
      <c r="F15" s="24" t="s">
        <v>74</v>
      </c>
      <c r="G15" s="24" t="s">
        <v>75</v>
      </c>
      <c r="H15" s="26">
        <v>1.0</v>
      </c>
      <c r="I15" s="26"/>
      <c r="J15" s="27">
        <v>0.1</v>
      </c>
    </row>
    <row r="16" ht="30.0" customHeight="1">
      <c r="A16" s="23">
        <v>6.0</v>
      </c>
      <c r="B16" s="24" t="s">
        <v>91</v>
      </c>
      <c r="C16" s="25" t="s">
        <v>88</v>
      </c>
      <c r="D16" s="25" t="s">
        <v>92</v>
      </c>
      <c r="E16" s="25" t="s">
        <v>93</v>
      </c>
      <c r="F16" s="24" t="s">
        <v>94</v>
      </c>
      <c r="G16" s="24" t="s">
        <v>80</v>
      </c>
      <c r="H16" s="24">
        <v>5.0</v>
      </c>
      <c r="I16" s="24">
        <v>10.0</v>
      </c>
      <c r="J16" s="27">
        <v>0.05</v>
      </c>
    </row>
    <row r="17" ht="30.0" customHeight="1">
      <c r="A17" s="23">
        <v>7.0</v>
      </c>
      <c r="B17" s="24" t="s">
        <v>95</v>
      </c>
      <c r="C17" s="25" t="s">
        <v>88</v>
      </c>
      <c r="D17" s="25" t="s">
        <v>96</v>
      </c>
      <c r="E17" s="25" t="s">
        <v>97</v>
      </c>
      <c r="F17" s="24" t="s">
        <v>74</v>
      </c>
      <c r="G17" s="24" t="s">
        <v>75</v>
      </c>
      <c r="H17" s="26">
        <v>1.0</v>
      </c>
      <c r="I17" s="26"/>
      <c r="J17" s="27">
        <v>0.1</v>
      </c>
    </row>
    <row r="18" ht="30.0" customHeight="1">
      <c r="A18" s="23">
        <v>8.0</v>
      </c>
      <c r="B18" s="24" t="s">
        <v>98</v>
      </c>
      <c r="C18" s="25" t="s">
        <v>88</v>
      </c>
      <c r="D18" s="25" t="s">
        <v>99</v>
      </c>
      <c r="E18" s="25" t="s">
        <v>100</v>
      </c>
      <c r="F18" s="24" t="s">
        <v>79</v>
      </c>
      <c r="G18" s="24" t="s">
        <v>80</v>
      </c>
      <c r="H18" s="24">
        <v>0.0</v>
      </c>
      <c r="I18" s="24">
        <v>2.0</v>
      </c>
      <c r="J18" s="27">
        <v>0.05</v>
      </c>
    </row>
    <row r="19" ht="30.0" customHeight="1">
      <c r="A19" s="23">
        <v>9.0</v>
      </c>
      <c r="B19" s="24" t="s">
        <v>101</v>
      </c>
      <c r="C19" s="25" t="s">
        <v>102</v>
      </c>
      <c r="D19" s="25" t="s">
        <v>103</v>
      </c>
      <c r="E19" s="25" t="s">
        <v>104</v>
      </c>
      <c r="F19" s="24" t="s">
        <v>74</v>
      </c>
      <c r="G19" s="24" t="s">
        <v>75</v>
      </c>
      <c r="H19" s="26">
        <v>0.95</v>
      </c>
      <c r="I19" s="26"/>
      <c r="J19" s="27">
        <v>0.05</v>
      </c>
    </row>
    <row r="20" ht="30.0" customHeight="1">
      <c r="A20" s="23">
        <v>10.0</v>
      </c>
      <c r="B20" s="24" t="s">
        <v>105</v>
      </c>
      <c r="C20" s="25" t="s">
        <v>102</v>
      </c>
      <c r="D20" s="25" t="s">
        <v>106</v>
      </c>
      <c r="E20" s="25" t="s">
        <v>107</v>
      </c>
      <c r="F20" s="24" t="s">
        <v>74</v>
      </c>
      <c r="G20" s="24" t="s">
        <v>75</v>
      </c>
      <c r="H20" s="26">
        <v>0.9</v>
      </c>
      <c r="I20" s="26"/>
      <c r="J20" s="27">
        <v>0.05</v>
      </c>
    </row>
    <row r="21" ht="30.0" customHeight="1">
      <c r="A21" s="23">
        <v>11.0</v>
      </c>
      <c r="B21" s="24" t="s">
        <v>108</v>
      </c>
      <c r="C21" s="25" t="s">
        <v>102</v>
      </c>
      <c r="D21" s="25" t="s">
        <v>109</v>
      </c>
      <c r="E21" s="25" t="s">
        <v>110</v>
      </c>
      <c r="F21" s="24" t="s">
        <v>111</v>
      </c>
      <c r="G21" s="24" t="s">
        <v>75</v>
      </c>
      <c r="H21" s="24">
        <v>1.0</v>
      </c>
      <c r="I21" s="24"/>
      <c r="J21" s="27">
        <v>0.05</v>
      </c>
    </row>
    <row r="22" ht="30.0" customHeight="1">
      <c r="A22" s="23">
        <v>12.0</v>
      </c>
      <c r="B22" s="24" t="s">
        <v>112</v>
      </c>
      <c r="C22" s="25" t="s">
        <v>113</v>
      </c>
      <c r="D22" s="25" t="s">
        <v>114</v>
      </c>
      <c r="E22" s="25" t="s">
        <v>115</v>
      </c>
      <c r="F22" s="24" t="s">
        <v>116</v>
      </c>
      <c r="G22" s="24" t="s">
        <v>75</v>
      </c>
      <c r="H22" s="24">
        <v>90.0</v>
      </c>
      <c r="I22" s="24"/>
      <c r="J22" s="27">
        <v>0.1</v>
      </c>
    </row>
    <row r="23" ht="30.0" customHeight="1">
      <c r="A23" s="23">
        <v>13.0</v>
      </c>
      <c r="B23" s="24" t="s">
        <v>117</v>
      </c>
      <c r="C23" s="25" t="s">
        <v>113</v>
      </c>
      <c r="D23" s="25" t="s">
        <v>118</v>
      </c>
      <c r="E23" s="25" t="s">
        <v>119</v>
      </c>
      <c r="F23" s="24" t="s">
        <v>116</v>
      </c>
      <c r="G23" s="24" t="s">
        <v>75</v>
      </c>
      <c r="H23" s="24">
        <v>85.0</v>
      </c>
      <c r="I23" s="24"/>
      <c r="J23" s="27">
        <v>0.05</v>
      </c>
    </row>
    <row r="24" ht="30.0" customHeight="1">
      <c r="A24" s="23">
        <v>14.0</v>
      </c>
      <c r="B24" s="24" t="s">
        <v>120</v>
      </c>
      <c r="C24" s="25" t="s">
        <v>113</v>
      </c>
      <c r="D24" s="25" t="s">
        <v>121</v>
      </c>
      <c r="E24" s="25" t="s">
        <v>122</v>
      </c>
      <c r="F24" s="24" t="s">
        <v>123</v>
      </c>
      <c r="G24" s="24" t="s">
        <v>75</v>
      </c>
      <c r="H24" s="24">
        <v>8.0</v>
      </c>
      <c r="I24" s="24"/>
      <c r="J24" s="27">
        <v>0.05</v>
      </c>
    </row>
    <row r="25" ht="15.0" customHeight="1">
      <c r="A25" s="37" t="s">
        <v>124</v>
      </c>
      <c r="B25" s="11"/>
      <c r="C25" s="11"/>
      <c r="D25" s="11"/>
      <c r="E25" s="11"/>
      <c r="F25" s="11"/>
      <c r="G25" s="11"/>
      <c r="H25" s="11"/>
      <c r="I25" s="12"/>
      <c r="J25" s="38">
        <f>SUM(J11:J24)</f>
        <v>1</v>
      </c>
    </row>
    <row r="26" ht="15.75" customHeight="1">
      <c r="A26" s="39" t="s">
        <v>125</v>
      </c>
    </row>
    <row r="27" ht="15.75" customHeight="1"/>
    <row r="28" ht="15.75" customHeight="1">
      <c r="A28" s="9" t="s">
        <v>126</v>
      </c>
      <c r="B28" s="2"/>
      <c r="C28" s="2"/>
      <c r="D28" s="2"/>
      <c r="E28" s="2"/>
      <c r="F28" s="2"/>
      <c r="G28" s="2"/>
      <c r="H28" s="2"/>
      <c r="I28" s="2"/>
      <c r="J28" s="3"/>
    </row>
    <row r="29" ht="15.75" customHeight="1">
      <c r="A29" s="40" t="s">
        <v>127</v>
      </c>
      <c r="B29" s="40" t="s">
        <v>128</v>
      </c>
      <c r="C29" s="40" t="s">
        <v>129</v>
      </c>
      <c r="D29" s="40" t="s">
        <v>130</v>
      </c>
    </row>
    <row r="30" ht="15.75" customHeight="1">
      <c r="A30" s="41">
        <v>0.0</v>
      </c>
      <c r="B30" s="41" t="s">
        <v>131</v>
      </c>
      <c r="C30" s="42">
        <v>0.0</v>
      </c>
      <c r="D30" s="43" t="s">
        <v>132</v>
      </c>
    </row>
    <row r="31" ht="15.75" customHeight="1">
      <c r="A31" s="41">
        <v>70.0</v>
      </c>
      <c r="B31" s="41" t="s">
        <v>133</v>
      </c>
      <c r="C31" s="42">
        <v>0.5</v>
      </c>
      <c r="D31" s="43" t="s">
        <v>134</v>
      </c>
    </row>
    <row r="32" ht="15.75" customHeight="1">
      <c r="A32" s="41">
        <v>85.0</v>
      </c>
      <c r="B32" s="41" t="s">
        <v>135</v>
      </c>
      <c r="C32" s="42">
        <v>1.0</v>
      </c>
      <c r="D32" s="43" t="s">
        <v>136</v>
      </c>
    </row>
    <row r="33" ht="15.75" customHeight="1">
      <c r="A33" s="41">
        <v>95.0</v>
      </c>
      <c r="B33" s="41" t="s">
        <v>137</v>
      </c>
      <c r="C33" s="42">
        <v>1.2</v>
      </c>
      <c r="D33" s="43" t="s">
        <v>138</v>
      </c>
    </row>
    <row r="34" ht="15.75" customHeight="1">
      <c r="A34" s="41">
        <v>105.0</v>
      </c>
      <c r="B34" s="41" t="s">
        <v>139</v>
      </c>
      <c r="C34" s="42">
        <v>1.5</v>
      </c>
      <c r="D34" s="43" t="s">
        <v>140</v>
      </c>
    </row>
    <row r="35" ht="15.75" customHeight="1"/>
    <row r="36" ht="15.75" customHeight="1"/>
    <row r="37" ht="15.75" customHeight="1">
      <c r="A37" s="9" t="s">
        <v>141</v>
      </c>
      <c r="B37" s="2"/>
      <c r="C37" s="2"/>
      <c r="D37" s="2"/>
      <c r="E37" s="2"/>
      <c r="F37" s="2"/>
      <c r="G37" s="2"/>
      <c r="H37" s="2"/>
      <c r="I37" s="2"/>
      <c r="J37" s="3"/>
    </row>
    <row r="38" ht="15.75" customHeight="1">
      <c r="C38" s="40" t="s">
        <v>142</v>
      </c>
      <c r="D38" s="40" t="s">
        <v>143</v>
      </c>
    </row>
    <row r="39" ht="15.75" customHeight="1">
      <c r="C39" s="43" t="s">
        <v>71</v>
      </c>
      <c r="D39" s="45">
        <f t="shared" ref="D39:D42" si="1">SUMIF($C$11:$C$24,C39,$J$11:$J$24)</f>
        <v>0.35</v>
      </c>
    </row>
    <row r="40" ht="15.75" customHeight="1">
      <c r="C40" s="43" t="s">
        <v>88</v>
      </c>
      <c r="D40" s="45">
        <f t="shared" si="1"/>
        <v>0.3</v>
      </c>
    </row>
    <row r="41" ht="15.75" customHeight="1">
      <c r="C41" s="43" t="s">
        <v>102</v>
      </c>
      <c r="D41" s="45">
        <f t="shared" si="1"/>
        <v>0.15</v>
      </c>
    </row>
    <row r="42" ht="15.75" customHeight="1">
      <c r="C42" s="43" t="s">
        <v>113</v>
      </c>
      <c r="D42" s="45">
        <f t="shared" si="1"/>
        <v>0.2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A6:B6"/>
    <mergeCell ref="C6:D6"/>
    <mergeCell ref="A7:B7"/>
    <mergeCell ref="C7:D7"/>
    <mergeCell ref="A8:B8"/>
    <mergeCell ref="C8:D8"/>
    <mergeCell ref="A25:I25"/>
    <mergeCell ref="A26:J26"/>
    <mergeCell ref="A28:J28"/>
    <mergeCell ref="A37:J37"/>
    <mergeCell ref="A1:J1"/>
    <mergeCell ref="A3:J3"/>
    <mergeCell ref="A4:B4"/>
    <mergeCell ref="C4:D4"/>
    <mergeCell ref="E4:J8"/>
    <mergeCell ref="A5:B5"/>
    <mergeCell ref="C5:D5"/>
  </mergeCells>
  <conditionalFormatting sqref="C7">
    <cfRule type="expression" dxfId="4" priority="1">
      <formula>LEFT($C$7,1)="✔"</formula>
    </cfRule>
  </conditionalFormatting>
  <conditionalFormatting sqref="C7">
    <cfRule type="expression" dxfId="5" priority="2">
      <formula>LEFT($C$7,1)="✘"</formula>
    </cfRule>
  </conditionalFormatting>
  <dataValidations>
    <dataValidation type="list" allowBlank="1" sqref="G11:G24">
      <formula1>"Cao hơn tốt hơn,Thấp hơn tốt hơn"</formula1>
    </dataValidation>
    <dataValidation type="list" allowBlank="1" sqref="C11:C24">
      <formula1>$C$39:$C$42</formula1>
    </dataValidation>
    <dataValidation type="list" allowBlank="1" sqref="C8">
      <formula1>"Quy đổi theo KPI có dữ liệu,Tính 0 điểm KPI bỏ trống"</formula1>
    </dataValidation>
  </dataValidations>
  <printOptions/>
  <pageMargins bottom="1.0" footer="0.0" header="0.0" left="0.75" right="0.75" top="1.0"/>
  <pageSetup paperSize="9" orientation="portrait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8C28"/>
    <pageSetUpPr fitToPage="1"/>
  </sheetPr>
  <sheetViews>
    <sheetView showGridLines="0" workbookViewId="0">
      <pane xSplit="4.0" ySplit="11.0" topLeftCell="E12" activePane="bottomRight" state="frozen"/>
      <selection activeCell="E1" sqref="E1" pane="topRight"/>
      <selection activeCell="A12" sqref="A12" pane="bottomLeft"/>
      <selection activeCell="E12" sqref="E12" pane="bottomRight"/>
    </sheetView>
  </sheetViews>
  <sheetFormatPr customHeight="1" defaultColWidth="14.43" defaultRowHeight="15.0"/>
  <cols>
    <col customWidth="1" min="1" max="1" width="6.0"/>
    <col customWidth="1" min="2" max="2" width="11.0"/>
    <col customWidth="1" min="3" max="3" width="24.0"/>
    <col customWidth="1" min="4" max="4" width="30.0"/>
    <col customWidth="1" min="5" max="18" width="15.0"/>
    <col customWidth="1" min="19" max="26" width="8.71"/>
  </cols>
  <sheetData>
    <row r="1" ht="30.0" customHeight="1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>
      <c r="A2" s="8" t="str">
        <f>"Công ty: "&amp;CauHinh!C4&amp;"   |   Kỳ đánh giá: "&amp;CauHinh!C5</f>
        <v>Công ty: CÔNG TY TNHH ABC   |   Kỳ đánh giá: Tháng 10/2026</v>
      </c>
    </row>
    <row r="4" ht="30.0" customHeight="1">
      <c r="A4" s="15" t="s">
        <v>42</v>
      </c>
      <c r="B4" s="17"/>
      <c r="C4" s="17"/>
      <c r="D4" s="19"/>
      <c r="E4" s="18" t="str">
        <f>CauHinh!C11</f>
        <v>A. Chất lượng &amp; độ chính xác</v>
      </c>
      <c r="F4" s="18" t="str">
        <f>CauHinh!C12</f>
        <v>A. Chất lượng &amp; độ chính xác</v>
      </c>
      <c r="G4" s="18" t="str">
        <f>CauHinh!C13</f>
        <v>A. Chất lượng &amp; độ chính xác</v>
      </c>
      <c r="H4" s="18" t="str">
        <f>CauHinh!C14</f>
        <v>A. Chất lượng &amp; độ chính xác</v>
      </c>
      <c r="I4" s="18" t="str">
        <f>CauHinh!C15</f>
        <v>B. Tiến độ &amp; tuân thủ</v>
      </c>
      <c r="J4" s="18" t="str">
        <f>CauHinh!C16</f>
        <v>B. Tiến độ &amp; tuân thủ</v>
      </c>
      <c r="K4" s="18" t="str">
        <f>CauHinh!C17</f>
        <v>B. Tiến độ &amp; tuân thủ</v>
      </c>
      <c r="L4" s="18" t="str">
        <f>CauHinh!C18</f>
        <v>B. Tiến độ &amp; tuân thủ</v>
      </c>
      <c r="M4" s="18" t="str">
        <f>CauHinh!C19</f>
        <v>C. Hiệu quả công việc</v>
      </c>
      <c r="N4" s="18" t="str">
        <f>CauHinh!C20</f>
        <v>C. Hiệu quả công việc</v>
      </c>
      <c r="O4" s="18" t="str">
        <f>CauHinh!C21</f>
        <v>C. Hiệu quả công việc</v>
      </c>
      <c r="P4" s="18" t="str">
        <f>CauHinh!C22</f>
        <v>D. Thái độ &amp; phát triển</v>
      </c>
      <c r="Q4" s="18" t="str">
        <f>CauHinh!C23</f>
        <v>D. Thái độ &amp; phát triển</v>
      </c>
      <c r="R4" s="18" t="str">
        <f>CauHinh!C24</f>
        <v>D. Thái độ &amp; phát triển</v>
      </c>
    </row>
    <row r="5" ht="54.0" customHeight="1">
      <c r="A5" s="29" t="s">
        <v>64</v>
      </c>
      <c r="B5" s="30"/>
      <c r="C5" s="30"/>
      <c r="D5" s="31"/>
      <c r="E5" s="32" t="str">
        <f>CauHinh!D11</f>
        <v>Tỷ lệ chứng từ hạch toán chính xác</v>
      </c>
      <c r="F5" s="32" t="str">
        <f>CauHinh!D12</f>
        <v>Số sai sót nghiêm trọng</v>
      </c>
      <c r="G5" s="32" t="str">
        <f>CauHinh!D13</f>
        <v>Tỷ lệ báo cáo phải điều chỉnh sau khi nộp</v>
      </c>
      <c r="H5" s="32" t="str">
        <f>CauHinh!D14</f>
        <v>Tỷ lệ chênh lệch đối chiếu chưa xử lý</v>
      </c>
      <c r="I5" s="32" t="str">
        <f>CauHinh!D15</f>
        <v>Tỷ lệ báo cáo nộp đúng hạn</v>
      </c>
      <c r="J5" s="32" t="str">
        <f>CauHinh!D16</f>
        <v>Số ngày hoàn thành khóa sổ</v>
      </c>
      <c r="K5" s="32" t="str">
        <f>CauHinh!D17</f>
        <v>Tỷ lệ tờ khai thuế/ BHXH nộp đúng hạn</v>
      </c>
      <c r="L5" s="32" t="str">
        <f>CauHinh!D18</f>
        <v>Số lần bị phạt do chậm/ sai</v>
      </c>
      <c r="M5" s="32" t="str">
        <f>CauHinh!D19</f>
        <v>Tỷ lệ chứng từ xử lý trong 24h</v>
      </c>
      <c r="N5" s="32" t="str">
        <f>CauHinh!D20</f>
        <v>Tỷ lệ thu hồi công nợ đúng hạn</v>
      </c>
      <c r="O5" s="32" t="str">
        <f>CauHinh!D21</f>
        <v>Số sáng kiến cải tiến/ tiết kiệm chi phí</v>
      </c>
      <c r="P5" s="32" t="str">
        <f>CauHinh!D22</f>
        <v>Điểm tuân thủ quy trình, nội quy, bảo mật</v>
      </c>
      <c r="Q5" s="32" t="str">
        <f>CauHinh!D23</f>
        <v>Điểm phối hợp &amp; thái độ làm việc</v>
      </c>
      <c r="R5" s="32" t="str">
        <f>CauHinh!D24</f>
        <v>Số giờ đào tạo/ cập nhật chuẩn mực, luật</v>
      </c>
    </row>
    <row r="6">
      <c r="A6" s="33" t="s">
        <v>50</v>
      </c>
      <c r="B6" s="34"/>
      <c r="C6" s="34"/>
      <c r="D6" s="35"/>
      <c r="E6" s="36" t="str">
        <f>CauHinh!F11</f>
        <v>%</v>
      </c>
      <c r="F6" s="36" t="str">
        <f>CauHinh!F12</f>
        <v>lần</v>
      </c>
      <c r="G6" s="36" t="str">
        <f>CauHinh!F13</f>
        <v>%</v>
      </c>
      <c r="H6" s="36" t="str">
        <f>CauHinh!F14</f>
        <v>%</v>
      </c>
      <c r="I6" s="36" t="str">
        <f>CauHinh!F15</f>
        <v>%</v>
      </c>
      <c r="J6" s="36" t="str">
        <f>CauHinh!F16</f>
        <v>ngày</v>
      </c>
      <c r="K6" s="36" t="str">
        <f>CauHinh!F17</f>
        <v>%</v>
      </c>
      <c r="L6" s="36" t="str">
        <f>CauHinh!F18</f>
        <v>lần</v>
      </c>
      <c r="M6" s="36" t="str">
        <f>CauHinh!F19</f>
        <v>%</v>
      </c>
      <c r="N6" s="36" t="str">
        <f>CauHinh!F20</f>
        <v>%</v>
      </c>
      <c r="O6" s="36" t="str">
        <f>CauHinh!F21</f>
        <v>sáng kiến</v>
      </c>
      <c r="P6" s="36" t="str">
        <f>CauHinh!F22</f>
        <v>điểm</v>
      </c>
      <c r="Q6" s="36" t="str">
        <f>CauHinh!F23</f>
        <v>điểm</v>
      </c>
      <c r="R6" s="36" t="str">
        <f>CauHinh!F24</f>
        <v>giờ</v>
      </c>
    </row>
    <row r="7" ht="27.75" customHeight="1">
      <c r="A7" s="29" t="s">
        <v>66</v>
      </c>
      <c r="B7" s="30"/>
      <c r="C7" s="30"/>
      <c r="D7" s="31"/>
      <c r="E7" s="44" t="str">
        <f>CauHinh!G11</f>
        <v>Cao hơn tốt hơn</v>
      </c>
      <c r="F7" s="44" t="str">
        <f>CauHinh!G12</f>
        <v>Thấp hơn tốt hơn</v>
      </c>
      <c r="G7" s="44" t="str">
        <f>CauHinh!G13</f>
        <v>Thấp hơn tốt hơn</v>
      </c>
      <c r="H7" s="44" t="str">
        <f>CauHinh!G14</f>
        <v>Thấp hơn tốt hơn</v>
      </c>
      <c r="I7" s="44" t="str">
        <f>CauHinh!G15</f>
        <v>Cao hơn tốt hơn</v>
      </c>
      <c r="J7" s="44" t="str">
        <f>CauHinh!G16</f>
        <v>Thấp hơn tốt hơn</v>
      </c>
      <c r="K7" s="44" t="str">
        <f>CauHinh!G17</f>
        <v>Cao hơn tốt hơn</v>
      </c>
      <c r="L7" s="44" t="str">
        <f>CauHinh!G18</f>
        <v>Thấp hơn tốt hơn</v>
      </c>
      <c r="M7" s="44" t="str">
        <f>CauHinh!G19</f>
        <v>Cao hơn tốt hơn</v>
      </c>
      <c r="N7" s="44" t="str">
        <f>CauHinh!G20</f>
        <v>Cao hơn tốt hơn</v>
      </c>
      <c r="O7" s="44" t="str">
        <f>CauHinh!G21</f>
        <v>Cao hơn tốt hơn</v>
      </c>
      <c r="P7" s="44" t="str">
        <f>CauHinh!G22</f>
        <v>Cao hơn tốt hơn</v>
      </c>
      <c r="Q7" s="44" t="str">
        <f>CauHinh!G23</f>
        <v>Cao hơn tốt hơn</v>
      </c>
      <c r="R7" s="44" t="str">
        <f>CauHinh!G24</f>
        <v>Cao hơn tốt hơn</v>
      </c>
    </row>
    <row r="8">
      <c r="A8" s="33" t="s">
        <v>67</v>
      </c>
      <c r="B8" s="34"/>
      <c r="C8" s="34"/>
      <c r="D8" s="35"/>
      <c r="E8" s="47">
        <f>CauHinh!H11</f>
        <v>0.98</v>
      </c>
      <c r="F8" s="36">
        <f>CauHinh!H12</f>
        <v>0</v>
      </c>
      <c r="G8" s="47">
        <f>CauHinh!H13</f>
        <v>0.02</v>
      </c>
      <c r="H8" s="47">
        <f>CauHinh!H14</f>
        <v>0.005</v>
      </c>
      <c r="I8" s="47">
        <f>CauHinh!H15</f>
        <v>1</v>
      </c>
      <c r="J8" s="36">
        <f>CauHinh!H16</f>
        <v>5</v>
      </c>
      <c r="K8" s="47">
        <f>CauHinh!H17</f>
        <v>1</v>
      </c>
      <c r="L8" s="36">
        <f>CauHinh!H18</f>
        <v>0</v>
      </c>
      <c r="M8" s="47">
        <f>CauHinh!H19</f>
        <v>0.95</v>
      </c>
      <c r="N8" s="47">
        <f>CauHinh!H20</f>
        <v>0.9</v>
      </c>
      <c r="O8" s="36">
        <f>CauHinh!H21</f>
        <v>1</v>
      </c>
      <c r="P8" s="36">
        <f>CauHinh!H22</f>
        <v>90</v>
      </c>
      <c r="Q8" s="36">
        <f>CauHinh!H23</f>
        <v>85</v>
      </c>
      <c r="R8" s="36">
        <f>CauHinh!H24</f>
        <v>8</v>
      </c>
    </row>
    <row r="9">
      <c r="A9" s="29" t="s">
        <v>144</v>
      </c>
      <c r="B9" s="30"/>
      <c r="C9" s="30"/>
      <c r="D9" s="31"/>
      <c r="E9" s="63" t="str">
        <f>IF(CauHinh!I11="","",CauHinh!I11)</f>
        <v/>
      </c>
      <c r="F9" s="44">
        <f>IF(CauHinh!I12="","",CauHinh!I12)</f>
        <v>3</v>
      </c>
      <c r="G9" s="63">
        <f>IF(CauHinh!I13="","",CauHinh!I13)</f>
        <v>0.1</v>
      </c>
      <c r="H9" s="63">
        <f>IF(CauHinh!I14="","",CauHinh!I14)</f>
        <v>0.03</v>
      </c>
      <c r="I9" s="63" t="str">
        <f>IF(CauHinh!I15="","",CauHinh!I15)</f>
        <v/>
      </c>
      <c r="J9" s="44">
        <f>IF(CauHinh!I16="","",CauHinh!I16)</f>
        <v>10</v>
      </c>
      <c r="K9" s="63" t="str">
        <f>IF(CauHinh!I17="","",CauHinh!I17)</f>
        <v/>
      </c>
      <c r="L9" s="44">
        <f>IF(CauHinh!I18="","",CauHinh!I18)</f>
        <v>2</v>
      </c>
      <c r="M9" s="63" t="str">
        <f>IF(CauHinh!I19="","",CauHinh!I19)</f>
        <v/>
      </c>
      <c r="N9" s="63" t="str">
        <f>IF(CauHinh!I20="","",CauHinh!I20)</f>
        <v/>
      </c>
      <c r="O9" s="44" t="str">
        <f>IF(CauHinh!I21="","",CauHinh!I21)</f>
        <v/>
      </c>
      <c r="P9" s="44" t="str">
        <f>IF(CauHinh!I22="","",CauHinh!I22)</f>
        <v/>
      </c>
      <c r="Q9" s="44" t="str">
        <f>IF(CauHinh!I23="","",CauHinh!I23)</f>
        <v/>
      </c>
      <c r="R9" s="44" t="str">
        <f>IF(CauHinh!I24="","",CauHinh!I24)</f>
        <v/>
      </c>
    </row>
    <row r="10">
      <c r="A10" s="33" t="s">
        <v>69</v>
      </c>
      <c r="B10" s="34"/>
      <c r="C10" s="34"/>
      <c r="D10" s="35"/>
      <c r="E10" s="64">
        <f>CauHinh!J11</f>
        <v>0.1</v>
      </c>
      <c r="F10" s="64">
        <f>CauHinh!J12</f>
        <v>0.1</v>
      </c>
      <c r="G10" s="64">
        <f>CauHinh!J13</f>
        <v>0.05</v>
      </c>
      <c r="H10" s="64">
        <f>CauHinh!J14</f>
        <v>0.1</v>
      </c>
      <c r="I10" s="64">
        <f>CauHinh!J15</f>
        <v>0.1</v>
      </c>
      <c r="J10" s="64">
        <f>CauHinh!J16</f>
        <v>0.05</v>
      </c>
      <c r="K10" s="64">
        <f>CauHinh!J17</f>
        <v>0.1</v>
      </c>
      <c r="L10" s="64">
        <f>CauHinh!J18</f>
        <v>0.05</v>
      </c>
      <c r="M10" s="64">
        <f>CauHinh!J19</f>
        <v>0.05</v>
      </c>
      <c r="N10" s="64">
        <f>CauHinh!J20</f>
        <v>0.05</v>
      </c>
      <c r="O10" s="64">
        <f>CauHinh!J21</f>
        <v>0.05</v>
      </c>
      <c r="P10" s="64">
        <f>CauHinh!J22</f>
        <v>0.1</v>
      </c>
      <c r="Q10" s="64">
        <f>CauHinh!J23</f>
        <v>0.05</v>
      </c>
      <c r="R10" s="64">
        <f>CauHinh!J24</f>
        <v>0.05</v>
      </c>
    </row>
    <row r="11" ht="24.0" customHeight="1">
      <c r="A11" s="22" t="s">
        <v>62</v>
      </c>
      <c r="B11" s="22" t="s">
        <v>147</v>
      </c>
      <c r="C11" s="22" t="s">
        <v>148</v>
      </c>
      <c r="D11" s="22" t="s">
        <v>149</v>
      </c>
      <c r="E11" s="22" t="str">
        <f>CauHinh!B11</f>
        <v>KPI01</v>
      </c>
      <c r="F11" s="22" t="str">
        <f>CauHinh!B12</f>
        <v>KPI02</v>
      </c>
      <c r="G11" s="22" t="str">
        <f>CauHinh!B13</f>
        <v>KPI03</v>
      </c>
      <c r="H11" s="22" t="str">
        <f>CauHinh!B14</f>
        <v>KPI04</v>
      </c>
      <c r="I11" s="22" t="str">
        <f>CauHinh!B15</f>
        <v>KPI05</v>
      </c>
      <c r="J11" s="22" t="str">
        <f>CauHinh!B16</f>
        <v>KPI06</v>
      </c>
      <c r="K11" s="22" t="str">
        <f>CauHinh!B17</f>
        <v>KPI07</v>
      </c>
      <c r="L11" s="22" t="str">
        <f>CauHinh!B18</f>
        <v>KPI08</v>
      </c>
      <c r="M11" s="22" t="str">
        <f>CauHinh!B19</f>
        <v>KPI09</v>
      </c>
      <c r="N11" s="22" t="str">
        <f>CauHinh!B20</f>
        <v>KPI10</v>
      </c>
      <c r="O11" s="22" t="str">
        <f>CauHinh!B21</f>
        <v>KPI11</v>
      </c>
      <c r="P11" s="22" t="str">
        <f>CauHinh!B22</f>
        <v>KPI12</v>
      </c>
      <c r="Q11" s="22" t="str">
        <f>CauHinh!B23</f>
        <v>KPI13</v>
      </c>
      <c r="R11" s="22" t="str">
        <f>CauHinh!B24</f>
        <v>KPI14</v>
      </c>
    </row>
    <row r="12">
      <c r="A12" s="23">
        <v>1.0</v>
      </c>
      <c r="B12" s="25" t="s">
        <v>157</v>
      </c>
      <c r="C12" s="25" t="s">
        <v>158</v>
      </c>
      <c r="D12" s="25" t="s">
        <v>159</v>
      </c>
      <c r="E12" s="26">
        <v>0.99</v>
      </c>
      <c r="F12" s="24">
        <v>0.0</v>
      </c>
      <c r="G12" s="26">
        <v>0.01</v>
      </c>
      <c r="H12" s="26">
        <v>0.004</v>
      </c>
      <c r="I12" s="26">
        <v>1.0</v>
      </c>
      <c r="J12" s="24">
        <v>4.0</v>
      </c>
      <c r="K12" s="26">
        <v>1.0</v>
      </c>
      <c r="L12" s="24">
        <v>0.0</v>
      </c>
      <c r="M12" s="26">
        <v>0.97</v>
      </c>
      <c r="N12" s="26">
        <v>0.92</v>
      </c>
      <c r="O12" s="24">
        <v>2.0</v>
      </c>
      <c r="P12" s="24">
        <v>92.0</v>
      </c>
      <c r="Q12" s="24">
        <v>90.0</v>
      </c>
      <c r="R12" s="24">
        <v>10.0</v>
      </c>
    </row>
    <row r="13">
      <c r="A13" s="23">
        <v>2.0</v>
      </c>
      <c r="B13" s="25" t="s">
        <v>161</v>
      </c>
      <c r="C13" s="25" t="s">
        <v>162</v>
      </c>
      <c r="D13" s="25" t="s">
        <v>163</v>
      </c>
      <c r="E13" s="26">
        <v>0.98</v>
      </c>
      <c r="F13" s="24">
        <v>0.0</v>
      </c>
      <c r="G13" s="26">
        <v>0.02</v>
      </c>
      <c r="H13" s="26">
        <v>0.005</v>
      </c>
      <c r="I13" s="26">
        <v>1.0</v>
      </c>
      <c r="J13" s="24">
        <v>5.0</v>
      </c>
      <c r="K13" s="26">
        <v>1.0</v>
      </c>
      <c r="L13" s="24">
        <v>0.0</v>
      </c>
      <c r="M13" s="26">
        <v>0.95</v>
      </c>
      <c r="N13" s="26"/>
      <c r="O13" s="24">
        <v>1.0</v>
      </c>
      <c r="P13" s="24">
        <v>90.0</v>
      </c>
      <c r="Q13" s="24">
        <v>85.0</v>
      </c>
      <c r="R13" s="24">
        <v>8.0</v>
      </c>
    </row>
    <row r="14">
      <c r="A14" s="23">
        <v>3.0</v>
      </c>
      <c r="B14" s="25" t="s">
        <v>165</v>
      </c>
      <c r="C14" s="25" t="s">
        <v>166</v>
      </c>
      <c r="D14" s="25" t="s">
        <v>167</v>
      </c>
      <c r="E14" s="26">
        <v>0.96</v>
      </c>
      <c r="F14" s="24">
        <v>1.0</v>
      </c>
      <c r="G14" s="26">
        <v>0.03</v>
      </c>
      <c r="H14" s="26">
        <v>0.008</v>
      </c>
      <c r="I14" s="26">
        <v>0.95</v>
      </c>
      <c r="J14" s="24">
        <v>6.0</v>
      </c>
      <c r="K14" s="26">
        <v>1.0</v>
      </c>
      <c r="L14" s="24">
        <v>0.0</v>
      </c>
      <c r="M14" s="26">
        <v>0.93</v>
      </c>
      <c r="N14" s="26">
        <v>0.85</v>
      </c>
      <c r="O14" s="24">
        <v>0.0</v>
      </c>
      <c r="P14" s="24">
        <v>88.0</v>
      </c>
      <c r="Q14" s="24">
        <v>80.0</v>
      </c>
      <c r="R14" s="24">
        <v>6.0</v>
      </c>
    </row>
    <row r="15">
      <c r="A15" s="23">
        <v>4.0</v>
      </c>
      <c r="B15" s="25" t="s">
        <v>169</v>
      </c>
      <c r="C15" s="25" t="s">
        <v>170</v>
      </c>
      <c r="D15" s="25" t="s">
        <v>171</v>
      </c>
      <c r="E15" s="26">
        <v>0.995</v>
      </c>
      <c r="F15" s="24">
        <v>0.0</v>
      </c>
      <c r="G15" s="26">
        <v>0.005</v>
      </c>
      <c r="H15" s="26">
        <v>0.002</v>
      </c>
      <c r="I15" s="26">
        <v>1.0</v>
      </c>
      <c r="J15" s="24">
        <v>5.0</v>
      </c>
      <c r="K15" s="26">
        <v>1.0</v>
      </c>
      <c r="L15" s="24">
        <v>0.0</v>
      </c>
      <c r="M15" s="26">
        <v>0.98</v>
      </c>
      <c r="N15" s="26">
        <v>0.95</v>
      </c>
      <c r="O15" s="24">
        <v>1.0</v>
      </c>
      <c r="P15" s="24">
        <v>95.0</v>
      </c>
      <c r="Q15" s="24">
        <v>88.0</v>
      </c>
      <c r="R15" s="24">
        <v>8.0</v>
      </c>
    </row>
    <row r="16">
      <c r="A16" s="23">
        <v>5.0</v>
      </c>
      <c r="B16" s="25" t="s">
        <v>173</v>
      </c>
      <c r="C16" s="25" t="s">
        <v>174</v>
      </c>
      <c r="D16" s="25" t="s">
        <v>175</v>
      </c>
      <c r="E16" s="26">
        <v>0.94</v>
      </c>
      <c r="F16" s="24">
        <v>2.0</v>
      </c>
      <c r="G16" s="26">
        <v>0.06</v>
      </c>
      <c r="H16" s="26">
        <v>0.015</v>
      </c>
      <c r="I16" s="26">
        <v>0.85</v>
      </c>
      <c r="J16" s="24">
        <v>8.0</v>
      </c>
      <c r="K16" s="26">
        <v>0.9</v>
      </c>
      <c r="L16" s="24">
        <v>1.0</v>
      </c>
      <c r="M16" s="26">
        <v>0.85</v>
      </c>
      <c r="N16" s="26"/>
      <c r="O16" s="24">
        <v>0.0</v>
      </c>
      <c r="P16" s="24">
        <v>85.0</v>
      </c>
      <c r="Q16" s="24">
        <v>75.0</v>
      </c>
      <c r="R16" s="24">
        <v>4.0</v>
      </c>
    </row>
    <row r="17">
      <c r="A17" s="23">
        <v>6.0</v>
      </c>
      <c r="B17" s="25" t="s">
        <v>177</v>
      </c>
      <c r="C17" s="25" t="s">
        <v>179</v>
      </c>
      <c r="D17" s="25" t="s">
        <v>180</v>
      </c>
      <c r="E17" s="26">
        <v>0.975</v>
      </c>
      <c r="F17" s="24">
        <v>0.0</v>
      </c>
      <c r="G17" s="26">
        <v>0.025</v>
      </c>
      <c r="H17" s="26">
        <v>0.006</v>
      </c>
      <c r="I17" s="26">
        <v>1.0</v>
      </c>
      <c r="J17" s="24">
        <v>5.0</v>
      </c>
      <c r="K17" s="26">
        <v>1.0</v>
      </c>
      <c r="L17" s="24">
        <v>0.0</v>
      </c>
      <c r="M17" s="26">
        <v>0.96</v>
      </c>
      <c r="N17" s="26">
        <v>0.9</v>
      </c>
      <c r="O17" s="24">
        <v>1.0</v>
      </c>
      <c r="P17" s="24">
        <v>90.0</v>
      </c>
      <c r="Q17" s="24">
        <v>86.0</v>
      </c>
      <c r="R17" s="24">
        <v>12.0</v>
      </c>
    </row>
    <row r="18">
      <c r="A18" s="23">
        <v>7.0</v>
      </c>
      <c r="B18" s="25"/>
      <c r="C18" s="25"/>
      <c r="D18" s="25"/>
      <c r="E18" s="26"/>
      <c r="F18" s="24"/>
      <c r="G18" s="26"/>
      <c r="H18" s="26"/>
      <c r="I18" s="26"/>
      <c r="J18" s="24"/>
      <c r="K18" s="26"/>
      <c r="L18" s="24"/>
      <c r="M18" s="26"/>
      <c r="N18" s="26"/>
      <c r="O18" s="24"/>
      <c r="P18" s="24"/>
      <c r="Q18" s="24"/>
      <c r="R18" s="24"/>
    </row>
    <row r="19">
      <c r="A19" s="23">
        <v>8.0</v>
      </c>
      <c r="B19" s="25"/>
      <c r="C19" s="25"/>
      <c r="D19" s="25"/>
      <c r="E19" s="26"/>
      <c r="F19" s="24"/>
      <c r="G19" s="26"/>
      <c r="H19" s="26"/>
      <c r="I19" s="26"/>
      <c r="J19" s="24"/>
      <c r="K19" s="26"/>
      <c r="L19" s="24"/>
      <c r="M19" s="26"/>
      <c r="N19" s="26"/>
      <c r="O19" s="24"/>
      <c r="P19" s="24"/>
      <c r="Q19" s="24"/>
      <c r="R19" s="24"/>
    </row>
    <row r="20">
      <c r="A20" s="23">
        <v>9.0</v>
      </c>
      <c r="B20" s="25"/>
      <c r="C20" s="25"/>
      <c r="D20" s="25"/>
      <c r="E20" s="26"/>
      <c r="F20" s="24"/>
      <c r="G20" s="26"/>
      <c r="H20" s="26"/>
      <c r="I20" s="26"/>
      <c r="J20" s="24"/>
      <c r="K20" s="26"/>
      <c r="L20" s="24"/>
      <c r="M20" s="26"/>
      <c r="N20" s="26"/>
      <c r="O20" s="24"/>
      <c r="P20" s="24"/>
      <c r="Q20" s="24"/>
      <c r="R20" s="24"/>
    </row>
    <row r="21" ht="15.75" customHeight="1">
      <c r="A21" s="23">
        <v>10.0</v>
      </c>
      <c r="B21" s="25"/>
      <c r="C21" s="25"/>
      <c r="D21" s="25"/>
      <c r="E21" s="26"/>
      <c r="F21" s="24"/>
      <c r="G21" s="26"/>
      <c r="H21" s="26"/>
      <c r="I21" s="26"/>
      <c r="J21" s="24"/>
      <c r="K21" s="26"/>
      <c r="L21" s="24"/>
      <c r="M21" s="26"/>
      <c r="N21" s="26"/>
      <c r="O21" s="24"/>
      <c r="P21" s="24"/>
      <c r="Q21" s="24"/>
      <c r="R21" s="24"/>
    </row>
    <row r="22" ht="15.75" customHeight="1">
      <c r="A22" s="23">
        <v>11.0</v>
      </c>
      <c r="B22" s="25"/>
      <c r="C22" s="25"/>
      <c r="D22" s="25"/>
      <c r="E22" s="26"/>
      <c r="F22" s="24"/>
      <c r="G22" s="26"/>
      <c r="H22" s="26"/>
      <c r="I22" s="26"/>
      <c r="J22" s="24"/>
      <c r="K22" s="26"/>
      <c r="L22" s="24"/>
      <c r="M22" s="26"/>
      <c r="N22" s="26"/>
      <c r="O22" s="24"/>
      <c r="P22" s="24"/>
      <c r="Q22" s="24"/>
      <c r="R22" s="24"/>
    </row>
    <row r="23" ht="15.75" customHeight="1">
      <c r="A23" s="23">
        <v>12.0</v>
      </c>
      <c r="B23" s="25"/>
      <c r="C23" s="25"/>
      <c r="D23" s="25"/>
      <c r="E23" s="26"/>
      <c r="F23" s="24"/>
      <c r="G23" s="26"/>
      <c r="H23" s="26"/>
      <c r="I23" s="26"/>
      <c r="J23" s="24"/>
      <c r="K23" s="26"/>
      <c r="L23" s="24"/>
      <c r="M23" s="26"/>
      <c r="N23" s="26"/>
      <c r="O23" s="24"/>
      <c r="P23" s="24"/>
      <c r="Q23" s="24"/>
      <c r="R23" s="24"/>
    </row>
    <row r="24" ht="15.75" customHeight="1">
      <c r="A24" s="23">
        <v>13.0</v>
      </c>
      <c r="B24" s="25"/>
      <c r="C24" s="25"/>
      <c r="D24" s="25"/>
      <c r="E24" s="26"/>
      <c r="F24" s="24"/>
      <c r="G24" s="26"/>
      <c r="H24" s="26"/>
      <c r="I24" s="26"/>
      <c r="J24" s="24"/>
      <c r="K24" s="26"/>
      <c r="L24" s="24"/>
      <c r="M24" s="26"/>
      <c r="N24" s="26"/>
      <c r="O24" s="24"/>
      <c r="P24" s="24"/>
      <c r="Q24" s="24"/>
      <c r="R24" s="24"/>
    </row>
    <row r="25" ht="15.75" customHeight="1">
      <c r="A25" s="23">
        <v>14.0</v>
      </c>
      <c r="B25" s="25"/>
      <c r="C25" s="25"/>
      <c r="D25" s="25"/>
      <c r="E25" s="26"/>
      <c r="F25" s="24"/>
      <c r="G25" s="26"/>
      <c r="H25" s="26"/>
      <c r="I25" s="26"/>
      <c r="J25" s="24"/>
      <c r="K25" s="26"/>
      <c r="L25" s="24"/>
      <c r="M25" s="26"/>
      <c r="N25" s="26"/>
      <c r="O25" s="24"/>
      <c r="P25" s="24"/>
      <c r="Q25" s="24"/>
      <c r="R25" s="24"/>
    </row>
    <row r="26" ht="15.75" customHeight="1">
      <c r="A26" s="23">
        <v>15.0</v>
      </c>
      <c r="B26" s="25"/>
      <c r="C26" s="25"/>
      <c r="D26" s="25"/>
      <c r="E26" s="26"/>
      <c r="F26" s="24"/>
      <c r="G26" s="26"/>
      <c r="H26" s="26"/>
      <c r="I26" s="26"/>
      <c r="J26" s="24"/>
      <c r="K26" s="26"/>
      <c r="L26" s="24"/>
      <c r="M26" s="26"/>
      <c r="N26" s="26"/>
      <c r="O26" s="24"/>
      <c r="P26" s="24"/>
      <c r="Q26" s="24"/>
      <c r="R26" s="24"/>
    </row>
    <row r="27" ht="15.75" customHeight="1">
      <c r="A27" s="23">
        <v>16.0</v>
      </c>
      <c r="B27" s="25"/>
      <c r="C27" s="25"/>
      <c r="D27" s="25"/>
      <c r="E27" s="26"/>
      <c r="F27" s="24"/>
      <c r="G27" s="26"/>
      <c r="H27" s="26"/>
      <c r="I27" s="26"/>
      <c r="J27" s="24"/>
      <c r="K27" s="26"/>
      <c r="L27" s="24"/>
      <c r="M27" s="26"/>
      <c r="N27" s="26"/>
      <c r="O27" s="24"/>
      <c r="P27" s="24"/>
      <c r="Q27" s="24"/>
      <c r="R27" s="24"/>
    </row>
    <row r="28" ht="15.75" customHeight="1">
      <c r="A28" s="23">
        <v>17.0</v>
      </c>
      <c r="B28" s="25"/>
      <c r="C28" s="25"/>
      <c r="D28" s="25"/>
      <c r="E28" s="26"/>
      <c r="F28" s="24"/>
      <c r="G28" s="26"/>
      <c r="H28" s="26"/>
      <c r="I28" s="26"/>
      <c r="J28" s="24"/>
      <c r="K28" s="26"/>
      <c r="L28" s="24"/>
      <c r="M28" s="26"/>
      <c r="N28" s="26"/>
      <c r="O28" s="24"/>
      <c r="P28" s="24"/>
      <c r="Q28" s="24"/>
      <c r="R28" s="24"/>
    </row>
    <row r="29" ht="15.75" customHeight="1">
      <c r="A29" s="23">
        <v>18.0</v>
      </c>
      <c r="B29" s="25"/>
      <c r="C29" s="25"/>
      <c r="D29" s="25"/>
      <c r="E29" s="26"/>
      <c r="F29" s="24"/>
      <c r="G29" s="26"/>
      <c r="H29" s="26"/>
      <c r="I29" s="26"/>
      <c r="J29" s="24"/>
      <c r="K29" s="26"/>
      <c r="L29" s="24"/>
      <c r="M29" s="26"/>
      <c r="N29" s="26"/>
      <c r="O29" s="24"/>
      <c r="P29" s="24"/>
      <c r="Q29" s="24"/>
      <c r="R29" s="24"/>
    </row>
    <row r="30" ht="15.75" customHeight="1">
      <c r="A30" s="23">
        <v>19.0</v>
      </c>
      <c r="B30" s="25"/>
      <c r="C30" s="25"/>
      <c r="D30" s="25"/>
      <c r="E30" s="26"/>
      <c r="F30" s="24"/>
      <c r="G30" s="26"/>
      <c r="H30" s="26"/>
      <c r="I30" s="26"/>
      <c r="J30" s="24"/>
      <c r="K30" s="26"/>
      <c r="L30" s="24"/>
      <c r="M30" s="26"/>
      <c r="N30" s="26"/>
      <c r="O30" s="24"/>
      <c r="P30" s="24"/>
      <c r="Q30" s="24"/>
      <c r="R30" s="24"/>
    </row>
    <row r="31" ht="15.75" customHeight="1">
      <c r="A31" s="23">
        <v>20.0</v>
      </c>
      <c r="B31" s="25"/>
      <c r="C31" s="25"/>
      <c r="D31" s="25"/>
      <c r="E31" s="26"/>
      <c r="F31" s="24"/>
      <c r="G31" s="26"/>
      <c r="H31" s="26"/>
      <c r="I31" s="26"/>
      <c r="J31" s="24"/>
      <c r="K31" s="26"/>
      <c r="L31" s="24"/>
      <c r="M31" s="26"/>
      <c r="N31" s="26"/>
      <c r="O31" s="24"/>
      <c r="P31" s="24"/>
      <c r="Q31" s="24"/>
      <c r="R31" s="24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R1"/>
    <mergeCell ref="A4:D4"/>
    <mergeCell ref="A5:D5"/>
    <mergeCell ref="A6:D6"/>
    <mergeCell ref="A7:D7"/>
    <mergeCell ref="A8:D8"/>
    <mergeCell ref="A9:D9"/>
    <mergeCell ref="A10:D10"/>
  </mergeCells>
  <dataValidations>
    <dataValidation type="decimal" operator="greaterThanOrEqual" allowBlank="1" showInputMessage="1" showErrorMessage="1" prompt="Giá trị không hợp lệ - Vui lòng nhập số ≥ 0 (tỷ lệ % nhập dạng 95% hoặc 0.95)." sqref="E12:R31">
      <formula1>0.0</formula1>
    </dataValidation>
  </dataValidations>
  <printOptions/>
  <pageMargins bottom="1.0" footer="0.0" header="0.0" left="0.75" right="0.75" top="1.0"/>
  <pageSetup fitToHeight="0"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A6A6"/>
    <pageSetUpPr fitToPage="1"/>
  </sheetPr>
  <sheetViews>
    <sheetView showGridLines="0" workbookViewId="0">
      <pane xSplit="4.0" ySplit="11.0" topLeftCell="E12" activePane="bottomRight" state="frozen"/>
      <selection activeCell="E1" sqref="E1" pane="topRight"/>
      <selection activeCell="A12" sqref="A12" pane="bottomLeft"/>
      <selection activeCell="E12" sqref="E12" pane="bottomRight"/>
    </sheetView>
  </sheetViews>
  <sheetFormatPr customHeight="1" defaultColWidth="14.43" defaultRowHeight="15.0"/>
  <cols>
    <col customWidth="1" min="1" max="1" width="6.0"/>
    <col customWidth="1" min="2" max="2" width="11.0"/>
    <col customWidth="1" min="3" max="3" width="24.0"/>
    <col customWidth="1" min="4" max="4" width="30.0"/>
    <col customWidth="1" min="5" max="18" width="15.0"/>
    <col customWidth="1" min="19" max="21" width="16.0"/>
    <col customWidth="1" min="22" max="26" width="8.71"/>
  </cols>
  <sheetData>
    <row r="1" ht="30.0" customHeight="1">
      <c r="A1" s="1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>
      <c r="A2" s="8" t="str">
        <f>"Kỳ đánh giá: "&amp;CauHinh!C5</f>
        <v>Kỳ đánh giá: Tháng 10/2026</v>
      </c>
    </row>
    <row r="4" ht="30.0" customHeight="1">
      <c r="A4" s="10" t="s">
        <v>42</v>
      </c>
      <c r="B4" s="11"/>
      <c r="C4" s="11"/>
      <c r="D4" s="12"/>
      <c r="E4" s="18" t="str">
        <f>NhapLieu!E4</f>
        <v>A. Chất lượng &amp; độ chính xác</v>
      </c>
      <c r="F4" s="18" t="str">
        <f>NhapLieu!F4</f>
        <v>A. Chất lượng &amp; độ chính xác</v>
      </c>
      <c r="G4" s="18" t="str">
        <f>NhapLieu!G4</f>
        <v>A. Chất lượng &amp; độ chính xác</v>
      </c>
      <c r="H4" s="18" t="str">
        <f>NhapLieu!H4</f>
        <v>A. Chất lượng &amp; độ chính xác</v>
      </c>
      <c r="I4" s="18" t="str">
        <f>NhapLieu!I4</f>
        <v>B. Tiến độ &amp; tuân thủ</v>
      </c>
      <c r="J4" s="18" t="str">
        <f>NhapLieu!J4</f>
        <v>B. Tiến độ &amp; tuân thủ</v>
      </c>
      <c r="K4" s="18" t="str">
        <f>NhapLieu!K4</f>
        <v>B. Tiến độ &amp; tuân thủ</v>
      </c>
      <c r="L4" s="18" t="str">
        <f>NhapLieu!L4</f>
        <v>B. Tiến độ &amp; tuân thủ</v>
      </c>
      <c r="M4" s="18" t="str">
        <f>NhapLieu!M4</f>
        <v>C. Hiệu quả công việc</v>
      </c>
      <c r="N4" s="18" t="str">
        <f>NhapLieu!N4</f>
        <v>C. Hiệu quả công việc</v>
      </c>
      <c r="O4" s="18" t="str">
        <f>NhapLieu!O4</f>
        <v>C. Hiệu quả công việc</v>
      </c>
      <c r="P4" s="18" t="str">
        <f>NhapLieu!P4</f>
        <v>D. Thái độ &amp; phát triển</v>
      </c>
      <c r="Q4" s="18" t="str">
        <f>NhapLieu!Q4</f>
        <v>D. Thái độ &amp; phát triển</v>
      </c>
      <c r="R4" s="18" t="str">
        <f>NhapLieu!R4</f>
        <v>D. Thái độ &amp; phát triển</v>
      </c>
    </row>
    <row r="5" ht="54.0" customHeight="1">
      <c r="A5" s="10" t="s">
        <v>64</v>
      </c>
      <c r="B5" s="11"/>
      <c r="C5" s="11"/>
      <c r="D5" s="12"/>
      <c r="E5" s="28" t="str">
        <f>NhapLieu!E5</f>
        <v>Tỷ lệ chứng từ hạch toán chính xác</v>
      </c>
      <c r="F5" s="28" t="str">
        <f>NhapLieu!F5</f>
        <v>Số sai sót nghiêm trọng</v>
      </c>
      <c r="G5" s="28" t="str">
        <f>NhapLieu!G5</f>
        <v>Tỷ lệ báo cáo phải điều chỉnh sau khi nộp</v>
      </c>
      <c r="H5" s="28" t="str">
        <f>NhapLieu!H5</f>
        <v>Tỷ lệ chênh lệch đối chiếu chưa xử lý</v>
      </c>
      <c r="I5" s="28" t="str">
        <f>NhapLieu!I5</f>
        <v>Tỷ lệ báo cáo nộp đúng hạn</v>
      </c>
      <c r="J5" s="28" t="str">
        <f>NhapLieu!J5</f>
        <v>Số ngày hoàn thành khóa sổ</v>
      </c>
      <c r="K5" s="28" t="str">
        <f>NhapLieu!K5</f>
        <v>Tỷ lệ tờ khai thuế/ BHXH nộp đúng hạn</v>
      </c>
      <c r="L5" s="28" t="str">
        <f>NhapLieu!L5</f>
        <v>Số lần bị phạt do chậm/ sai</v>
      </c>
      <c r="M5" s="28" t="str">
        <f>NhapLieu!M5</f>
        <v>Tỷ lệ chứng từ xử lý trong 24h</v>
      </c>
      <c r="N5" s="28" t="str">
        <f>NhapLieu!N5</f>
        <v>Tỷ lệ thu hồi công nợ đúng hạn</v>
      </c>
      <c r="O5" s="28" t="str">
        <f>NhapLieu!O5</f>
        <v>Số sáng kiến cải tiến/ tiết kiệm chi phí</v>
      </c>
      <c r="P5" s="28" t="str">
        <f>NhapLieu!P5</f>
        <v>Điểm tuân thủ quy trình, nội quy, bảo mật</v>
      </c>
      <c r="Q5" s="28" t="str">
        <f>NhapLieu!Q5</f>
        <v>Điểm phối hợp &amp; thái độ làm việc</v>
      </c>
      <c r="R5" s="28" t="str">
        <f>NhapLieu!R5</f>
        <v>Số giờ đào tạo/ cập nhật chuẩn mực, luật</v>
      </c>
    </row>
    <row r="6">
      <c r="A6" s="10" t="s">
        <v>50</v>
      </c>
      <c r="B6" s="11"/>
      <c r="C6" s="11"/>
      <c r="D6" s="12"/>
      <c r="E6" s="18" t="str">
        <f>NhapLieu!E6</f>
        <v>%</v>
      </c>
      <c r="F6" s="18" t="str">
        <f>NhapLieu!F6</f>
        <v>lần</v>
      </c>
      <c r="G6" s="18" t="str">
        <f>NhapLieu!G6</f>
        <v>%</v>
      </c>
      <c r="H6" s="18" t="str">
        <f>NhapLieu!H6</f>
        <v>%</v>
      </c>
      <c r="I6" s="18" t="str">
        <f>NhapLieu!I6</f>
        <v>%</v>
      </c>
      <c r="J6" s="18" t="str">
        <f>NhapLieu!J6</f>
        <v>ngày</v>
      </c>
      <c r="K6" s="18" t="str">
        <f>NhapLieu!K6</f>
        <v>%</v>
      </c>
      <c r="L6" s="18" t="str">
        <f>NhapLieu!L6</f>
        <v>lần</v>
      </c>
      <c r="M6" s="18" t="str">
        <f>NhapLieu!M6</f>
        <v>%</v>
      </c>
      <c r="N6" s="18" t="str">
        <f>NhapLieu!N6</f>
        <v>%</v>
      </c>
      <c r="O6" s="18" t="str">
        <f>NhapLieu!O6</f>
        <v>sáng kiến</v>
      </c>
      <c r="P6" s="18" t="str">
        <f>NhapLieu!P6</f>
        <v>điểm</v>
      </c>
      <c r="Q6" s="18" t="str">
        <f>NhapLieu!Q6</f>
        <v>điểm</v>
      </c>
      <c r="R6" s="18" t="str">
        <f>NhapLieu!R6</f>
        <v>giờ</v>
      </c>
    </row>
    <row r="7" ht="27.75" customHeight="1">
      <c r="A7" s="10" t="s">
        <v>66</v>
      </c>
      <c r="B7" s="11"/>
      <c r="C7" s="11"/>
      <c r="D7" s="12"/>
      <c r="E7" s="18" t="str">
        <f>NhapLieu!E7</f>
        <v>Cao hơn tốt hơn</v>
      </c>
      <c r="F7" s="18" t="str">
        <f>NhapLieu!F7</f>
        <v>Thấp hơn tốt hơn</v>
      </c>
      <c r="G7" s="18" t="str">
        <f>NhapLieu!G7</f>
        <v>Thấp hơn tốt hơn</v>
      </c>
      <c r="H7" s="18" t="str">
        <f>NhapLieu!H7</f>
        <v>Thấp hơn tốt hơn</v>
      </c>
      <c r="I7" s="18" t="str">
        <f>NhapLieu!I7</f>
        <v>Cao hơn tốt hơn</v>
      </c>
      <c r="J7" s="18" t="str">
        <f>NhapLieu!J7</f>
        <v>Thấp hơn tốt hơn</v>
      </c>
      <c r="K7" s="18" t="str">
        <f>NhapLieu!K7</f>
        <v>Cao hơn tốt hơn</v>
      </c>
      <c r="L7" s="18" t="str">
        <f>NhapLieu!L7</f>
        <v>Thấp hơn tốt hơn</v>
      </c>
      <c r="M7" s="18" t="str">
        <f>NhapLieu!M7</f>
        <v>Cao hơn tốt hơn</v>
      </c>
      <c r="N7" s="18" t="str">
        <f>NhapLieu!N7</f>
        <v>Cao hơn tốt hơn</v>
      </c>
      <c r="O7" s="18" t="str">
        <f>NhapLieu!O7</f>
        <v>Cao hơn tốt hơn</v>
      </c>
      <c r="P7" s="18" t="str">
        <f>NhapLieu!P7</f>
        <v>Cao hơn tốt hơn</v>
      </c>
      <c r="Q7" s="18" t="str">
        <f>NhapLieu!Q7</f>
        <v>Cao hơn tốt hơn</v>
      </c>
      <c r="R7" s="18" t="str">
        <f>NhapLieu!R7</f>
        <v>Cao hơn tốt hơn</v>
      </c>
    </row>
    <row r="8">
      <c r="A8" s="10" t="s">
        <v>67</v>
      </c>
      <c r="B8" s="11"/>
      <c r="C8" s="11"/>
      <c r="D8" s="12"/>
      <c r="E8" s="46">
        <f>NhapLieu!E8</f>
        <v>0.98</v>
      </c>
      <c r="F8" s="18">
        <f>NhapLieu!F8</f>
        <v>0</v>
      </c>
      <c r="G8" s="46">
        <f>NhapLieu!G8</f>
        <v>0.02</v>
      </c>
      <c r="H8" s="46">
        <f>NhapLieu!H8</f>
        <v>0.005</v>
      </c>
      <c r="I8" s="46">
        <f>NhapLieu!I8</f>
        <v>1</v>
      </c>
      <c r="J8" s="18">
        <f>NhapLieu!J8</f>
        <v>5</v>
      </c>
      <c r="K8" s="46">
        <f>NhapLieu!K8</f>
        <v>1</v>
      </c>
      <c r="L8" s="18">
        <f>NhapLieu!L8</f>
        <v>0</v>
      </c>
      <c r="M8" s="46">
        <f>NhapLieu!M8</f>
        <v>0.95</v>
      </c>
      <c r="N8" s="46">
        <f>NhapLieu!N8</f>
        <v>0.9</v>
      </c>
      <c r="O8" s="18">
        <f>NhapLieu!O8</f>
        <v>1</v>
      </c>
      <c r="P8" s="18">
        <f>NhapLieu!P8</f>
        <v>90</v>
      </c>
      <c r="Q8" s="18">
        <f>NhapLieu!Q8</f>
        <v>85</v>
      </c>
      <c r="R8" s="18">
        <f>NhapLieu!R8</f>
        <v>8</v>
      </c>
    </row>
    <row r="9">
      <c r="A9" s="10" t="s">
        <v>144</v>
      </c>
      <c r="B9" s="11"/>
      <c r="C9" s="11"/>
      <c r="D9" s="12"/>
      <c r="E9" s="46" t="str">
        <f>NhapLieu!E9</f>
        <v/>
      </c>
      <c r="F9" s="18">
        <f>NhapLieu!F9</f>
        <v>3</v>
      </c>
      <c r="G9" s="46">
        <f>NhapLieu!G9</f>
        <v>0.1</v>
      </c>
      <c r="H9" s="46">
        <f>NhapLieu!H9</f>
        <v>0.03</v>
      </c>
      <c r="I9" s="46" t="str">
        <f>NhapLieu!I9</f>
        <v/>
      </c>
      <c r="J9" s="18">
        <f>NhapLieu!J9</f>
        <v>10</v>
      </c>
      <c r="K9" s="46" t="str">
        <f>NhapLieu!K9</f>
        <v/>
      </c>
      <c r="L9" s="18">
        <f>NhapLieu!L9</f>
        <v>2</v>
      </c>
      <c r="M9" s="46" t="str">
        <f>NhapLieu!M9</f>
        <v/>
      </c>
      <c r="N9" s="46" t="str">
        <f>NhapLieu!N9</f>
        <v/>
      </c>
      <c r="O9" s="18" t="str">
        <f>NhapLieu!O9</f>
        <v/>
      </c>
      <c r="P9" s="18" t="str">
        <f>NhapLieu!P9</f>
        <v/>
      </c>
      <c r="Q9" s="18" t="str">
        <f>NhapLieu!Q9</f>
        <v/>
      </c>
      <c r="R9" s="18" t="str">
        <f>NhapLieu!R9</f>
        <v/>
      </c>
    </row>
    <row r="10">
      <c r="A10" s="10" t="s">
        <v>69</v>
      </c>
      <c r="B10" s="11"/>
      <c r="C10" s="11"/>
      <c r="D10" s="12"/>
      <c r="E10" s="51">
        <f>NhapLieu!E10</f>
        <v>0.1</v>
      </c>
      <c r="F10" s="51">
        <f>NhapLieu!F10</f>
        <v>0.1</v>
      </c>
      <c r="G10" s="51">
        <f>NhapLieu!G10</f>
        <v>0.05</v>
      </c>
      <c r="H10" s="51">
        <f>NhapLieu!H10</f>
        <v>0.1</v>
      </c>
      <c r="I10" s="51">
        <f>NhapLieu!I10</f>
        <v>0.1</v>
      </c>
      <c r="J10" s="51">
        <f>NhapLieu!J10</f>
        <v>0.05</v>
      </c>
      <c r="K10" s="51">
        <f>NhapLieu!K10</f>
        <v>0.1</v>
      </c>
      <c r="L10" s="51">
        <f>NhapLieu!L10</f>
        <v>0.05</v>
      </c>
      <c r="M10" s="51">
        <f>NhapLieu!M10</f>
        <v>0.05</v>
      </c>
      <c r="N10" s="51">
        <f>NhapLieu!N10</f>
        <v>0.05</v>
      </c>
      <c r="O10" s="51">
        <f>NhapLieu!O10</f>
        <v>0.05</v>
      </c>
      <c r="P10" s="51">
        <f>NhapLieu!P10</f>
        <v>0.1</v>
      </c>
      <c r="Q10" s="51">
        <f>NhapLieu!Q10</f>
        <v>0.05</v>
      </c>
      <c r="R10" s="51">
        <f>NhapLieu!R10</f>
        <v>0.05</v>
      </c>
    </row>
    <row r="11" ht="39.75" customHeight="1">
      <c r="A11" s="40" t="s">
        <v>62</v>
      </c>
      <c r="B11" s="40" t="s">
        <v>147</v>
      </c>
      <c r="C11" s="40" t="s">
        <v>148</v>
      </c>
      <c r="D11" s="40" t="s">
        <v>149</v>
      </c>
      <c r="E11" s="40" t="str">
        <f>NhapLieu!E11</f>
        <v>KPI01</v>
      </c>
      <c r="F11" s="40" t="str">
        <f>NhapLieu!F11</f>
        <v>KPI02</v>
      </c>
      <c r="G11" s="40" t="str">
        <f>NhapLieu!G11</f>
        <v>KPI03</v>
      </c>
      <c r="H11" s="40" t="str">
        <f>NhapLieu!H11</f>
        <v>KPI04</v>
      </c>
      <c r="I11" s="40" t="str">
        <f>NhapLieu!I11</f>
        <v>KPI05</v>
      </c>
      <c r="J11" s="40" t="str">
        <f>NhapLieu!J11</f>
        <v>KPI06</v>
      </c>
      <c r="K11" s="40" t="str">
        <f>NhapLieu!K11</f>
        <v>KPI07</v>
      </c>
      <c r="L11" s="40" t="str">
        <f>NhapLieu!L11</f>
        <v>KPI08</v>
      </c>
      <c r="M11" s="40" t="str">
        <f>NhapLieu!M11</f>
        <v>KPI09</v>
      </c>
      <c r="N11" s="40" t="str">
        <f>NhapLieu!N11</f>
        <v>KPI10</v>
      </c>
      <c r="O11" s="40" t="str">
        <f>NhapLieu!O11</f>
        <v>KPI11</v>
      </c>
      <c r="P11" s="40" t="str">
        <f>NhapLieu!P11</f>
        <v>KPI12</v>
      </c>
      <c r="Q11" s="40" t="str">
        <f>NhapLieu!Q11</f>
        <v>KPI13</v>
      </c>
      <c r="R11" s="40" t="str">
        <f>NhapLieu!R11</f>
        <v>KPI14</v>
      </c>
      <c r="S11" s="54" t="s">
        <v>153</v>
      </c>
      <c r="T11" s="54" t="s">
        <v>154</v>
      </c>
      <c r="U11" s="54" t="s">
        <v>155</v>
      </c>
    </row>
    <row r="12">
      <c r="A12" s="55">
        <f>NhapLieu!A12</f>
        <v>1</v>
      </c>
      <c r="B12" s="56" t="str">
        <f>IF(NhapLieu!$C12="","",NhapLieu!B12)</f>
        <v>NV001</v>
      </c>
      <c r="C12" s="56" t="str">
        <f>IF(NhapLieu!$C12="","",NhapLieu!C12)</f>
        <v>Nguyễn Thị Lan</v>
      </c>
      <c r="D12" s="56" t="str">
        <f>IF(NhapLieu!$C12="","",NhapLieu!D12)</f>
        <v>Kế toán tổng hợp</v>
      </c>
      <c r="E12" s="62">
        <f>IF(OR($C12="",NhapLieu!E12=""),"",IF(E$7="Cao hơn tốt hơn",IF(E$8&lt;=0,0,MIN(CauHinh!$C$6,NhapLieu!E12/E$8)),IF(NhapLieu!E12&lt;=E$8,1,IF(OR(E$9="",E$9&lt;=E$8),0,IF(NhapLieu!E12&gt;=E$9,0,(E$9-NhapLieu!E12)/(E$9-E$8))))))</f>
        <v>1.010204082</v>
      </c>
      <c r="F12" s="62">
        <f>IF(OR($C12="",NhapLieu!F12=""),"",IF(F$7="Cao hơn tốt hơn",IF(F$8&lt;=0,0,MIN(CauHinh!$C$6,NhapLieu!F12/F$8)),IF(NhapLieu!F12&lt;=F$8,1,IF(OR(F$9="",F$9&lt;=F$8),0,IF(NhapLieu!F12&gt;=F$9,0,(F$9-NhapLieu!F12)/(F$9-F$8))))))</f>
        <v>1</v>
      </c>
      <c r="G12" s="62">
        <f>IF(OR($C12="",NhapLieu!G12=""),"",IF(G$7="Cao hơn tốt hơn",IF(G$8&lt;=0,0,MIN(CauHinh!$C$6,NhapLieu!G12/G$8)),IF(NhapLieu!G12&lt;=G$8,1,IF(OR(G$9="",G$9&lt;=G$8),0,IF(NhapLieu!G12&gt;=G$9,0,(G$9-NhapLieu!G12)/(G$9-G$8))))))</f>
        <v>1</v>
      </c>
      <c r="H12" s="62">
        <f>IF(OR($C12="",NhapLieu!H12=""),"",IF(H$7="Cao hơn tốt hơn",IF(H$8&lt;=0,0,MIN(CauHinh!$C$6,NhapLieu!H12/H$8)),IF(NhapLieu!H12&lt;=H$8,1,IF(OR(H$9="",H$9&lt;=H$8),0,IF(NhapLieu!H12&gt;=H$9,0,(H$9-NhapLieu!H12)/(H$9-H$8))))))</f>
        <v>1</v>
      </c>
      <c r="I12" s="62">
        <f>IF(OR($C12="",NhapLieu!I12=""),"",IF(I$7="Cao hơn tốt hơn",IF(I$8&lt;=0,0,MIN(CauHinh!$C$6,NhapLieu!I12/I$8)),IF(NhapLieu!I12&lt;=I$8,1,IF(OR(I$9="",I$9&lt;=I$8),0,IF(NhapLieu!I12&gt;=I$9,0,(I$9-NhapLieu!I12)/(I$9-I$8))))))</f>
        <v>1</v>
      </c>
      <c r="J12" s="62">
        <f>IF(OR($C12="",NhapLieu!J12=""),"",IF(J$7="Cao hơn tốt hơn",IF(J$8&lt;=0,0,MIN(CauHinh!$C$6,NhapLieu!J12/J$8)),IF(NhapLieu!J12&lt;=J$8,1,IF(OR(J$9="",J$9&lt;=J$8),0,IF(NhapLieu!J12&gt;=J$9,0,(J$9-NhapLieu!J12)/(J$9-J$8))))))</f>
        <v>1</v>
      </c>
      <c r="K12" s="62">
        <f>IF(OR($C12="",NhapLieu!K12=""),"",IF(K$7="Cao hơn tốt hơn",IF(K$8&lt;=0,0,MIN(CauHinh!$C$6,NhapLieu!K12/K$8)),IF(NhapLieu!K12&lt;=K$8,1,IF(OR(K$9="",K$9&lt;=K$8),0,IF(NhapLieu!K12&gt;=K$9,0,(K$9-NhapLieu!K12)/(K$9-K$8))))))</f>
        <v>1</v>
      </c>
      <c r="L12" s="62">
        <f>IF(OR($C12="",NhapLieu!L12=""),"",IF(L$7="Cao hơn tốt hơn",IF(L$8&lt;=0,0,MIN(CauHinh!$C$6,NhapLieu!L12/L$8)),IF(NhapLieu!L12&lt;=L$8,1,IF(OR(L$9="",L$9&lt;=L$8),0,IF(NhapLieu!L12&gt;=L$9,0,(L$9-NhapLieu!L12)/(L$9-L$8))))))</f>
        <v>1</v>
      </c>
      <c r="M12" s="62">
        <f>IF(OR($C12="",NhapLieu!M12=""),"",IF(M$7="Cao hơn tốt hơn",IF(M$8&lt;=0,0,MIN(CauHinh!$C$6,NhapLieu!M12/M$8)),IF(NhapLieu!M12&lt;=M$8,1,IF(OR(M$9="",M$9&lt;=M$8),0,IF(NhapLieu!M12&gt;=M$9,0,(M$9-NhapLieu!M12)/(M$9-M$8))))))</f>
        <v>1.021052632</v>
      </c>
      <c r="N12" s="62">
        <f>IF(OR($C12="",NhapLieu!N12=""),"",IF(N$7="Cao hơn tốt hơn",IF(N$8&lt;=0,0,MIN(CauHinh!$C$6,NhapLieu!N12/N$8)),IF(NhapLieu!N12&lt;=N$8,1,IF(OR(N$9="",N$9&lt;=N$8),0,IF(NhapLieu!N12&gt;=N$9,0,(N$9-NhapLieu!N12)/(N$9-N$8))))))</f>
        <v>1.022222222</v>
      </c>
      <c r="O12" s="62">
        <f>IF(OR($C12="",NhapLieu!O12=""),"",IF(O$7="Cao hơn tốt hơn",IF(O$8&lt;=0,0,MIN(CauHinh!$C$6,NhapLieu!O12/O$8)),IF(NhapLieu!O12&lt;=O$8,1,IF(OR(O$9="",O$9&lt;=O$8),0,IF(NhapLieu!O12&gt;=O$9,0,(O$9-NhapLieu!O12)/(O$9-O$8))))))</f>
        <v>1.2</v>
      </c>
      <c r="P12" s="62">
        <f>IF(OR($C12="",NhapLieu!P12=""),"",IF(P$7="Cao hơn tốt hơn",IF(P$8&lt;=0,0,MIN(CauHinh!$C$6,NhapLieu!P12/P$8)),IF(NhapLieu!P12&lt;=P$8,1,IF(OR(P$9="",P$9&lt;=P$8),0,IF(NhapLieu!P12&gt;=P$9,0,(P$9-NhapLieu!P12)/(P$9-P$8))))))</f>
        <v>1.022222222</v>
      </c>
      <c r="Q12" s="62">
        <f>IF(OR($C12="",NhapLieu!Q12=""),"",IF(Q$7="Cao hơn tốt hơn",IF(Q$8&lt;=0,0,MIN(CauHinh!$C$6,NhapLieu!Q12/Q$8)),IF(NhapLieu!Q12&lt;=Q$8,1,IF(OR(Q$9="",Q$9&lt;=Q$8),0,IF(NhapLieu!Q12&gt;=Q$9,0,(Q$9-NhapLieu!Q12)/(Q$9-Q$8))))))</f>
        <v>1.058823529</v>
      </c>
      <c r="R12" s="62">
        <f>IF(OR($C12="",NhapLieu!R12=""),"",IF(R$7="Cao hơn tốt hơn",IF(R$8&lt;=0,0,MIN(CauHinh!$C$6,NhapLieu!R12/R$8)),IF(NhapLieu!R12&lt;=R$8,1,IF(OR(R$9="",R$9&lt;=R$8),0,IF(NhapLieu!R12&gt;=R$9,0,(R$9-NhapLieu!R12)/(R$9-R$8))))))</f>
        <v>1.2</v>
      </c>
      <c r="S12" s="45">
        <f>IF($C12="","",SUMPRODUCT(--(NhapLieu!E12:R12&lt;&gt;""),$E$10:$R$10))</f>
        <v>1</v>
      </c>
      <c r="T12" s="76">
        <f>IF($C12="","",IF(CauHinh!$C$8="Quy đổi theo KPI có dữ liệu",IF(S12=0,0,1/S12),1))</f>
        <v>1</v>
      </c>
      <c r="U12" s="77">
        <f>IF($C12="","",COUNT(NhapLieu!E12:R12))</f>
        <v>14</v>
      </c>
    </row>
    <row r="13">
      <c r="A13" s="55">
        <f>NhapLieu!A13</f>
        <v>2</v>
      </c>
      <c r="B13" s="56" t="str">
        <f>IF(NhapLieu!$C13="","",NhapLieu!B13)</f>
        <v>NV002</v>
      </c>
      <c r="C13" s="56" t="str">
        <f>IF(NhapLieu!$C13="","",NhapLieu!C13)</f>
        <v>Trần Văn Minh</v>
      </c>
      <c r="D13" s="56" t="str">
        <f>IF(NhapLieu!$C13="","",NhapLieu!D13)</f>
        <v>Kế toán thuế</v>
      </c>
      <c r="E13" s="62">
        <f>IF(OR($C13="",NhapLieu!E13=""),"",IF(E$7="Cao hơn tốt hơn",IF(E$8&lt;=0,0,MIN(CauHinh!$C$6,NhapLieu!E13/E$8)),IF(NhapLieu!E13&lt;=E$8,1,IF(OR(E$9="",E$9&lt;=E$8),0,IF(NhapLieu!E13&gt;=E$9,0,(E$9-NhapLieu!E13)/(E$9-E$8))))))</f>
        <v>1</v>
      </c>
      <c r="F13" s="62">
        <f>IF(OR($C13="",NhapLieu!F13=""),"",IF(F$7="Cao hơn tốt hơn",IF(F$8&lt;=0,0,MIN(CauHinh!$C$6,NhapLieu!F13/F$8)),IF(NhapLieu!F13&lt;=F$8,1,IF(OR(F$9="",F$9&lt;=F$8),0,IF(NhapLieu!F13&gt;=F$9,0,(F$9-NhapLieu!F13)/(F$9-F$8))))))</f>
        <v>1</v>
      </c>
      <c r="G13" s="62">
        <f>IF(OR($C13="",NhapLieu!G13=""),"",IF(G$7="Cao hơn tốt hơn",IF(G$8&lt;=0,0,MIN(CauHinh!$C$6,NhapLieu!G13/G$8)),IF(NhapLieu!G13&lt;=G$8,1,IF(OR(G$9="",G$9&lt;=G$8),0,IF(NhapLieu!G13&gt;=G$9,0,(G$9-NhapLieu!G13)/(G$9-G$8))))))</f>
        <v>1</v>
      </c>
      <c r="H13" s="62">
        <f>IF(OR($C13="",NhapLieu!H13=""),"",IF(H$7="Cao hơn tốt hơn",IF(H$8&lt;=0,0,MIN(CauHinh!$C$6,NhapLieu!H13/H$8)),IF(NhapLieu!H13&lt;=H$8,1,IF(OR(H$9="",H$9&lt;=H$8),0,IF(NhapLieu!H13&gt;=H$9,0,(H$9-NhapLieu!H13)/(H$9-H$8))))))</f>
        <v>1</v>
      </c>
      <c r="I13" s="62">
        <f>IF(OR($C13="",NhapLieu!I13=""),"",IF(I$7="Cao hơn tốt hơn",IF(I$8&lt;=0,0,MIN(CauHinh!$C$6,NhapLieu!I13/I$8)),IF(NhapLieu!I13&lt;=I$8,1,IF(OR(I$9="",I$9&lt;=I$8),0,IF(NhapLieu!I13&gt;=I$9,0,(I$9-NhapLieu!I13)/(I$9-I$8))))))</f>
        <v>1</v>
      </c>
      <c r="J13" s="62">
        <f>IF(OR($C13="",NhapLieu!J13=""),"",IF(J$7="Cao hơn tốt hơn",IF(J$8&lt;=0,0,MIN(CauHinh!$C$6,NhapLieu!J13/J$8)),IF(NhapLieu!J13&lt;=J$8,1,IF(OR(J$9="",J$9&lt;=J$8),0,IF(NhapLieu!J13&gt;=J$9,0,(J$9-NhapLieu!J13)/(J$9-J$8))))))</f>
        <v>1</v>
      </c>
      <c r="K13" s="62">
        <f>IF(OR($C13="",NhapLieu!K13=""),"",IF(K$7="Cao hơn tốt hơn",IF(K$8&lt;=0,0,MIN(CauHinh!$C$6,NhapLieu!K13/K$8)),IF(NhapLieu!K13&lt;=K$8,1,IF(OR(K$9="",K$9&lt;=K$8),0,IF(NhapLieu!K13&gt;=K$9,0,(K$9-NhapLieu!K13)/(K$9-K$8))))))</f>
        <v>1</v>
      </c>
      <c r="L13" s="62">
        <f>IF(OR($C13="",NhapLieu!L13=""),"",IF(L$7="Cao hơn tốt hơn",IF(L$8&lt;=0,0,MIN(CauHinh!$C$6,NhapLieu!L13/L$8)),IF(NhapLieu!L13&lt;=L$8,1,IF(OR(L$9="",L$9&lt;=L$8),0,IF(NhapLieu!L13&gt;=L$9,0,(L$9-NhapLieu!L13)/(L$9-L$8))))))</f>
        <v>1</v>
      </c>
      <c r="M13" s="62">
        <f>IF(OR($C13="",NhapLieu!M13=""),"",IF(M$7="Cao hơn tốt hơn",IF(M$8&lt;=0,0,MIN(CauHinh!$C$6,NhapLieu!M13/M$8)),IF(NhapLieu!M13&lt;=M$8,1,IF(OR(M$9="",M$9&lt;=M$8),0,IF(NhapLieu!M13&gt;=M$9,0,(M$9-NhapLieu!M13)/(M$9-M$8))))))</f>
        <v>1</v>
      </c>
      <c r="N13" s="62" t="str">
        <f>IF(OR($C13="",NhapLieu!N13=""),"",IF(N$7="Cao hơn tốt hơn",IF(N$8&lt;=0,0,MIN(CauHinh!$C$6,NhapLieu!N13/N$8)),IF(NhapLieu!N13&lt;=N$8,1,IF(OR(N$9="",N$9&lt;=N$8),0,IF(NhapLieu!N13&gt;=N$9,0,(N$9-NhapLieu!N13)/(N$9-N$8))))))</f>
        <v/>
      </c>
      <c r="O13" s="62">
        <f>IF(OR($C13="",NhapLieu!O13=""),"",IF(O$7="Cao hơn tốt hơn",IF(O$8&lt;=0,0,MIN(CauHinh!$C$6,NhapLieu!O13/O$8)),IF(NhapLieu!O13&lt;=O$8,1,IF(OR(O$9="",O$9&lt;=O$8),0,IF(NhapLieu!O13&gt;=O$9,0,(O$9-NhapLieu!O13)/(O$9-O$8))))))</f>
        <v>1</v>
      </c>
      <c r="P13" s="62">
        <f>IF(OR($C13="",NhapLieu!P13=""),"",IF(P$7="Cao hơn tốt hơn",IF(P$8&lt;=0,0,MIN(CauHinh!$C$6,NhapLieu!P13/P$8)),IF(NhapLieu!P13&lt;=P$8,1,IF(OR(P$9="",P$9&lt;=P$8),0,IF(NhapLieu!P13&gt;=P$9,0,(P$9-NhapLieu!P13)/(P$9-P$8))))))</f>
        <v>1</v>
      </c>
      <c r="Q13" s="62">
        <f>IF(OR($C13="",NhapLieu!Q13=""),"",IF(Q$7="Cao hơn tốt hơn",IF(Q$8&lt;=0,0,MIN(CauHinh!$C$6,NhapLieu!Q13/Q$8)),IF(NhapLieu!Q13&lt;=Q$8,1,IF(OR(Q$9="",Q$9&lt;=Q$8),0,IF(NhapLieu!Q13&gt;=Q$9,0,(Q$9-NhapLieu!Q13)/(Q$9-Q$8))))))</f>
        <v>1</v>
      </c>
      <c r="R13" s="62">
        <f>IF(OR($C13="",NhapLieu!R13=""),"",IF(R$7="Cao hơn tốt hơn",IF(R$8&lt;=0,0,MIN(CauHinh!$C$6,NhapLieu!R13/R$8)),IF(NhapLieu!R13&lt;=R$8,1,IF(OR(R$9="",R$9&lt;=R$8),0,IF(NhapLieu!R13&gt;=R$9,0,(R$9-NhapLieu!R13)/(R$9-R$8))))))</f>
        <v>1</v>
      </c>
      <c r="S13" s="45">
        <f>IF($C13="","",SUMPRODUCT(--(NhapLieu!E13:R13&lt;&gt;""),$E$10:$R$10))</f>
        <v>0.95</v>
      </c>
      <c r="T13" s="76">
        <f>IF($C13="","",IF(CauHinh!$C$8="Quy đổi theo KPI có dữ liệu",IF(S13=0,0,1/S13),1))</f>
        <v>1.052631579</v>
      </c>
      <c r="U13" s="77">
        <f>IF($C13="","",COUNT(NhapLieu!E13:R13))</f>
        <v>13</v>
      </c>
    </row>
    <row r="14">
      <c r="A14" s="55">
        <f>NhapLieu!A14</f>
        <v>3</v>
      </c>
      <c r="B14" s="56" t="str">
        <f>IF(NhapLieu!$C14="","",NhapLieu!B14)</f>
        <v>NV003</v>
      </c>
      <c r="C14" s="56" t="str">
        <f>IF(NhapLieu!$C14="","",NhapLieu!C14)</f>
        <v>Lê Thu Hà</v>
      </c>
      <c r="D14" s="56" t="str">
        <f>IF(NhapLieu!$C14="","",NhapLieu!D14)</f>
        <v>Kế toán công nợ</v>
      </c>
      <c r="E14" s="62">
        <f>IF(OR($C14="",NhapLieu!E14=""),"",IF(E$7="Cao hơn tốt hơn",IF(E$8&lt;=0,0,MIN(CauHinh!$C$6,NhapLieu!E14/E$8)),IF(NhapLieu!E14&lt;=E$8,1,IF(OR(E$9="",E$9&lt;=E$8),0,IF(NhapLieu!E14&gt;=E$9,0,(E$9-NhapLieu!E14)/(E$9-E$8))))))</f>
        <v>0.9795918367</v>
      </c>
      <c r="F14" s="62">
        <f>IF(OR($C14="",NhapLieu!F14=""),"",IF(F$7="Cao hơn tốt hơn",IF(F$8&lt;=0,0,MIN(CauHinh!$C$6,NhapLieu!F14/F$8)),IF(NhapLieu!F14&lt;=F$8,1,IF(OR(F$9="",F$9&lt;=F$8),0,IF(NhapLieu!F14&gt;=F$9,0,(F$9-NhapLieu!F14)/(F$9-F$8))))))</f>
        <v>0.6666666667</v>
      </c>
      <c r="G14" s="62">
        <f>IF(OR($C14="",NhapLieu!G14=""),"",IF(G$7="Cao hơn tốt hơn",IF(G$8&lt;=0,0,MIN(CauHinh!$C$6,NhapLieu!G14/G$8)),IF(NhapLieu!G14&lt;=G$8,1,IF(OR(G$9="",G$9&lt;=G$8),0,IF(NhapLieu!G14&gt;=G$9,0,(G$9-NhapLieu!G14)/(G$9-G$8))))))</f>
        <v>0.875</v>
      </c>
      <c r="H14" s="62">
        <f>IF(OR($C14="",NhapLieu!H14=""),"",IF(H$7="Cao hơn tốt hơn",IF(H$8&lt;=0,0,MIN(CauHinh!$C$6,NhapLieu!H14/H$8)),IF(NhapLieu!H14&lt;=H$8,1,IF(OR(H$9="",H$9&lt;=H$8),0,IF(NhapLieu!H14&gt;=H$9,0,(H$9-NhapLieu!H14)/(H$9-H$8))))))</f>
        <v>0.88</v>
      </c>
      <c r="I14" s="62">
        <f>IF(OR($C14="",NhapLieu!I14=""),"",IF(I$7="Cao hơn tốt hơn",IF(I$8&lt;=0,0,MIN(CauHinh!$C$6,NhapLieu!I14/I$8)),IF(NhapLieu!I14&lt;=I$8,1,IF(OR(I$9="",I$9&lt;=I$8),0,IF(NhapLieu!I14&gt;=I$9,0,(I$9-NhapLieu!I14)/(I$9-I$8))))))</f>
        <v>0.95</v>
      </c>
      <c r="J14" s="62">
        <f>IF(OR($C14="",NhapLieu!J14=""),"",IF(J$7="Cao hơn tốt hơn",IF(J$8&lt;=0,0,MIN(CauHinh!$C$6,NhapLieu!J14/J$8)),IF(NhapLieu!J14&lt;=J$8,1,IF(OR(J$9="",J$9&lt;=J$8),0,IF(NhapLieu!J14&gt;=J$9,0,(J$9-NhapLieu!J14)/(J$9-J$8))))))</f>
        <v>0.8</v>
      </c>
      <c r="K14" s="62">
        <f>IF(OR($C14="",NhapLieu!K14=""),"",IF(K$7="Cao hơn tốt hơn",IF(K$8&lt;=0,0,MIN(CauHinh!$C$6,NhapLieu!K14/K$8)),IF(NhapLieu!K14&lt;=K$8,1,IF(OR(K$9="",K$9&lt;=K$8),0,IF(NhapLieu!K14&gt;=K$9,0,(K$9-NhapLieu!K14)/(K$9-K$8))))))</f>
        <v>1</v>
      </c>
      <c r="L14" s="62">
        <f>IF(OR($C14="",NhapLieu!L14=""),"",IF(L$7="Cao hơn tốt hơn",IF(L$8&lt;=0,0,MIN(CauHinh!$C$6,NhapLieu!L14/L$8)),IF(NhapLieu!L14&lt;=L$8,1,IF(OR(L$9="",L$9&lt;=L$8),0,IF(NhapLieu!L14&gt;=L$9,0,(L$9-NhapLieu!L14)/(L$9-L$8))))))</f>
        <v>1</v>
      </c>
      <c r="M14" s="62">
        <f>IF(OR($C14="",NhapLieu!M14=""),"",IF(M$7="Cao hơn tốt hơn",IF(M$8&lt;=0,0,MIN(CauHinh!$C$6,NhapLieu!M14/M$8)),IF(NhapLieu!M14&lt;=M$8,1,IF(OR(M$9="",M$9&lt;=M$8),0,IF(NhapLieu!M14&gt;=M$9,0,(M$9-NhapLieu!M14)/(M$9-M$8))))))</f>
        <v>0.9789473684</v>
      </c>
      <c r="N14" s="62">
        <f>IF(OR($C14="",NhapLieu!N14=""),"",IF(N$7="Cao hơn tốt hơn",IF(N$8&lt;=0,0,MIN(CauHinh!$C$6,NhapLieu!N14/N$8)),IF(NhapLieu!N14&lt;=N$8,1,IF(OR(N$9="",N$9&lt;=N$8),0,IF(NhapLieu!N14&gt;=N$9,0,(N$9-NhapLieu!N14)/(N$9-N$8))))))</f>
        <v>0.9444444444</v>
      </c>
      <c r="O14" s="62">
        <f>IF(OR($C14="",NhapLieu!O14=""),"",IF(O$7="Cao hơn tốt hơn",IF(O$8&lt;=0,0,MIN(CauHinh!$C$6,NhapLieu!O14/O$8)),IF(NhapLieu!O14&lt;=O$8,1,IF(OR(O$9="",O$9&lt;=O$8),0,IF(NhapLieu!O14&gt;=O$9,0,(O$9-NhapLieu!O14)/(O$9-O$8))))))</f>
        <v>0</v>
      </c>
      <c r="P14" s="62">
        <f>IF(OR($C14="",NhapLieu!P14=""),"",IF(P$7="Cao hơn tốt hơn",IF(P$8&lt;=0,0,MIN(CauHinh!$C$6,NhapLieu!P14/P$8)),IF(NhapLieu!P14&lt;=P$8,1,IF(OR(P$9="",P$9&lt;=P$8),0,IF(NhapLieu!P14&gt;=P$9,0,(P$9-NhapLieu!P14)/(P$9-P$8))))))</f>
        <v>0.9777777778</v>
      </c>
      <c r="Q14" s="62">
        <f>IF(OR($C14="",NhapLieu!Q14=""),"",IF(Q$7="Cao hơn tốt hơn",IF(Q$8&lt;=0,0,MIN(CauHinh!$C$6,NhapLieu!Q14/Q$8)),IF(NhapLieu!Q14&lt;=Q$8,1,IF(OR(Q$9="",Q$9&lt;=Q$8),0,IF(NhapLieu!Q14&gt;=Q$9,0,(Q$9-NhapLieu!Q14)/(Q$9-Q$8))))))</f>
        <v>0.9411764706</v>
      </c>
      <c r="R14" s="62">
        <f>IF(OR($C14="",NhapLieu!R14=""),"",IF(R$7="Cao hơn tốt hơn",IF(R$8&lt;=0,0,MIN(CauHinh!$C$6,NhapLieu!R14/R$8)),IF(NhapLieu!R14&lt;=R$8,1,IF(OR(R$9="",R$9&lt;=R$8),0,IF(NhapLieu!R14&gt;=R$9,0,(R$9-NhapLieu!R14)/(R$9-R$8))))))</f>
        <v>0.75</v>
      </c>
      <c r="S14" s="45">
        <f>IF($C14="","",SUMPRODUCT(--(NhapLieu!E14:R14&lt;&gt;""),$E$10:$R$10))</f>
        <v>1</v>
      </c>
      <c r="T14" s="76">
        <f>IF($C14="","",IF(CauHinh!$C$8="Quy đổi theo KPI có dữ liệu",IF(S14=0,0,1/S14),1))</f>
        <v>1</v>
      </c>
      <c r="U14" s="77">
        <f>IF($C14="","",COUNT(NhapLieu!E14:R14))</f>
        <v>14</v>
      </c>
    </row>
    <row r="15">
      <c r="A15" s="55">
        <f>NhapLieu!A15</f>
        <v>4</v>
      </c>
      <c r="B15" s="56" t="str">
        <f>IF(NhapLieu!$C15="","",NhapLieu!B15)</f>
        <v>NV004</v>
      </c>
      <c r="C15" s="56" t="str">
        <f>IF(NhapLieu!$C15="","",NhapLieu!C15)</f>
        <v>Phạm Quốc Bảo</v>
      </c>
      <c r="D15" s="56" t="str">
        <f>IF(NhapLieu!$C15="","",NhapLieu!D15)</f>
        <v>Kế toán ngân hàng</v>
      </c>
      <c r="E15" s="62">
        <f>IF(OR($C15="",NhapLieu!E15=""),"",IF(E$7="Cao hơn tốt hơn",IF(E$8&lt;=0,0,MIN(CauHinh!$C$6,NhapLieu!E15/E$8)),IF(NhapLieu!E15&lt;=E$8,1,IF(OR(E$9="",E$9&lt;=E$8),0,IF(NhapLieu!E15&gt;=E$9,0,(E$9-NhapLieu!E15)/(E$9-E$8))))))</f>
        <v>1.015306122</v>
      </c>
      <c r="F15" s="62">
        <f>IF(OR($C15="",NhapLieu!F15=""),"",IF(F$7="Cao hơn tốt hơn",IF(F$8&lt;=0,0,MIN(CauHinh!$C$6,NhapLieu!F15/F$8)),IF(NhapLieu!F15&lt;=F$8,1,IF(OR(F$9="",F$9&lt;=F$8),0,IF(NhapLieu!F15&gt;=F$9,0,(F$9-NhapLieu!F15)/(F$9-F$8))))))</f>
        <v>1</v>
      </c>
      <c r="G15" s="62">
        <f>IF(OR($C15="",NhapLieu!G15=""),"",IF(G$7="Cao hơn tốt hơn",IF(G$8&lt;=0,0,MIN(CauHinh!$C$6,NhapLieu!G15/G$8)),IF(NhapLieu!G15&lt;=G$8,1,IF(OR(G$9="",G$9&lt;=G$8),0,IF(NhapLieu!G15&gt;=G$9,0,(G$9-NhapLieu!G15)/(G$9-G$8))))))</f>
        <v>1</v>
      </c>
      <c r="H15" s="62">
        <f>IF(OR($C15="",NhapLieu!H15=""),"",IF(H$7="Cao hơn tốt hơn",IF(H$8&lt;=0,0,MIN(CauHinh!$C$6,NhapLieu!H15/H$8)),IF(NhapLieu!H15&lt;=H$8,1,IF(OR(H$9="",H$9&lt;=H$8),0,IF(NhapLieu!H15&gt;=H$9,0,(H$9-NhapLieu!H15)/(H$9-H$8))))))</f>
        <v>1</v>
      </c>
      <c r="I15" s="62">
        <f>IF(OR($C15="",NhapLieu!I15=""),"",IF(I$7="Cao hơn tốt hơn",IF(I$8&lt;=0,0,MIN(CauHinh!$C$6,NhapLieu!I15/I$8)),IF(NhapLieu!I15&lt;=I$8,1,IF(OR(I$9="",I$9&lt;=I$8),0,IF(NhapLieu!I15&gt;=I$9,0,(I$9-NhapLieu!I15)/(I$9-I$8))))))</f>
        <v>1</v>
      </c>
      <c r="J15" s="62">
        <f>IF(OR($C15="",NhapLieu!J15=""),"",IF(J$7="Cao hơn tốt hơn",IF(J$8&lt;=0,0,MIN(CauHinh!$C$6,NhapLieu!J15/J$8)),IF(NhapLieu!J15&lt;=J$8,1,IF(OR(J$9="",J$9&lt;=J$8),0,IF(NhapLieu!J15&gt;=J$9,0,(J$9-NhapLieu!J15)/(J$9-J$8))))))</f>
        <v>1</v>
      </c>
      <c r="K15" s="62">
        <f>IF(OR($C15="",NhapLieu!K15=""),"",IF(K$7="Cao hơn tốt hơn",IF(K$8&lt;=0,0,MIN(CauHinh!$C$6,NhapLieu!K15/K$8)),IF(NhapLieu!K15&lt;=K$8,1,IF(OR(K$9="",K$9&lt;=K$8),0,IF(NhapLieu!K15&gt;=K$9,0,(K$9-NhapLieu!K15)/(K$9-K$8))))))</f>
        <v>1</v>
      </c>
      <c r="L15" s="62">
        <f>IF(OR($C15="",NhapLieu!L15=""),"",IF(L$7="Cao hơn tốt hơn",IF(L$8&lt;=0,0,MIN(CauHinh!$C$6,NhapLieu!L15/L$8)),IF(NhapLieu!L15&lt;=L$8,1,IF(OR(L$9="",L$9&lt;=L$8),0,IF(NhapLieu!L15&gt;=L$9,0,(L$9-NhapLieu!L15)/(L$9-L$8))))))</f>
        <v>1</v>
      </c>
      <c r="M15" s="62">
        <f>IF(OR($C15="",NhapLieu!M15=""),"",IF(M$7="Cao hơn tốt hơn",IF(M$8&lt;=0,0,MIN(CauHinh!$C$6,NhapLieu!M15/M$8)),IF(NhapLieu!M15&lt;=M$8,1,IF(OR(M$9="",M$9&lt;=M$8),0,IF(NhapLieu!M15&gt;=M$9,0,(M$9-NhapLieu!M15)/(M$9-M$8))))))</f>
        <v>1.031578947</v>
      </c>
      <c r="N15" s="62">
        <f>IF(OR($C15="",NhapLieu!N15=""),"",IF(N$7="Cao hơn tốt hơn",IF(N$8&lt;=0,0,MIN(CauHinh!$C$6,NhapLieu!N15/N$8)),IF(NhapLieu!N15&lt;=N$8,1,IF(OR(N$9="",N$9&lt;=N$8),0,IF(NhapLieu!N15&gt;=N$9,0,(N$9-NhapLieu!N15)/(N$9-N$8))))))</f>
        <v>1.055555556</v>
      </c>
      <c r="O15" s="62">
        <f>IF(OR($C15="",NhapLieu!O15=""),"",IF(O$7="Cao hơn tốt hơn",IF(O$8&lt;=0,0,MIN(CauHinh!$C$6,NhapLieu!O15/O$8)),IF(NhapLieu!O15&lt;=O$8,1,IF(OR(O$9="",O$9&lt;=O$8),0,IF(NhapLieu!O15&gt;=O$9,0,(O$9-NhapLieu!O15)/(O$9-O$8))))))</f>
        <v>1</v>
      </c>
      <c r="P15" s="62">
        <f>IF(OR($C15="",NhapLieu!P15=""),"",IF(P$7="Cao hơn tốt hơn",IF(P$8&lt;=0,0,MIN(CauHinh!$C$6,NhapLieu!P15/P$8)),IF(NhapLieu!P15&lt;=P$8,1,IF(OR(P$9="",P$9&lt;=P$8),0,IF(NhapLieu!P15&gt;=P$9,0,(P$9-NhapLieu!P15)/(P$9-P$8))))))</f>
        <v>1.055555556</v>
      </c>
      <c r="Q15" s="62">
        <f>IF(OR($C15="",NhapLieu!Q15=""),"",IF(Q$7="Cao hơn tốt hơn",IF(Q$8&lt;=0,0,MIN(CauHinh!$C$6,NhapLieu!Q15/Q$8)),IF(NhapLieu!Q15&lt;=Q$8,1,IF(OR(Q$9="",Q$9&lt;=Q$8),0,IF(NhapLieu!Q15&gt;=Q$9,0,(Q$9-NhapLieu!Q15)/(Q$9-Q$8))))))</f>
        <v>1.035294118</v>
      </c>
      <c r="R15" s="62">
        <f>IF(OR($C15="",NhapLieu!R15=""),"",IF(R$7="Cao hơn tốt hơn",IF(R$8&lt;=0,0,MIN(CauHinh!$C$6,NhapLieu!R15/R$8)),IF(NhapLieu!R15&lt;=R$8,1,IF(OR(R$9="",R$9&lt;=R$8),0,IF(NhapLieu!R15&gt;=R$9,0,(R$9-NhapLieu!R15)/(R$9-R$8))))))</f>
        <v>1</v>
      </c>
      <c r="S15" s="45">
        <f>IF($C15="","",SUMPRODUCT(--(NhapLieu!E15:R15&lt;&gt;""),$E$10:$R$10))</f>
        <v>1</v>
      </c>
      <c r="T15" s="76">
        <f>IF($C15="","",IF(CauHinh!$C$8="Quy đổi theo KPI có dữ liệu",IF(S15=0,0,1/S15),1))</f>
        <v>1</v>
      </c>
      <c r="U15" s="77">
        <f>IF($C15="","",COUNT(NhapLieu!E15:R15))</f>
        <v>14</v>
      </c>
    </row>
    <row r="16">
      <c r="A16" s="55">
        <f>NhapLieu!A16</f>
        <v>5</v>
      </c>
      <c r="B16" s="56" t="str">
        <f>IF(NhapLieu!$C16="","",NhapLieu!B16)</f>
        <v>NV005</v>
      </c>
      <c r="C16" s="56" t="str">
        <f>IF(NhapLieu!$C16="","",NhapLieu!C16)</f>
        <v>Hoàng Anh Tuấn</v>
      </c>
      <c r="D16" s="56" t="str">
        <f>IF(NhapLieu!$C16="","",NhapLieu!D16)</f>
        <v>Kế toán kho</v>
      </c>
      <c r="E16" s="62">
        <f>IF(OR($C16="",NhapLieu!E16=""),"",IF(E$7="Cao hơn tốt hơn",IF(E$8&lt;=0,0,MIN(CauHinh!$C$6,NhapLieu!E16/E$8)),IF(NhapLieu!E16&lt;=E$8,1,IF(OR(E$9="",E$9&lt;=E$8),0,IF(NhapLieu!E16&gt;=E$9,0,(E$9-NhapLieu!E16)/(E$9-E$8))))))</f>
        <v>0.9591836735</v>
      </c>
      <c r="F16" s="62">
        <f>IF(OR($C16="",NhapLieu!F16=""),"",IF(F$7="Cao hơn tốt hơn",IF(F$8&lt;=0,0,MIN(CauHinh!$C$6,NhapLieu!F16/F$8)),IF(NhapLieu!F16&lt;=F$8,1,IF(OR(F$9="",F$9&lt;=F$8),0,IF(NhapLieu!F16&gt;=F$9,0,(F$9-NhapLieu!F16)/(F$9-F$8))))))</f>
        <v>0.3333333333</v>
      </c>
      <c r="G16" s="62">
        <f>IF(OR($C16="",NhapLieu!G16=""),"",IF(G$7="Cao hơn tốt hơn",IF(G$8&lt;=0,0,MIN(CauHinh!$C$6,NhapLieu!G16/G$8)),IF(NhapLieu!G16&lt;=G$8,1,IF(OR(G$9="",G$9&lt;=G$8),0,IF(NhapLieu!G16&gt;=G$9,0,(G$9-NhapLieu!G16)/(G$9-G$8))))))</f>
        <v>0.5</v>
      </c>
      <c r="H16" s="62">
        <f>IF(OR($C16="",NhapLieu!H16=""),"",IF(H$7="Cao hơn tốt hơn",IF(H$8&lt;=0,0,MIN(CauHinh!$C$6,NhapLieu!H16/H$8)),IF(NhapLieu!H16&lt;=H$8,1,IF(OR(H$9="",H$9&lt;=H$8),0,IF(NhapLieu!H16&gt;=H$9,0,(H$9-NhapLieu!H16)/(H$9-H$8))))))</f>
        <v>0.6</v>
      </c>
      <c r="I16" s="62">
        <f>IF(OR($C16="",NhapLieu!I16=""),"",IF(I$7="Cao hơn tốt hơn",IF(I$8&lt;=0,0,MIN(CauHinh!$C$6,NhapLieu!I16/I$8)),IF(NhapLieu!I16&lt;=I$8,1,IF(OR(I$9="",I$9&lt;=I$8),0,IF(NhapLieu!I16&gt;=I$9,0,(I$9-NhapLieu!I16)/(I$9-I$8))))))</f>
        <v>0.85</v>
      </c>
      <c r="J16" s="62">
        <f>IF(OR($C16="",NhapLieu!J16=""),"",IF(J$7="Cao hơn tốt hơn",IF(J$8&lt;=0,0,MIN(CauHinh!$C$6,NhapLieu!J16/J$8)),IF(NhapLieu!J16&lt;=J$8,1,IF(OR(J$9="",J$9&lt;=J$8),0,IF(NhapLieu!J16&gt;=J$9,0,(J$9-NhapLieu!J16)/(J$9-J$8))))))</f>
        <v>0.4</v>
      </c>
      <c r="K16" s="62">
        <f>IF(OR($C16="",NhapLieu!K16=""),"",IF(K$7="Cao hơn tốt hơn",IF(K$8&lt;=0,0,MIN(CauHinh!$C$6,NhapLieu!K16/K$8)),IF(NhapLieu!K16&lt;=K$8,1,IF(OR(K$9="",K$9&lt;=K$8),0,IF(NhapLieu!K16&gt;=K$9,0,(K$9-NhapLieu!K16)/(K$9-K$8))))))</f>
        <v>0.9</v>
      </c>
      <c r="L16" s="62">
        <f>IF(OR($C16="",NhapLieu!L16=""),"",IF(L$7="Cao hơn tốt hơn",IF(L$8&lt;=0,0,MIN(CauHinh!$C$6,NhapLieu!L16/L$8)),IF(NhapLieu!L16&lt;=L$8,1,IF(OR(L$9="",L$9&lt;=L$8),0,IF(NhapLieu!L16&gt;=L$9,0,(L$9-NhapLieu!L16)/(L$9-L$8))))))</f>
        <v>0.5</v>
      </c>
      <c r="M16" s="62">
        <f>IF(OR($C16="",NhapLieu!M16=""),"",IF(M$7="Cao hơn tốt hơn",IF(M$8&lt;=0,0,MIN(CauHinh!$C$6,NhapLieu!M16/M$8)),IF(NhapLieu!M16&lt;=M$8,1,IF(OR(M$9="",M$9&lt;=M$8),0,IF(NhapLieu!M16&gt;=M$9,0,(M$9-NhapLieu!M16)/(M$9-M$8))))))</f>
        <v>0.8947368421</v>
      </c>
      <c r="N16" s="62" t="str">
        <f>IF(OR($C16="",NhapLieu!N16=""),"",IF(N$7="Cao hơn tốt hơn",IF(N$8&lt;=0,0,MIN(CauHinh!$C$6,NhapLieu!N16/N$8)),IF(NhapLieu!N16&lt;=N$8,1,IF(OR(N$9="",N$9&lt;=N$8),0,IF(NhapLieu!N16&gt;=N$9,0,(N$9-NhapLieu!N16)/(N$9-N$8))))))</f>
        <v/>
      </c>
      <c r="O16" s="62">
        <f>IF(OR($C16="",NhapLieu!O16=""),"",IF(O$7="Cao hơn tốt hơn",IF(O$8&lt;=0,0,MIN(CauHinh!$C$6,NhapLieu!O16/O$8)),IF(NhapLieu!O16&lt;=O$8,1,IF(OR(O$9="",O$9&lt;=O$8),0,IF(NhapLieu!O16&gt;=O$9,0,(O$9-NhapLieu!O16)/(O$9-O$8))))))</f>
        <v>0</v>
      </c>
      <c r="P16" s="62">
        <f>IF(OR($C16="",NhapLieu!P16=""),"",IF(P$7="Cao hơn tốt hơn",IF(P$8&lt;=0,0,MIN(CauHinh!$C$6,NhapLieu!P16/P$8)),IF(NhapLieu!P16&lt;=P$8,1,IF(OR(P$9="",P$9&lt;=P$8),0,IF(NhapLieu!P16&gt;=P$9,0,(P$9-NhapLieu!P16)/(P$9-P$8))))))</f>
        <v>0.9444444444</v>
      </c>
      <c r="Q16" s="62">
        <f>IF(OR($C16="",NhapLieu!Q16=""),"",IF(Q$7="Cao hơn tốt hơn",IF(Q$8&lt;=0,0,MIN(CauHinh!$C$6,NhapLieu!Q16/Q$8)),IF(NhapLieu!Q16&lt;=Q$8,1,IF(OR(Q$9="",Q$9&lt;=Q$8),0,IF(NhapLieu!Q16&gt;=Q$9,0,(Q$9-NhapLieu!Q16)/(Q$9-Q$8))))))</f>
        <v>0.8823529412</v>
      </c>
      <c r="R16" s="62">
        <f>IF(OR($C16="",NhapLieu!R16=""),"",IF(R$7="Cao hơn tốt hơn",IF(R$8&lt;=0,0,MIN(CauHinh!$C$6,NhapLieu!R16/R$8)),IF(NhapLieu!R16&lt;=R$8,1,IF(OR(R$9="",R$9&lt;=R$8),0,IF(NhapLieu!R16&gt;=R$9,0,(R$9-NhapLieu!R16)/(R$9-R$8))))))</f>
        <v>0.5</v>
      </c>
      <c r="S16" s="45">
        <f>IF($C16="","",SUMPRODUCT(--(NhapLieu!E16:R16&lt;&gt;""),$E$10:$R$10))</f>
        <v>0.95</v>
      </c>
      <c r="T16" s="76">
        <f>IF($C16="","",IF(CauHinh!$C$8="Quy đổi theo KPI có dữ liệu",IF(S16=0,0,1/S16),1))</f>
        <v>1.052631579</v>
      </c>
      <c r="U16" s="77">
        <f>IF($C16="","",COUNT(NhapLieu!E16:R16))</f>
        <v>13</v>
      </c>
    </row>
    <row r="17">
      <c r="A17" s="55">
        <f>NhapLieu!A17</f>
        <v>6</v>
      </c>
      <c r="B17" s="56" t="str">
        <f>IF(NhapLieu!$C17="","",NhapLieu!B17)</f>
        <v>NV006</v>
      </c>
      <c r="C17" s="56" t="str">
        <f>IF(NhapLieu!$C17="","",NhapLieu!C17)</f>
        <v>Đỗ Mai Phương</v>
      </c>
      <c r="D17" s="56" t="str">
        <f>IF(NhapLieu!$C17="","",NhapLieu!D17)</f>
        <v>Kế toán thanh toán</v>
      </c>
      <c r="E17" s="62">
        <f>IF(OR($C17="",NhapLieu!E17=""),"",IF(E$7="Cao hơn tốt hơn",IF(E$8&lt;=0,0,MIN(CauHinh!$C$6,NhapLieu!E17/E$8)),IF(NhapLieu!E17&lt;=E$8,1,IF(OR(E$9="",E$9&lt;=E$8),0,IF(NhapLieu!E17&gt;=E$9,0,(E$9-NhapLieu!E17)/(E$9-E$8))))))</f>
        <v>0.9948979592</v>
      </c>
      <c r="F17" s="62">
        <f>IF(OR($C17="",NhapLieu!F17=""),"",IF(F$7="Cao hơn tốt hơn",IF(F$8&lt;=0,0,MIN(CauHinh!$C$6,NhapLieu!F17/F$8)),IF(NhapLieu!F17&lt;=F$8,1,IF(OR(F$9="",F$9&lt;=F$8),0,IF(NhapLieu!F17&gt;=F$9,0,(F$9-NhapLieu!F17)/(F$9-F$8))))))</f>
        <v>1</v>
      </c>
      <c r="G17" s="62">
        <f>IF(OR($C17="",NhapLieu!G17=""),"",IF(G$7="Cao hơn tốt hơn",IF(G$8&lt;=0,0,MIN(CauHinh!$C$6,NhapLieu!G17/G$8)),IF(NhapLieu!G17&lt;=G$8,1,IF(OR(G$9="",G$9&lt;=G$8),0,IF(NhapLieu!G17&gt;=G$9,0,(G$9-NhapLieu!G17)/(G$9-G$8))))))</f>
        <v>0.9375</v>
      </c>
      <c r="H17" s="62">
        <f>IF(OR($C17="",NhapLieu!H17=""),"",IF(H$7="Cao hơn tốt hơn",IF(H$8&lt;=0,0,MIN(CauHinh!$C$6,NhapLieu!H17/H$8)),IF(NhapLieu!H17&lt;=H$8,1,IF(OR(H$9="",H$9&lt;=H$8),0,IF(NhapLieu!H17&gt;=H$9,0,(H$9-NhapLieu!H17)/(H$9-H$8))))))</f>
        <v>0.96</v>
      </c>
      <c r="I17" s="62">
        <f>IF(OR($C17="",NhapLieu!I17=""),"",IF(I$7="Cao hơn tốt hơn",IF(I$8&lt;=0,0,MIN(CauHinh!$C$6,NhapLieu!I17/I$8)),IF(NhapLieu!I17&lt;=I$8,1,IF(OR(I$9="",I$9&lt;=I$8),0,IF(NhapLieu!I17&gt;=I$9,0,(I$9-NhapLieu!I17)/(I$9-I$8))))))</f>
        <v>1</v>
      </c>
      <c r="J17" s="62">
        <f>IF(OR($C17="",NhapLieu!J17=""),"",IF(J$7="Cao hơn tốt hơn",IF(J$8&lt;=0,0,MIN(CauHinh!$C$6,NhapLieu!J17/J$8)),IF(NhapLieu!J17&lt;=J$8,1,IF(OR(J$9="",J$9&lt;=J$8),0,IF(NhapLieu!J17&gt;=J$9,0,(J$9-NhapLieu!J17)/(J$9-J$8))))))</f>
        <v>1</v>
      </c>
      <c r="K17" s="62">
        <f>IF(OR($C17="",NhapLieu!K17=""),"",IF(K$7="Cao hơn tốt hơn",IF(K$8&lt;=0,0,MIN(CauHinh!$C$6,NhapLieu!K17/K$8)),IF(NhapLieu!K17&lt;=K$8,1,IF(OR(K$9="",K$9&lt;=K$8),0,IF(NhapLieu!K17&gt;=K$9,0,(K$9-NhapLieu!K17)/(K$9-K$8))))))</f>
        <v>1</v>
      </c>
      <c r="L17" s="62">
        <f>IF(OR($C17="",NhapLieu!L17=""),"",IF(L$7="Cao hơn tốt hơn",IF(L$8&lt;=0,0,MIN(CauHinh!$C$6,NhapLieu!L17/L$8)),IF(NhapLieu!L17&lt;=L$8,1,IF(OR(L$9="",L$9&lt;=L$8),0,IF(NhapLieu!L17&gt;=L$9,0,(L$9-NhapLieu!L17)/(L$9-L$8))))))</f>
        <v>1</v>
      </c>
      <c r="M17" s="62">
        <f>IF(OR($C17="",NhapLieu!M17=""),"",IF(M$7="Cao hơn tốt hơn",IF(M$8&lt;=0,0,MIN(CauHinh!$C$6,NhapLieu!M17/M$8)),IF(NhapLieu!M17&lt;=M$8,1,IF(OR(M$9="",M$9&lt;=M$8),0,IF(NhapLieu!M17&gt;=M$9,0,(M$9-NhapLieu!M17)/(M$9-M$8))))))</f>
        <v>1.010526316</v>
      </c>
      <c r="N17" s="62">
        <f>IF(OR($C17="",NhapLieu!N17=""),"",IF(N$7="Cao hơn tốt hơn",IF(N$8&lt;=0,0,MIN(CauHinh!$C$6,NhapLieu!N17/N$8)),IF(NhapLieu!N17&lt;=N$8,1,IF(OR(N$9="",N$9&lt;=N$8),0,IF(NhapLieu!N17&gt;=N$9,0,(N$9-NhapLieu!N17)/(N$9-N$8))))))</f>
        <v>1</v>
      </c>
      <c r="O17" s="62">
        <f>IF(OR($C17="",NhapLieu!O17=""),"",IF(O$7="Cao hơn tốt hơn",IF(O$8&lt;=0,0,MIN(CauHinh!$C$6,NhapLieu!O17/O$8)),IF(NhapLieu!O17&lt;=O$8,1,IF(OR(O$9="",O$9&lt;=O$8),0,IF(NhapLieu!O17&gt;=O$9,0,(O$9-NhapLieu!O17)/(O$9-O$8))))))</f>
        <v>1</v>
      </c>
      <c r="P17" s="62">
        <f>IF(OR($C17="",NhapLieu!P17=""),"",IF(P$7="Cao hơn tốt hơn",IF(P$8&lt;=0,0,MIN(CauHinh!$C$6,NhapLieu!P17/P$8)),IF(NhapLieu!P17&lt;=P$8,1,IF(OR(P$9="",P$9&lt;=P$8),0,IF(NhapLieu!P17&gt;=P$9,0,(P$9-NhapLieu!P17)/(P$9-P$8))))))</f>
        <v>1</v>
      </c>
      <c r="Q17" s="62">
        <f>IF(OR($C17="",NhapLieu!Q17=""),"",IF(Q$7="Cao hơn tốt hơn",IF(Q$8&lt;=0,0,MIN(CauHinh!$C$6,NhapLieu!Q17/Q$8)),IF(NhapLieu!Q17&lt;=Q$8,1,IF(OR(Q$9="",Q$9&lt;=Q$8),0,IF(NhapLieu!Q17&gt;=Q$9,0,(Q$9-NhapLieu!Q17)/(Q$9-Q$8))))))</f>
        <v>1.011764706</v>
      </c>
      <c r="R17" s="62">
        <f>IF(OR($C17="",NhapLieu!R17=""),"",IF(R$7="Cao hơn tốt hơn",IF(R$8&lt;=0,0,MIN(CauHinh!$C$6,NhapLieu!R17/R$8)),IF(NhapLieu!R17&lt;=R$8,1,IF(OR(R$9="",R$9&lt;=R$8),0,IF(NhapLieu!R17&gt;=R$9,0,(R$9-NhapLieu!R17)/(R$9-R$8))))))</f>
        <v>1.2</v>
      </c>
      <c r="S17" s="45">
        <f>IF($C17="","",SUMPRODUCT(--(NhapLieu!E17:R17&lt;&gt;""),$E$10:$R$10))</f>
        <v>1</v>
      </c>
      <c r="T17" s="76">
        <f>IF($C17="","",IF(CauHinh!$C$8="Quy đổi theo KPI có dữ liệu",IF(S17=0,0,1/S17),1))</f>
        <v>1</v>
      </c>
      <c r="U17" s="77">
        <f>IF($C17="","",COUNT(NhapLieu!E17:R17))</f>
        <v>14</v>
      </c>
    </row>
    <row r="18">
      <c r="A18" s="55">
        <f>NhapLieu!A18</f>
        <v>7</v>
      </c>
      <c r="B18" s="56" t="str">
        <f>IF(NhapLieu!$C18="","",NhapLieu!B18)</f>
        <v/>
      </c>
      <c r="C18" s="56" t="str">
        <f>IF(NhapLieu!$C18="","",NhapLieu!C18)</f>
        <v/>
      </c>
      <c r="D18" s="56" t="str">
        <f>IF(NhapLieu!$C18="","",NhapLieu!D18)</f>
        <v/>
      </c>
      <c r="E18" s="62" t="str">
        <f>IF(OR($C18="",NhapLieu!E18=""),"",IF(E$7="Cao hơn tốt hơn",IF(E$8&lt;=0,0,MIN(CauHinh!$C$6,NhapLieu!E18/E$8)),IF(NhapLieu!E18&lt;=E$8,1,IF(OR(E$9="",E$9&lt;=E$8),0,IF(NhapLieu!E18&gt;=E$9,0,(E$9-NhapLieu!E18)/(E$9-E$8))))))</f>
        <v/>
      </c>
      <c r="F18" s="62" t="str">
        <f>IF(OR($C18="",NhapLieu!F18=""),"",IF(F$7="Cao hơn tốt hơn",IF(F$8&lt;=0,0,MIN(CauHinh!$C$6,NhapLieu!F18/F$8)),IF(NhapLieu!F18&lt;=F$8,1,IF(OR(F$9="",F$9&lt;=F$8),0,IF(NhapLieu!F18&gt;=F$9,0,(F$9-NhapLieu!F18)/(F$9-F$8))))))</f>
        <v/>
      </c>
      <c r="G18" s="62" t="str">
        <f>IF(OR($C18="",NhapLieu!G18=""),"",IF(G$7="Cao hơn tốt hơn",IF(G$8&lt;=0,0,MIN(CauHinh!$C$6,NhapLieu!G18/G$8)),IF(NhapLieu!G18&lt;=G$8,1,IF(OR(G$9="",G$9&lt;=G$8),0,IF(NhapLieu!G18&gt;=G$9,0,(G$9-NhapLieu!G18)/(G$9-G$8))))))</f>
        <v/>
      </c>
      <c r="H18" s="62" t="str">
        <f>IF(OR($C18="",NhapLieu!H18=""),"",IF(H$7="Cao hơn tốt hơn",IF(H$8&lt;=0,0,MIN(CauHinh!$C$6,NhapLieu!H18/H$8)),IF(NhapLieu!H18&lt;=H$8,1,IF(OR(H$9="",H$9&lt;=H$8),0,IF(NhapLieu!H18&gt;=H$9,0,(H$9-NhapLieu!H18)/(H$9-H$8))))))</f>
        <v/>
      </c>
      <c r="I18" s="62" t="str">
        <f>IF(OR($C18="",NhapLieu!I18=""),"",IF(I$7="Cao hơn tốt hơn",IF(I$8&lt;=0,0,MIN(CauHinh!$C$6,NhapLieu!I18/I$8)),IF(NhapLieu!I18&lt;=I$8,1,IF(OR(I$9="",I$9&lt;=I$8),0,IF(NhapLieu!I18&gt;=I$9,0,(I$9-NhapLieu!I18)/(I$9-I$8))))))</f>
        <v/>
      </c>
      <c r="J18" s="62" t="str">
        <f>IF(OR($C18="",NhapLieu!J18=""),"",IF(J$7="Cao hơn tốt hơn",IF(J$8&lt;=0,0,MIN(CauHinh!$C$6,NhapLieu!J18/J$8)),IF(NhapLieu!J18&lt;=J$8,1,IF(OR(J$9="",J$9&lt;=J$8),0,IF(NhapLieu!J18&gt;=J$9,0,(J$9-NhapLieu!J18)/(J$9-J$8))))))</f>
        <v/>
      </c>
      <c r="K18" s="62" t="str">
        <f>IF(OR($C18="",NhapLieu!K18=""),"",IF(K$7="Cao hơn tốt hơn",IF(K$8&lt;=0,0,MIN(CauHinh!$C$6,NhapLieu!K18/K$8)),IF(NhapLieu!K18&lt;=K$8,1,IF(OR(K$9="",K$9&lt;=K$8),0,IF(NhapLieu!K18&gt;=K$9,0,(K$9-NhapLieu!K18)/(K$9-K$8))))))</f>
        <v/>
      </c>
      <c r="L18" s="62" t="str">
        <f>IF(OR($C18="",NhapLieu!L18=""),"",IF(L$7="Cao hơn tốt hơn",IF(L$8&lt;=0,0,MIN(CauHinh!$C$6,NhapLieu!L18/L$8)),IF(NhapLieu!L18&lt;=L$8,1,IF(OR(L$9="",L$9&lt;=L$8),0,IF(NhapLieu!L18&gt;=L$9,0,(L$9-NhapLieu!L18)/(L$9-L$8))))))</f>
        <v/>
      </c>
      <c r="M18" s="62" t="str">
        <f>IF(OR($C18="",NhapLieu!M18=""),"",IF(M$7="Cao hơn tốt hơn",IF(M$8&lt;=0,0,MIN(CauHinh!$C$6,NhapLieu!M18/M$8)),IF(NhapLieu!M18&lt;=M$8,1,IF(OR(M$9="",M$9&lt;=M$8),0,IF(NhapLieu!M18&gt;=M$9,0,(M$9-NhapLieu!M18)/(M$9-M$8))))))</f>
        <v/>
      </c>
      <c r="N18" s="62" t="str">
        <f>IF(OR($C18="",NhapLieu!N18=""),"",IF(N$7="Cao hơn tốt hơn",IF(N$8&lt;=0,0,MIN(CauHinh!$C$6,NhapLieu!N18/N$8)),IF(NhapLieu!N18&lt;=N$8,1,IF(OR(N$9="",N$9&lt;=N$8),0,IF(NhapLieu!N18&gt;=N$9,0,(N$9-NhapLieu!N18)/(N$9-N$8))))))</f>
        <v/>
      </c>
      <c r="O18" s="62" t="str">
        <f>IF(OR($C18="",NhapLieu!O18=""),"",IF(O$7="Cao hơn tốt hơn",IF(O$8&lt;=0,0,MIN(CauHinh!$C$6,NhapLieu!O18/O$8)),IF(NhapLieu!O18&lt;=O$8,1,IF(OR(O$9="",O$9&lt;=O$8),0,IF(NhapLieu!O18&gt;=O$9,0,(O$9-NhapLieu!O18)/(O$9-O$8))))))</f>
        <v/>
      </c>
      <c r="P18" s="62" t="str">
        <f>IF(OR($C18="",NhapLieu!P18=""),"",IF(P$7="Cao hơn tốt hơn",IF(P$8&lt;=0,0,MIN(CauHinh!$C$6,NhapLieu!P18/P$8)),IF(NhapLieu!P18&lt;=P$8,1,IF(OR(P$9="",P$9&lt;=P$8),0,IF(NhapLieu!P18&gt;=P$9,0,(P$9-NhapLieu!P18)/(P$9-P$8))))))</f>
        <v/>
      </c>
      <c r="Q18" s="62" t="str">
        <f>IF(OR($C18="",NhapLieu!Q18=""),"",IF(Q$7="Cao hơn tốt hơn",IF(Q$8&lt;=0,0,MIN(CauHinh!$C$6,NhapLieu!Q18/Q$8)),IF(NhapLieu!Q18&lt;=Q$8,1,IF(OR(Q$9="",Q$9&lt;=Q$8),0,IF(NhapLieu!Q18&gt;=Q$9,0,(Q$9-NhapLieu!Q18)/(Q$9-Q$8))))))</f>
        <v/>
      </c>
      <c r="R18" s="62" t="str">
        <f>IF(OR($C18="",NhapLieu!R18=""),"",IF(R$7="Cao hơn tốt hơn",IF(R$8&lt;=0,0,MIN(CauHinh!$C$6,NhapLieu!R18/R$8)),IF(NhapLieu!R18&lt;=R$8,1,IF(OR(R$9="",R$9&lt;=R$8),0,IF(NhapLieu!R18&gt;=R$9,0,(R$9-NhapLieu!R18)/(R$9-R$8))))))</f>
        <v/>
      </c>
      <c r="S18" s="45" t="str">
        <f>IF($C18="","",SUMPRODUCT(--(NhapLieu!E18:R18&lt;&gt;""),$E$10:$R$10))</f>
        <v/>
      </c>
      <c r="T18" s="76" t="str">
        <f>IF($C18="","",IF(CauHinh!$C$8="Quy đổi theo KPI có dữ liệu",IF(S18=0,0,1/S18),1))</f>
        <v/>
      </c>
      <c r="U18" s="77" t="str">
        <f>IF($C18="","",COUNT(NhapLieu!E18:R18))</f>
        <v/>
      </c>
    </row>
    <row r="19">
      <c r="A19" s="55">
        <f>NhapLieu!A19</f>
        <v>8</v>
      </c>
      <c r="B19" s="56" t="str">
        <f>IF(NhapLieu!$C19="","",NhapLieu!B19)</f>
        <v/>
      </c>
      <c r="C19" s="56" t="str">
        <f>IF(NhapLieu!$C19="","",NhapLieu!C19)</f>
        <v/>
      </c>
      <c r="D19" s="56" t="str">
        <f>IF(NhapLieu!$C19="","",NhapLieu!D19)</f>
        <v/>
      </c>
      <c r="E19" s="62" t="str">
        <f>IF(OR($C19="",NhapLieu!E19=""),"",IF(E$7="Cao hơn tốt hơn",IF(E$8&lt;=0,0,MIN(CauHinh!$C$6,NhapLieu!E19/E$8)),IF(NhapLieu!E19&lt;=E$8,1,IF(OR(E$9="",E$9&lt;=E$8),0,IF(NhapLieu!E19&gt;=E$9,0,(E$9-NhapLieu!E19)/(E$9-E$8))))))</f>
        <v/>
      </c>
      <c r="F19" s="62" t="str">
        <f>IF(OR($C19="",NhapLieu!F19=""),"",IF(F$7="Cao hơn tốt hơn",IF(F$8&lt;=0,0,MIN(CauHinh!$C$6,NhapLieu!F19/F$8)),IF(NhapLieu!F19&lt;=F$8,1,IF(OR(F$9="",F$9&lt;=F$8),0,IF(NhapLieu!F19&gt;=F$9,0,(F$9-NhapLieu!F19)/(F$9-F$8))))))</f>
        <v/>
      </c>
      <c r="G19" s="62" t="str">
        <f>IF(OR($C19="",NhapLieu!G19=""),"",IF(G$7="Cao hơn tốt hơn",IF(G$8&lt;=0,0,MIN(CauHinh!$C$6,NhapLieu!G19/G$8)),IF(NhapLieu!G19&lt;=G$8,1,IF(OR(G$9="",G$9&lt;=G$8),0,IF(NhapLieu!G19&gt;=G$9,0,(G$9-NhapLieu!G19)/(G$9-G$8))))))</f>
        <v/>
      </c>
      <c r="H19" s="62" t="str">
        <f>IF(OR($C19="",NhapLieu!H19=""),"",IF(H$7="Cao hơn tốt hơn",IF(H$8&lt;=0,0,MIN(CauHinh!$C$6,NhapLieu!H19/H$8)),IF(NhapLieu!H19&lt;=H$8,1,IF(OR(H$9="",H$9&lt;=H$8),0,IF(NhapLieu!H19&gt;=H$9,0,(H$9-NhapLieu!H19)/(H$9-H$8))))))</f>
        <v/>
      </c>
      <c r="I19" s="62" t="str">
        <f>IF(OR($C19="",NhapLieu!I19=""),"",IF(I$7="Cao hơn tốt hơn",IF(I$8&lt;=0,0,MIN(CauHinh!$C$6,NhapLieu!I19/I$8)),IF(NhapLieu!I19&lt;=I$8,1,IF(OR(I$9="",I$9&lt;=I$8),0,IF(NhapLieu!I19&gt;=I$9,0,(I$9-NhapLieu!I19)/(I$9-I$8))))))</f>
        <v/>
      </c>
      <c r="J19" s="62" t="str">
        <f>IF(OR($C19="",NhapLieu!J19=""),"",IF(J$7="Cao hơn tốt hơn",IF(J$8&lt;=0,0,MIN(CauHinh!$C$6,NhapLieu!J19/J$8)),IF(NhapLieu!J19&lt;=J$8,1,IF(OR(J$9="",J$9&lt;=J$8),0,IF(NhapLieu!J19&gt;=J$9,0,(J$9-NhapLieu!J19)/(J$9-J$8))))))</f>
        <v/>
      </c>
      <c r="K19" s="62" t="str">
        <f>IF(OR($C19="",NhapLieu!K19=""),"",IF(K$7="Cao hơn tốt hơn",IF(K$8&lt;=0,0,MIN(CauHinh!$C$6,NhapLieu!K19/K$8)),IF(NhapLieu!K19&lt;=K$8,1,IF(OR(K$9="",K$9&lt;=K$8),0,IF(NhapLieu!K19&gt;=K$9,0,(K$9-NhapLieu!K19)/(K$9-K$8))))))</f>
        <v/>
      </c>
      <c r="L19" s="62" t="str">
        <f>IF(OR($C19="",NhapLieu!L19=""),"",IF(L$7="Cao hơn tốt hơn",IF(L$8&lt;=0,0,MIN(CauHinh!$C$6,NhapLieu!L19/L$8)),IF(NhapLieu!L19&lt;=L$8,1,IF(OR(L$9="",L$9&lt;=L$8),0,IF(NhapLieu!L19&gt;=L$9,0,(L$9-NhapLieu!L19)/(L$9-L$8))))))</f>
        <v/>
      </c>
      <c r="M19" s="62" t="str">
        <f>IF(OR($C19="",NhapLieu!M19=""),"",IF(M$7="Cao hơn tốt hơn",IF(M$8&lt;=0,0,MIN(CauHinh!$C$6,NhapLieu!M19/M$8)),IF(NhapLieu!M19&lt;=M$8,1,IF(OR(M$9="",M$9&lt;=M$8),0,IF(NhapLieu!M19&gt;=M$9,0,(M$9-NhapLieu!M19)/(M$9-M$8))))))</f>
        <v/>
      </c>
      <c r="N19" s="62" t="str">
        <f>IF(OR($C19="",NhapLieu!N19=""),"",IF(N$7="Cao hơn tốt hơn",IF(N$8&lt;=0,0,MIN(CauHinh!$C$6,NhapLieu!N19/N$8)),IF(NhapLieu!N19&lt;=N$8,1,IF(OR(N$9="",N$9&lt;=N$8),0,IF(NhapLieu!N19&gt;=N$9,0,(N$9-NhapLieu!N19)/(N$9-N$8))))))</f>
        <v/>
      </c>
      <c r="O19" s="62" t="str">
        <f>IF(OR($C19="",NhapLieu!O19=""),"",IF(O$7="Cao hơn tốt hơn",IF(O$8&lt;=0,0,MIN(CauHinh!$C$6,NhapLieu!O19/O$8)),IF(NhapLieu!O19&lt;=O$8,1,IF(OR(O$9="",O$9&lt;=O$8),0,IF(NhapLieu!O19&gt;=O$9,0,(O$9-NhapLieu!O19)/(O$9-O$8))))))</f>
        <v/>
      </c>
      <c r="P19" s="62" t="str">
        <f>IF(OR($C19="",NhapLieu!P19=""),"",IF(P$7="Cao hơn tốt hơn",IF(P$8&lt;=0,0,MIN(CauHinh!$C$6,NhapLieu!P19/P$8)),IF(NhapLieu!P19&lt;=P$8,1,IF(OR(P$9="",P$9&lt;=P$8),0,IF(NhapLieu!P19&gt;=P$9,0,(P$9-NhapLieu!P19)/(P$9-P$8))))))</f>
        <v/>
      </c>
      <c r="Q19" s="62" t="str">
        <f>IF(OR($C19="",NhapLieu!Q19=""),"",IF(Q$7="Cao hơn tốt hơn",IF(Q$8&lt;=0,0,MIN(CauHinh!$C$6,NhapLieu!Q19/Q$8)),IF(NhapLieu!Q19&lt;=Q$8,1,IF(OR(Q$9="",Q$9&lt;=Q$8),0,IF(NhapLieu!Q19&gt;=Q$9,0,(Q$9-NhapLieu!Q19)/(Q$9-Q$8))))))</f>
        <v/>
      </c>
      <c r="R19" s="62" t="str">
        <f>IF(OR($C19="",NhapLieu!R19=""),"",IF(R$7="Cao hơn tốt hơn",IF(R$8&lt;=0,0,MIN(CauHinh!$C$6,NhapLieu!R19/R$8)),IF(NhapLieu!R19&lt;=R$8,1,IF(OR(R$9="",R$9&lt;=R$8),0,IF(NhapLieu!R19&gt;=R$9,0,(R$9-NhapLieu!R19)/(R$9-R$8))))))</f>
        <v/>
      </c>
      <c r="S19" s="45" t="str">
        <f>IF($C19="","",SUMPRODUCT(--(NhapLieu!E19:R19&lt;&gt;""),$E$10:$R$10))</f>
        <v/>
      </c>
      <c r="T19" s="76" t="str">
        <f>IF($C19="","",IF(CauHinh!$C$8="Quy đổi theo KPI có dữ liệu",IF(S19=0,0,1/S19),1))</f>
        <v/>
      </c>
      <c r="U19" s="77" t="str">
        <f>IF($C19="","",COUNT(NhapLieu!E19:R19))</f>
        <v/>
      </c>
    </row>
    <row r="20">
      <c r="A20" s="55">
        <f>NhapLieu!A20</f>
        <v>9</v>
      </c>
      <c r="B20" s="56" t="str">
        <f>IF(NhapLieu!$C20="","",NhapLieu!B20)</f>
        <v/>
      </c>
      <c r="C20" s="56" t="str">
        <f>IF(NhapLieu!$C20="","",NhapLieu!C20)</f>
        <v/>
      </c>
      <c r="D20" s="56" t="str">
        <f>IF(NhapLieu!$C20="","",NhapLieu!D20)</f>
        <v/>
      </c>
      <c r="E20" s="62" t="str">
        <f>IF(OR($C20="",NhapLieu!E20=""),"",IF(E$7="Cao hơn tốt hơn",IF(E$8&lt;=0,0,MIN(CauHinh!$C$6,NhapLieu!E20/E$8)),IF(NhapLieu!E20&lt;=E$8,1,IF(OR(E$9="",E$9&lt;=E$8),0,IF(NhapLieu!E20&gt;=E$9,0,(E$9-NhapLieu!E20)/(E$9-E$8))))))</f>
        <v/>
      </c>
      <c r="F20" s="62" t="str">
        <f>IF(OR($C20="",NhapLieu!F20=""),"",IF(F$7="Cao hơn tốt hơn",IF(F$8&lt;=0,0,MIN(CauHinh!$C$6,NhapLieu!F20/F$8)),IF(NhapLieu!F20&lt;=F$8,1,IF(OR(F$9="",F$9&lt;=F$8),0,IF(NhapLieu!F20&gt;=F$9,0,(F$9-NhapLieu!F20)/(F$9-F$8))))))</f>
        <v/>
      </c>
      <c r="G20" s="62" t="str">
        <f>IF(OR($C20="",NhapLieu!G20=""),"",IF(G$7="Cao hơn tốt hơn",IF(G$8&lt;=0,0,MIN(CauHinh!$C$6,NhapLieu!G20/G$8)),IF(NhapLieu!G20&lt;=G$8,1,IF(OR(G$9="",G$9&lt;=G$8),0,IF(NhapLieu!G20&gt;=G$9,0,(G$9-NhapLieu!G20)/(G$9-G$8))))))</f>
        <v/>
      </c>
      <c r="H20" s="62" t="str">
        <f>IF(OR($C20="",NhapLieu!H20=""),"",IF(H$7="Cao hơn tốt hơn",IF(H$8&lt;=0,0,MIN(CauHinh!$C$6,NhapLieu!H20/H$8)),IF(NhapLieu!H20&lt;=H$8,1,IF(OR(H$9="",H$9&lt;=H$8),0,IF(NhapLieu!H20&gt;=H$9,0,(H$9-NhapLieu!H20)/(H$9-H$8))))))</f>
        <v/>
      </c>
      <c r="I20" s="62" t="str">
        <f>IF(OR($C20="",NhapLieu!I20=""),"",IF(I$7="Cao hơn tốt hơn",IF(I$8&lt;=0,0,MIN(CauHinh!$C$6,NhapLieu!I20/I$8)),IF(NhapLieu!I20&lt;=I$8,1,IF(OR(I$9="",I$9&lt;=I$8),0,IF(NhapLieu!I20&gt;=I$9,0,(I$9-NhapLieu!I20)/(I$9-I$8))))))</f>
        <v/>
      </c>
      <c r="J20" s="62" t="str">
        <f>IF(OR($C20="",NhapLieu!J20=""),"",IF(J$7="Cao hơn tốt hơn",IF(J$8&lt;=0,0,MIN(CauHinh!$C$6,NhapLieu!J20/J$8)),IF(NhapLieu!J20&lt;=J$8,1,IF(OR(J$9="",J$9&lt;=J$8),0,IF(NhapLieu!J20&gt;=J$9,0,(J$9-NhapLieu!J20)/(J$9-J$8))))))</f>
        <v/>
      </c>
      <c r="K20" s="62" t="str">
        <f>IF(OR($C20="",NhapLieu!K20=""),"",IF(K$7="Cao hơn tốt hơn",IF(K$8&lt;=0,0,MIN(CauHinh!$C$6,NhapLieu!K20/K$8)),IF(NhapLieu!K20&lt;=K$8,1,IF(OR(K$9="",K$9&lt;=K$8),0,IF(NhapLieu!K20&gt;=K$9,0,(K$9-NhapLieu!K20)/(K$9-K$8))))))</f>
        <v/>
      </c>
      <c r="L20" s="62" t="str">
        <f>IF(OR($C20="",NhapLieu!L20=""),"",IF(L$7="Cao hơn tốt hơn",IF(L$8&lt;=0,0,MIN(CauHinh!$C$6,NhapLieu!L20/L$8)),IF(NhapLieu!L20&lt;=L$8,1,IF(OR(L$9="",L$9&lt;=L$8),0,IF(NhapLieu!L20&gt;=L$9,0,(L$9-NhapLieu!L20)/(L$9-L$8))))))</f>
        <v/>
      </c>
      <c r="M20" s="62" t="str">
        <f>IF(OR($C20="",NhapLieu!M20=""),"",IF(M$7="Cao hơn tốt hơn",IF(M$8&lt;=0,0,MIN(CauHinh!$C$6,NhapLieu!M20/M$8)),IF(NhapLieu!M20&lt;=M$8,1,IF(OR(M$9="",M$9&lt;=M$8),0,IF(NhapLieu!M20&gt;=M$9,0,(M$9-NhapLieu!M20)/(M$9-M$8))))))</f>
        <v/>
      </c>
      <c r="N20" s="62" t="str">
        <f>IF(OR($C20="",NhapLieu!N20=""),"",IF(N$7="Cao hơn tốt hơn",IF(N$8&lt;=0,0,MIN(CauHinh!$C$6,NhapLieu!N20/N$8)),IF(NhapLieu!N20&lt;=N$8,1,IF(OR(N$9="",N$9&lt;=N$8),0,IF(NhapLieu!N20&gt;=N$9,0,(N$9-NhapLieu!N20)/(N$9-N$8))))))</f>
        <v/>
      </c>
      <c r="O20" s="62" t="str">
        <f>IF(OR($C20="",NhapLieu!O20=""),"",IF(O$7="Cao hơn tốt hơn",IF(O$8&lt;=0,0,MIN(CauHinh!$C$6,NhapLieu!O20/O$8)),IF(NhapLieu!O20&lt;=O$8,1,IF(OR(O$9="",O$9&lt;=O$8),0,IF(NhapLieu!O20&gt;=O$9,0,(O$9-NhapLieu!O20)/(O$9-O$8))))))</f>
        <v/>
      </c>
      <c r="P20" s="62" t="str">
        <f>IF(OR($C20="",NhapLieu!P20=""),"",IF(P$7="Cao hơn tốt hơn",IF(P$8&lt;=0,0,MIN(CauHinh!$C$6,NhapLieu!P20/P$8)),IF(NhapLieu!P20&lt;=P$8,1,IF(OR(P$9="",P$9&lt;=P$8),0,IF(NhapLieu!P20&gt;=P$9,0,(P$9-NhapLieu!P20)/(P$9-P$8))))))</f>
        <v/>
      </c>
      <c r="Q20" s="62" t="str">
        <f>IF(OR($C20="",NhapLieu!Q20=""),"",IF(Q$7="Cao hơn tốt hơn",IF(Q$8&lt;=0,0,MIN(CauHinh!$C$6,NhapLieu!Q20/Q$8)),IF(NhapLieu!Q20&lt;=Q$8,1,IF(OR(Q$9="",Q$9&lt;=Q$8),0,IF(NhapLieu!Q20&gt;=Q$9,0,(Q$9-NhapLieu!Q20)/(Q$9-Q$8))))))</f>
        <v/>
      </c>
      <c r="R20" s="62" t="str">
        <f>IF(OR($C20="",NhapLieu!R20=""),"",IF(R$7="Cao hơn tốt hơn",IF(R$8&lt;=0,0,MIN(CauHinh!$C$6,NhapLieu!R20/R$8)),IF(NhapLieu!R20&lt;=R$8,1,IF(OR(R$9="",R$9&lt;=R$8),0,IF(NhapLieu!R20&gt;=R$9,0,(R$9-NhapLieu!R20)/(R$9-R$8))))))</f>
        <v/>
      </c>
      <c r="S20" s="45" t="str">
        <f>IF($C20="","",SUMPRODUCT(--(NhapLieu!E20:R20&lt;&gt;""),$E$10:$R$10))</f>
        <v/>
      </c>
      <c r="T20" s="76" t="str">
        <f>IF($C20="","",IF(CauHinh!$C$8="Quy đổi theo KPI có dữ liệu",IF(S20=0,0,1/S20),1))</f>
        <v/>
      </c>
      <c r="U20" s="77" t="str">
        <f>IF($C20="","",COUNT(NhapLieu!E20:R20))</f>
        <v/>
      </c>
    </row>
    <row r="21" ht="15.75" customHeight="1">
      <c r="A21" s="55">
        <f>NhapLieu!A21</f>
        <v>10</v>
      </c>
      <c r="B21" s="56" t="str">
        <f>IF(NhapLieu!$C21="","",NhapLieu!B21)</f>
        <v/>
      </c>
      <c r="C21" s="56" t="str">
        <f>IF(NhapLieu!$C21="","",NhapLieu!C21)</f>
        <v/>
      </c>
      <c r="D21" s="56" t="str">
        <f>IF(NhapLieu!$C21="","",NhapLieu!D21)</f>
        <v/>
      </c>
      <c r="E21" s="62" t="str">
        <f>IF(OR($C21="",NhapLieu!E21=""),"",IF(E$7="Cao hơn tốt hơn",IF(E$8&lt;=0,0,MIN(CauHinh!$C$6,NhapLieu!E21/E$8)),IF(NhapLieu!E21&lt;=E$8,1,IF(OR(E$9="",E$9&lt;=E$8),0,IF(NhapLieu!E21&gt;=E$9,0,(E$9-NhapLieu!E21)/(E$9-E$8))))))</f>
        <v/>
      </c>
      <c r="F21" s="62" t="str">
        <f>IF(OR($C21="",NhapLieu!F21=""),"",IF(F$7="Cao hơn tốt hơn",IF(F$8&lt;=0,0,MIN(CauHinh!$C$6,NhapLieu!F21/F$8)),IF(NhapLieu!F21&lt;=F$8,1,IF(OR(F$9="",F$9&lt;=F$8),0,IF(NhapLieu!F21&gt;=F$9,0,(F$9-NhapLieu!F21)/(F$9-F$8))))))</f>
        <v/>
      </c>
      <c r="G21" s="62" t="str">
        <f>IF(OR($C21="",NhapLieu!G21=""),"",IF(G$7="Cao hơn tốt hơn",IF(G$8&lt;=0,0,MIN(CauHinh!$C$6,NhapLieu!G21/G$8)),IF(NhapLieu!G21&lt;=G$8,1,IF(OR(G$9="",G$9&lt;=G$8),0,IF(NhapLieu!G21&gt;=G$9,0,(G$9-NhapLieu!G21)/(G$9-G$8))))))</f>
        <v/>
      </c>
      <c r="H21" s="62" t="str">
        <f>IF(OR($C21="",NhapLieu!H21=""),"",IF(H$7="Cao hơn tốt hơn",IF(H$8&lt;=0,0,MIN(CauHinh!$C$6,NhapLieu!H21/H$8)),IF(NhapLieu!H21&lt;=H$8,1,IF(OR(H$9="",H$9&lt;=H$8),0,IF(NhapLieu!H21&gt;=H$9,0,(H$9-NhapLieu!H21)/(H$9-H$8))))))</f>
        <v/>
      </c>
      <c r="I21" s="62" t="str">
        <f>IF(OR($C21="",NhapLieu!I21=""),"",IF(I$7="Cao hơn tốt hơn",IF(I$8&lt;=0,0,MIN(CauHinh!$C$6,NhapLieu!I21/I$8)),IF(NhapLieu!I21&lt;=I$8,1,IF(OR(I$9="",I$9&lt;=I$8),0,IF(NhapLieu!I21&gt;=I$9,0,(I$9-NhapLieu!I21)/(I$9-I$8))))))</f>
        <v/>
      </c>
      <c r="J21" s="62" t="str">
        <f>IF(OR($C21="",NhapLieu!J21=""),"",IF(J$7="Cao hơn tốt hơn",IF(J$8&lt;=0,0,MIN(CauHinh!$C$6,NhapLieu!J21/J$8)),IF(NhapLieu!J21&lt;=J$8,1,IF(OR(J$9="",J$9&lt;=J$8),0,IF(NhapLieu!J21&gt;=J$9,0,(J$9-NhapLieu!J21)/(J$9-J$8))))))</f>
        <v/>
      </c>
      <c r="K21" s="62" t="str">
        <f>IF(OR($C21="",NhapLieu!K21=""),"",IF(K$7="Cao hơn tốt hơn",IF(K$8&lt;=0,0,MIN(CauHinh!$C$6,NhapLieu!K21/K$8)),IF(NhapLieu!K21&lt;=K$8,1,IF(OR(K$9="",K$9&lt;=K$8),0,IF(NhapLieu!K21&gt;=K$9,0,(K$9-NhapLieu!K21)/(K$9-K$8))))))</f>
        <v/>
      </c>
      <c r="L21" s="62" t="str">
        <f>IF(OR($C21="",NhapLieu!L21=""),"",IF(L$7="Cao hơn tốt hơn",IF(L$8&lt;=0,0,MIN(CauHinh!$C$6,NhapLieu!L21/L$8)),IF(NhapLieu!L21&lt;=L$8,1,IF(OR(L$9="",L$9&lt;=L$8),0,IF(NhapLieu!L21&gt;=L$9,0,(L$9-NhapLieu!L21)/(L$9-L$8))))))</f>
        <v/>
      </c>
      <c r="M21" s="62" t="str">
        <f>IF(OR($C21="",NhapLieu!M21=""),"",IF(M$7="Cao hơn tốt hơn",IF(M$8&lt;=0,0,MIN(CauHinh!$C$6,NhapLieu!M21/M$8)),IF(NhapLieu!M21&lt;=M$8,1,IF(OR(M$9="",M$9&lt;=M$8),0,IF(NhapLieu!M21&gt;=M$9,0,(M$9-NhapLieu!M21)/(M$9-M$8))))))</f>
        <v/>
      </c>
      <c r="N21" s="62" t="str">
        <f>IF(OR($C21="",NhapLieu!N21=""),"",IF(N$7="Cao hơn tốt hơn",IF(N$8&lt;=0,0,MIN(CauHinh!$C$6,NhapLieu!N21/N$8)),IF(NhapLieu!N21&lt;=N$8,1,IF(OR(N$9="",N$9&lt;=N$8),0,IF(NhapLieu!N21&gt;=N$9,0,(N$9-NhapLieu!N21)/(N$9-N$8))))))</f>
        <v/>
      </c>
      <c r="O21" s="62" t="str">
        <f>IF(OR($C21="",NhapLieu!O21=""),"",IF(O$7="Cao hơn tốt hơn",IF(O$8&lt;=0,0,MIN(CauHinh!$C$6,NhapLieu!O21/O$8)),IF(NhapLieu!O21&lt;=O$8,1,IF(OR(O$9="",O$9&lt;=O$8),0,IF(NhapLieu!O21&gt;=O$9,0,(O$9-NhapLieu!O21)/(O$9-O$8))))))</f>
        <v/>
      </c>
      <c r="P21" s="62" t="str">
        <f>IF(OR($C21="",NhapLieu!P21=""),"",IF(P$7="Cao hơn tốt hơn",IF(P$8&lt;=0,0,MIN(CauHinh!$C$6,NhapLieu!P21/P$8)),IF(NhapLieu!P21&lt;=P$8,1,IF(OR(P$9="",P$9&lt;=P$8),0,IF(NhapLieu!P21&gt;=P$9,0,(P$9-NhapLieu!P21)/(P$9-P$8))))))</f>
        <v/>
      </c>
      <c r="Q21" s="62" t="str">
        <f>IF(OR($C21="",NhapLieu!Q21=""),"",IF(Q$7="Cao hơn tốt hơn",IF(Q$8&lt;=0,0,MIN(CauHinh!$C$6,NhapLieu!Q21/Q$8)),IF(NhapLieu!Q21&lt;=Q$8,1,IF(OR(Q$9="",Q$9&lt;=Q$8),0,IF(NhapLieu!Q21&gt;=Q$9,0,(Q$9-NhapLieu!Q21)/(Q$9-Q$8))))))</f>
        <v/>
      </c>
      <c r="R21" s="62" t="str">
        <f>IF(OR($C21="",NhapLieu!R21=""),"",IF(R$7="Cao hơn tốt hơn",IF(R$8&lt;=0,0,MIN(CauHinh!$C$6,NhapLieu!R21/R$8)),IF(NhapLieu!R21&lt;=R$8,1,IF(OR(R$9="",R$9&lt;=R$8),0,IF(NhapLieu!R21&gt;=R$9,0,(R$9-NhapLieu!R21)/(R$9-R$8))))))</f>
        <v/>
      </c>
      <c r="S21" s="45" t="str">
        <f>IF($C21="","",SUMPRODUCT(--(NhapLieu!E21:R21&lt;&gt;""),$E$10:$R$10))</f>
        <v/>
      </c>
      <c r="T21" s="76" t="str">
        <f>IF($C21="","",IF(CauHinh!$C$8="Quy đổi theo KPI có dữ liệu",IF(S21=0,0,1/S21),1))</f>
        <v/>
      </c>
      <c r="U21" s="77" t="str">
        <f>IF($C21="","",COUNT(NhapLieu!E21:R21))</f>
        <v/>
      </c>
    </row>
    <row r="22" ht="15.75" customHeight="1">
      <c r="A22" s="55">
        <f>NhapLieu!A22</f>
        <v>11</v>
      </c>
      <c r="B22" s="56" t="str">
        <f>IF(NhapLieu!$C22="","",NhapLieu!B22)</f>
        <v/>
      </c>
      <c r="C22" s="56" t="str">
        <f>IF(NhapLieu!$C22="","",NhapLieu!C22)</f>
        <v/>
      </c>
      <c r="D22" s="56" t="str">
        <f>IF(NhapLieu!$C22="","",NhapLieu!D22)</f>
        <v/>
      </c>
      <c r="E22" s="62" t="str">
        <f>IF(OR($C22="",NhapLieu!E22=""),"",IF(E$7="Cao hơn tốt hơn",IF(E$8&lt;=0,0,MIN(CauHinh!$C$6,NhapLieu!E22/E$8)),IF(NhapLieu!E22&lt;=E$8,1,IF(OR(E$9="",E$9&lt;=E$8),0,IF(NhapLieu!E22&gt;=E$9,0,(E$9-NhapLieu!E22)/(E$9-E$8))))))</f>
        <v/>
      </c>
      <c r="F22" s="62" t="str">
        <f>IF(OR($C22="",NhapLieu!F22=""),"",IF(F$7="Cao hơn tốt hơn",IF(F$8&lt;=0,0,MIN(CauHinh!$C$6,NhapLieu!F22/F$8)),IF(NhapLieu!F22&lt;=F$8,1,IF(OR(F$9="",F$9&lt;=F$8),0,IF(NhapLieu!F22&gt;=F$9,0,(F$9-NhapLieu!F22)/(F$9-F$8))))))</f>
        <v/>
      </c>
      <c r="G22" s="62" t="str">
        <f>IF(OR($C22="",NhapLieu!G22=""),"",IF(G$7="Cao hơn tốt hơn",IF(G$8&lt;=0,0,MIN(CauHinh!$C$6,NhapLieu!G22/G$8)),IF(NhapLieu!G22&lt;=G$8,1,IF(OR(G$9="",G$9&lt;=G$8),0,IF(NhapLieu!G22&gt;=G$9,0,(G$9-NhapLieu!G22)/(G$9-G$8))))))</f>
        <v/>
      </c>
      <c r="H22" s="62" t="str">
        <f>IF(OR($C22="",NhapLieu!H22=""),"",IF(H$7="Cao hơn tốt hơn",IF(H$8&lt;=0,0,MIN(CauHinh!$C$6,NhapLieu!H22/H$8)),IF(NhapLieu!H22&lt;=H$8,1,IF(OR(H$9="",H$9&lt;=H$8),0,IF(NhapLieu!H22&gt;=H$9,0,(H$9-NhapLieu!H22)/(H$9-H$8))))))</f>
        <v/>
      </c>
      <c r="I22" s="62" t="str">
        <f>IF(OR($C22="",NhapLieu!I22=""),"",IF(I$7="Cao hơn tốt hơn",IF(I$8&lt;=0,0,MIN(CauHinh!$C$6,NhapLieu!I22/I$8)),IF(NhapLieu!I22&lt;=I$8,1,IF(OR(I$9="",I$9&lt;=I$8),0,IF(NhapLieu!I22&gt;=I$9,0,(I$9-NhapLieu!I22)/(I$9-I$8))))))</f>
        <v/>
      </c>
      <c r="J22" s="62" t="str">
        <f>IF(OR($C22="",NhapLieu!J22=""),"",IF(J$7="Cao hơn tốt hơn",IF(J$8&lt;=0,0,MIN(CauHinh!$C$6,NhapLieu!J22/J$8)),IF(NhapLieu!J22&lt;=J$8,1,IF(OR(J$9="",J$9&lt;=J$8),0,IF(NhapLieu!J22&gt;=J$9,0,(J$9-NhapLieu!J22)/(J$9-J$8))))))</f>
        <v/>
      </c>
      <c r="K22" s="62" t="str">
        <f>IF(OR($C22="",NhapLieu!K22=""),"",IF(K$7="Cao hơn tốt hơn",IF(K$8&lt;=0,0,MIN(CauHinh!$C$6,NhapLieu!K22/K$8)),IF(NhapLieu!K22&lt;=K$8,1,IF(OR(K$9="",K$9&lt;=K$8),0,IF(NhapLieu!K22&gt;=K$9,0,(K$9-NhapLieu!K22)/(K$9-K$8))))))</f>
        <v/>
      </c>
      <c r="L22" s="62" t="str">
        <f>IF(OR($C22="",NhapLieu!L22=""),"",IF(L$7="Cao hơn tốt hơn",IF(L$8&lt;=0,0,MIN(CauHinh!$C$6,NhapLieu!L22/L$8)),IF(NhapLieu!L22&lt;=L$8,1,IF(OR(L$9="",L$9&lt;=L$8),0,IF(NhapLieu!L22&gt;=L$9,0,(L$9-NhapLieu!L22)/(L$9-L$8))))))</f>
        <v/>
      </c>
      <c r="M22" s="62" t="str">
        <f>IF(OR($C22="",NhapLieu!M22=""),"",IF(M$7="Cao hơn tốt hơn",IF(M$8&lt;=0,0,MIN(CauHinh!$C$6,NhapLieu!M22/M$8)),IF(NhapLieu!M22&lt;=M$8,1,IF(OR(M$9="",M$9&lt;=M$8),0,IF(NhapLieu!M22&gt;=M$9,0,(M$9-NhapLieu!M22)/(M$9-M$8))))))</f>
        <v/>
      </c>
      <c r="N22" s="62" t="str">
        <f>IF(OR($C22="",NhapLieu!N22=""),"",IF(N$7="Cao hơn tốt hơn",IF(N$8&lt;=0,0,MIN(CauHinh!$C$6,NhapLieu!N22/N$8)),IF(NhapLieu!N22&lt;=N$8,1,IF(OR(N$9="",N$9&lt;=N$8),0,IF(NhapLieu!N22&gt;=N$9,0,(N$9-NhapLieu!N22)/(N$9-N$8))))))</f>
        <v/>
      </c>
      <c r="O22" s="62" t="str">
        <f>IF(OR($C22="",NhapLieu!O22=""),"",IF(O$7="Cao hơn tốt hơn",IF(O$8&lt;=0,0,MIN(CauHinh!$C$6,NhapLieu!O22/O$8)),IF(NhapLieu!O22&lt;=O$8,1,IF(OR(O$9="",O$9&lt;=O$8),0,IF(NhapLieu!O22&gt;=O$9,0,(O$9-NhapLieu!O22)/(O$9-O$8))))))</f>
        <v/>
      </c>
      <c r="P22" s="62" t="str">
        <f>IF(OR($C22="",NhapLieu!P22=""),"",IF(P$7="Cao hơn tốt hơn",IF(P$8&lt;=0,0,MIN(CauHinh!$C$6,NhapLieu!P22/P$8)),IF(NhapLieu!P22&lt;=P$8,1,IF(OR(P$9="",P$9&lt;=P$8),0,IF(NhapLieu!P22&gt;=P$9,0,(P$9-NhapLieu!P22)/(P$9-P$8))))))</f>
        <v/>
      </c>
      <c r="Q22" s="62" t="str">
        <f>IF(OR($C22="",NhapLieu!Q22=""),"",IF(Q$7="Cao hơn tốt hơn",IF(Q$8&lt;=0,0,MIN(CauHinh!$C$6,NhapLieu!Q22/Q$8)),IF(NhapLieu!Q22&lt;=Q$8,1,IF(OR(Q$9="",Q$9&lt;=Q$8),0,IF(NhapLieu!Q22&gt;=Q$9,0,(Q$9-NhapLieu!Q22)/(Q$9-Q$8))))))</f>
        <v/>
      </c>
      <c r="R22" s="62" t="str">
        <f>IF(OR($C22="",NhapLieu!R22=""),"",IF(R$7="Cao hơn tốt hơn",IF(R$8&lt;=0,0,MIN(CauHinh!$C$6,NhapLieu!R22/R$8)),IF(NhapLieu!R22&lt;=R$8,1,IF(OR(R$9="",R$9&lt;=R$8),0,IF(NhapLieu!R22&gt;=R$9,0,(R$9-NhapLieu!R22)/(R$9-R$8))))))</f>
        <v/>
      </c>
      <c r="S22" s="45" t="str">
        <f>IF($C22="","",SUMPRODUCT(--(NhapLieu!E22:R22&lt;&gt;""),$E$10:$R$10))</f>
        <v/>
      </c>
      <c r="T22" s="76" t="str">
        <f>IF($C22="","",IF(CauHinh!$C$8="Quy đổi theo KPI có dữ liệu",IF(S22=0,0,1/S22),1))</f>
        <v/>
      </c>
      <c r="U22" s="77" t="str">
        <f>IF($C22="","",COUNT(NhapLieu!E22:R22))</f>
        <v/>
      </c>
    </row>
    <row r="23" ht="15.75" customHeight="1">
      <c r="A23" s="55">
        <f>NhapLieu!A23</f>
        <v>12</v>
      </c>
      <c r="B23" s="56" t="str">
        <f>IF(NhapLieu!$C23="","",NhapLieu!B23)</f>
        <v/>
      </c>
      <c r="C23" s="56" t="str">
        <f>IF(NhapLieu!$C23="","",NhapLieu!C23)</f>
        <v/>
      </c>
      <c r="D23" s="56" t="str">
        <f>IF(NhapLieu!$C23="","",NhapLieu!D23)</f>
        <v/>
      </c>
      <c r="E23" s="62" t="str">
        <f>IF(OR($C23="",NhapLieu!E23=""),"",IF(E$7="Cao hơn tốt hơn",IF(E$8&lt;=0,0,MIN(CauHinh!$C$6,NhapLieu!E23/E$8)),IF(NhapLieu!E23&lt;=E$8,1,IF(OR(E$9="",E$9&lt;=E$8),0,IF(NhapLieu!E23&gt;=E$9,0,(E$9-NhapLieu!E23)/(E$9-E$8))))))</f>
        <v/>
      </c>
      <c r="F23" s="62" t="str">
        <f>IF(OR($C23="",NhapLieu!F23=""),"",IF(F$7="Cao hơn tốt hơn",IF(F$8&lt;=0,0,MIN(CauHinh!$C$6,NhapLieu!F23/F$8)),IF(NhapLieu!F23&lt;=F$8,1,IF(OR(F$9="",F$9&lt;=F$8),0,IF(NhapLieu!F23&gt;=F$9,0,(F$9-NhapLieu!F23)/(F$9-F$8))))))</f>
        <v/>
      </c>
      <c r="G23" s="62" t="str">
        <f>IF(OR($C23="",NhapLieu!G23=""),"",IF(G$7="Cao hơn tốt hơn",IF(G$8&lt;=0,0,MIN(CauHinh!$C$6,NhapLieu!G23/G$8)),IF(NhapLieu!G23&lt;=G$8,1,IF(OR(G$9="",G$9&lt;=G$8),0,IF(NhapLieu!G23&gt;=G$9,0,(G$9-NhapLieu!G23)/(G$9-G$8))))))</f>
        <v/>
      </c>
      <c r="H23" s="62" t="str">
        <f>IF(OR($C23="",NhapLieu!H23=""),"",IF(H$7="Cao hơn tốt hơn",IF(H$8&lt;=0,0,MIN(CauHinh!$C$6,NhapLieu!H23/H$8)),IF(NhapLieu!H23&lt;=H$8,1,IF(OR(H$9="",H$9&lt;=H$8),0,IF(NhapLieu!H23&gt;=H$9,0,(H$9-NhapLieu!H23)/(H$9-H$8))))))</f>
        <v/>
      </c>
      <c r="I23" s="62" t="str">
        <f>IF(OR($C23="",NhapLieu!I23=""),"",IF(I$7="Cao hơn tốt hơn",IF(I$8&lt;=0,0,MIN(CauHinh!$C$6,NhapLieu!I23/I$8)),IF(NhapLieu!I23&lt;=I$8,1,IF(OR(I$9="",I$9&lt;=I$8),0,IF(NhapLieu!I23&gt;=I$9,0,(I$9-NhapLieu!I23)/(I$9-I$8))))))</f>
        <v/>
      </c>
      <c r="J23" s="62" t="str">
        <f>IF(OR($C23="",NhapLieu!J23=""),"",IF(J$7="Cao hơn tốt hơn",IF(J$8&lt;=0,0,MIN(CauHinh!$C$6,NhapLieu!J23/J$8)),IF(NhapLieu!J23&lt;=J$8,1,IF(OR(J$9="",J$9&lt;=J$8),0,IF(NhapLieu!J23&gt;=J$9,0,(J$9-NhapLieu!J23)/(J$9-J$8))))))</f>
        <v/>
      </c>
      <c r="K23" s="62" t="str">
        <f>IF(OR($C23="",NhapLieu!K23=""),"",IF(K$7="Cao hơn tốt hơn",IF(K$8&lt;=0,0,MIN(CauHinh!$C$6,NhapLieu!K23/K$8)),IF(NhapLieu!K23&lt;=K$8,1,IF(OR(K$9="",K$9&lt;=K$8),0,IF(NhapLieu!K23&gt;=K$9,0,(K$9-NhapLieu!K23)/(K$9-K$8))))))</f>
        <v/>
      </c>
      <c r="L23" s="62" t="str">
        <f>IF(OR($C23="",NhapLieu!L23=""),"",IF(L$7="Cao hơn tốt hơn",IF(L$8&lt;=0,0,MIN(CauHinh!$C$6,NhapLieu!L23/L$8)),IF(NhapLieu!L23&lt;=L$8,1,IF(OR(L$9="",L$9&lt;=L$8),0,IF(NhapLieu!L23&gt;=L$9,0,(L$9-NhapLieu!L23)/(L$9-L$8))))))</f>
        <v/>
      </c>
      <c r="M23" s="62" t="str">
        <f>IF(OR($C23="",NhapLieu!M23=""),"",IF(M$7="Cao hơn tốt hơn",IF(M$8&lt;=0,0,MIN(CauHinh!$C$6,NhapLieu!M23/M$8)),IF(NhapLieu!M23&lt;=M$8,1,IF(OR(M$9="",M$9&lt;=M$8),0,IF(NhapLieu!M23&gt;=M$9,0,(M$9-NhapLieu!M23)/(M$9-M$8))))))</f>
        <v/>
      </c>
      <c r="N23" s="62" t="str">
        <f>IF(OR($C23="",NhapLieu!N23=""),"",IF(N$7="Cao hơn tốt hơn",IF(N$8&lt;=0,0,MIN(CauHinh!$C$6,NhapLieu!N23/N$8)),IF(NhapLieu!N23&lt;=N$8,1,IF(OR(N$9="",N$9&lt;=N$8),0,IF(NhapLieu!N23&gt;=N$9,0,(N$9-NhapLieu!N23)/(N$9-N$8))))))</f>
        <v/>
      </c>
      <c r="O23" s="62" t="str">
        <f>IF(OR($C23="",NhapLieu!O23=""),"",IF(O$7="Cao hơn tốt hơn",IF(O$8&lt;=0,0,MIN(CauHinh!$C$6,NhapLieu!O23/O$8)),IF(NhapLieu!O23&lt;=O$8,1,IF(OR(O$9="",O$9&lt;=O$8),0,IF(NhapLieu!O23&gt;=O$9,0,(O$9-NhapLieu!O23)/(O$9-O$8))))))</f>
        <v/>
      </c>
      <c r="P23" s="62" t="str">
        <f>IF(OR($C23="",NhapLieu!P23=""),"",IF(P$7="Cao hơn tốt hơn",IF(P$8&lt;=0,0,MIN(CauHinh!$C$6,NhapLieu!P23/P$8)),IF(NhapLieu!P23&lt;=P$8,1,IF(OR(P$9="",P$9&lt;=P$8),0,IF(NhapLieu!P23&gt;=P$9,0,(P$9-NhapLieu!P23)/(P$9-P$8))))))</f>
        <v/>
      </c>
      <c r="Q23" s="62" t="str">
        <f>IF(OR($C23="",NhapLieu!Q23=""),"",IF(Q$7="Cao hơn tốt hơn",IF(Q$8&lt;=0,0,MIN(CauHinh!$C$6,NhapLieu!Q23/Q$8)),IF(NhapLieu!Q23&lt;=Q$8,1,IF(OR(Q$9="",Q$9&lt;=Q$8),0,IF(NhapLieu!Q23&gt;=Q$9,0,(Q$9-NhapLieu!Q23)/(Q$9-Q$8))))))</f>
        <v/>
      </c>
      <c r="R23" s="62" t="str">
        <f>IF(OR($C23="",NhapLieu!R23=""),"",IF(R$7="Cao hơn tốt hơn",IF(R$8&lt;=0,0,MIN(CauHinh!$C$6,NhapLieu!R23/R$8)),IF(NhapLieu!R23&lt;=R$8,1,IF(OR(R$9="",R$9&lt;=R$8),0,IF(NhapLieu!R23&gt;=R$9,0,(R$9-NhapLieu!R23)/(R$9-R$8))))))</f>
        <v/>
      </c>
      <c r="S23" s="45" t="str">
        <f>IF($C23="","",SUMPRODUCT(--(NhapLieu!E23:R23&lt;&gt;""),$E$10:$R$10))</f>
        <v/>
      </c>
      <c r="T23" s="76" t="str">
        <f>IF($C23="","",IF(CauHinh!$C$8="Quy đổi theo KPI có dữ liệu",IF(S23=0,0,1/S23),1))</f>
        <v/>
      </c>
      <c r="U23" s="77" t="str">
        <f>IF($C23="","",COUNT(NhapLieu!E23:R23))</f>
        <v/>
      </c>
    </row>
    <row r="24" ht="15.75" customHeight="1">
      <c r="A24" s="55">
        <f>NhapLieu!A24</f>
        <v>13</v>
      </c>
      <c r="B24" s="56" t="str">
        <f>IF(NhapLieu!$C24="","",NhapLieu!B24)</f>
        <v/>
      </c>
      <c r="C24" s="56" t="str">
        <f>IF(NhapLieu!$C24="","",NhapLieu!C24)</f>
        <v/>
      </c>
      <c r="D24" s="56" t="str">
        <f>IF(NhapLieu!$C24="","",NhapLieu!D24)</f>
        <v/>
      </c>
      <c r="E24" s="62" t="str">
        <f>IF(OR($C24="",NhapLieu!E24=""),"",IF(E$7="Cao hơn tốt hơn",IF(E$8&lt;=0,0,MIN(CauHinh!$C$6,NhapLieu!E24/E$8)),IF(NhapLieu!E24&lt;=E$8,1,IF(OR(E$9="",E$9&lt;=E$8),0,IF(NhapLieu!E24&gt;=E$9,0,(E$9-NhapLieu!E24)/(E$9-E$8))))))</f>
        <v/>
      </c>
      <c r="F24" s="62" t="str">
        <f>IF(OR($C24="",NhapLieu!F24=""),"",IF(F$7="Cao hơn tốt hơn",IF(F$8&lt;=0,0,MIN(CauHinh!$C$6,NhapLieu!F24/F$8)),IF(NhapLieu!F24&lt;=F$8,1,IF(OR(F$9="",F$9&lt;=F$8),0,IF(NhapLieu!F24&gt;=F$9,0,(F$9-NhapLieu!F24)/(F$9-F$8))))))</f>
        <v/>
      </c>
      <c r="G24" s="62" t="str">
        <f>IF(OR($C24="",NhapLieu!G24=""),"",IF(G$7="Cao hơn tốt hơn",IF(G$8&lt;=0,0,MIN(CauHinh!$C$6,NhapLieu!G24/G$8)),IF(NhapLieu!G24&lt;=G$8,1,IF(OR(G$9="",G$9&lt;=G$8),0,IF(NhapLieu!G24&gt;=G$9,0,(G$9-NhapLieu!G24)/(G$9-G$8))))))</f>
        <v/>
      </c>
      <c r="H24" s="62" t="str">
        <f>IF(OR($C24="",NhapLieu!H24=""),"",IF(H$7="Cao hơn tốt hơn",IF(H$8&lt;=0,0,MIN(CauHinh!$C$6,NhapLieu!H24/H$8)),IF(NhapLieu!H24&lt;=H$8,1,IF(OR(H$9="",H$9&lt;=H$8),0,IF(NhapLieu!H24&gt;=H$9,0,(H$9-NhapLieu!H24)/(H$9-H$8))))))</f>
        <v/>
      </c>
      <c r="I24" s="62" t="str">
        <f>IF(OR($C24="",NhapLieu!I24=""),"",IF(I$7="Cao hơn tốt hơn",IF(I$8&lt;=0,0,MIN(CauHinh!$C$6,NhapLieu!I24/I$8)),IF(NhapLieu!I24&lt;=I$8,1,IF(OR(I$9="",I$9&lt;=I$8),0,IF(NhapLieu!I24&gt;=I$9,0,(I$9-NhapLieu!I24)/(I$9-I$8))))))</f>
        <v/>
      </c>
      <c r="J24" s="62" t="str">
        <f>IF(OR($C24="",NhapLieu!J24=""),"",IF(J$7="Cao hơn tốt hơn",IF(J$8&lt;=0,0,MIN(CauHinh!$C$6,NhapLieu!J24/J$8)),IF(NhapLieu!J24&lt;=J$8,1,IF(OR(J$9="",J$9&lt;=J$8),0,IF(NhapLieu!J24&gt;=J$9,0,(J$9-NhapLieu!J24)/(J$9-J$8))))))</f>
        <v/>
      </c>
      <c r="K24" s="62" t="str">
        <f>IF(OR($C24="",NhapLieu!K24=""),"",IF(K$7="Cao hơn tốt hơn",IF(K$8&lt;=0,0,MIN(CauHinh!$C$6,NhapLieu!K24/K$8)),IF(NhapLieu!K24&lt;=K$8,1,IF(OR(K$9="",K$9&lt;=K$8),0,IF(NhapLieu!K24&gt;=K$9,0,(K$9-NhapLieu!K24)/(K$9-K$8))))))</f>
        <v/>
      </c>
      <c r="L24" s="62" t="str">
        <f>IF(OR($C24="",NhapLieu!L24=""),"",IF(L$7="Cao hơn tốt hơn",IF(L$8&lt;=0,0,MIN(CauHinh!$C$6,NhapLieu!L24/L$8)),IF(NhapLieu!L24&lt;=L$8,1,IF(OR(L$9="",L$9&lt;=L$8),0,IF(NhapLieu!L24&gt;=L$9,0,(L$9-NhapLieu!L24)/(L$9-L$8))))))</f>
        <v/>
      </c>
      <c r="M24" s="62" t="str">
        <f>IF(OR($C24="",NhapLieu!M24=""),"",IF(M$7="Cao hơn tốt hơn",IF(M$8&lt;=0,0,MIN(CauHinh!$C$6,NhapLieu!M24/M$8)),IF(NhapLieu!M24&lt;=M$8,1,IF(OR(M$9="",M$9&lt;=M$8),0,IF(NhapLieu!M24&gt;=M$9,0,(M$9-NhapLieu!M24)/(M$9-M$8))))))</f>
        <v/>
      </c>
      <c r="N24" s="62" t="str">
        <f>IF(OR($C24="",NhapLieu!N24=""),"",IF(N$7="Cao hơn tốt hơn",IF(N$8&lt;=0,0,MIN(CauHinh!$C$6,NhapLieu!N24/N$8)),IF(NhapLieu!N24&lt;=N$8,1,IF(OR(N$9="",N$9&lt;=N$8),0,IF(NhapLieu!N24&gt;=N$9,0,(N$9-NhapLieu!N24)/(N$9-N$8))))))</f>
        <v/>
      </c>
      <c r="O24" s="62" t="str">
        <f>IF(OR($C24="",NhapLieu!O24=""),"",IF(O$7="Cao hơn tốt hơn",IF(O$8&lt;=0,0,MIN(CauHinh!$C$6,NhapLieu!O24/O$8)),IF(NhapLieu!O24&lt;=O$8,1,IF(OR(O$9="",O$9&lt;=O$8),0,IF(NhapLieu!O24&gt;=O$9,0,(O$9-NhapLieu!O24)/(O$9-O$8))))))</f>
        <v/>
      </c>
      <c r="P24" s="62" t="str">
        <f>IF(OR($C24="",NhapLieu!P24=""),"",IF(P$7="Cao hơn tốt hơn",IF(P$8&lt;=0,0,MIN(CauHinh!$C$6,NhapLieu!P24/P$8)),IF(NhapLieu!P24&lt;=P$8,1,IF(OR(P$9="",P$9&lt;=P$8),0,IF(NhapLieu!P24&gt;=P$9,0,(P$9-NhapLieu!P24)/(P$9-P$8))))))</f>
        <v/>
      </c>
      <c r="Q24" s="62" t="str">
        <f>IF(OR($C24="",NhapLieu!Q24=""),"",IF(Q$7="Cao hơn tốt hơn",IF(Q$8&lt;=0,0,MIN(CauHinh!$C$6,NhapLieu!Q24/Q$8)),IF(NhapLieu!Q24&lt;=Q$8,1,IF(OR(Q$9="",Q$9&lt;=Q$8),0,IF(NhapLieu!Q24&gt;=Q$9,0,(Q$9-NhapLieu!Q24)/(Q$9-Q$8))))))</f>
        <v/>
      </c>
      <c r="R24" s="62" t="str">
        <f>IF(OR($C24="",NhapLieu!R24=""),"",IF(R$7="Cao hơn tốt hơn",IF(R$8&lt;=0,0,MIN(CauHinh!$C$6,NhapLieu!R24/R$8)),IF(NhapLieu!R24&lt;=R$8,1,IF(OR(R$9="",R$9&lt;=R$8),0,IF(NhapLieu!R24&gt;=R$9,0,(R$9-NhapLieu!R24)/(R$9-R$8))))))</f>
        <v/>
      </c>
      <c r="S24" s="45" t="str">
        <f>IF($C24="","",SUMPRODUCT(--(NhapLieu!E24:R24&lt;&gt;""),$E$10:$R$10))</f>
        <v/>
      </c>
      <c r="T24" s="76" t="str">
        <f>IF($C24="","",IF(CauHinh!$C$8="Quy đổi theo KPI có dữ liệu",IF(S24=0,0,1/S24),1))</f>
        <v/>
      </c>
      <c r="U24" s="77" t="str">
        <f>IF($C24="","",COUNT(NhapLieu!E24:R24))</f>
        <v/>
      </c>
    </row>
    <row r="25" ht="15.75" customHeight="1">
      <c r="A25" s="55">
        <f>NhapLieu!A25</f>
        <v>14</v>
      </c>
      <c r="B25" s="56" t="str">
        <f>IF(NhapLieu!$C25="","",NhapLieu!B25)</f>
        <v/>
      </c>
      <c r="C25" s="56" t="str">
        <f>IF(NhapLieu!$C25="","",NhapLieu!C25)</f>
        <v/>
      </c>
      <c r="D25" s="56" t="str">
        <f>IF(NhapLieu!$C25="","",NhapLieu!D25)</f>
        <v/>
      </c>
      <c r="E25" s="62" t="str">
        <f>IF(OR($C25="",NhapLieu!E25=""),"",IF(E$7="Cao hơn tốt hơn",IF(E$8&lt;=0,0,MIN(CauHinh!$C$6,NhapLieu!E25/E$8)),IF(NhapLieu!E25&lt;=E$8,1,IF(OR(E$9="",E$9&lt;=E$8),0,IF(NhapLieu!E25&gt;=E$9,0,(E$9-NhapLieu!E25)/(E$9-E$8))))))</f>
        <v/>
      </c>
      <c r="F25" s="62" t="str">
        <f>IF(OR($C25="",NhapLieu!F25=""),"",IF(F$7="Cao hơn tốt hơn",IF(F$8&lt;=0,0,MIN(CauHinh!$C$6,NhapLieu!F25/F$8)),IF(NhapLieu!F25&lt;=F$8,1,IF(OR(F$9="",F$9&lt;=F$8),0,IF(NhapLieu!F25&gt;=F$9,0,(F$9-NhapLieu!F25)/(F$9-F$8))))))</f>
        <v/>
      </c>
      <c r="G25" s="62" t="str">
        <f>IF(OR($C25="",NhapLieu!G25=""),"",IF(G$7="Cao hơn tốt hơn",IF(G$8&lt;=0,0,MIN(CauHinh!$C$6,NhapLieu!G25/G$8)),IF(NhapLieu!G25&lt;=G$8,1,IF(OR(G$9="",G$9&lt;=G$8),0,IF(NhapLieu!G25&gt;=G$9,0,(G$9-NhapLieu!G25)/(G$9-G$8))))))</f>
        <v/>
      </c>
      <c r="H25" s="62" t="str">
        <f>IF(OR($C25="",NhapLieu!H25=""),"",IF(H$7="Cao hơn tốt hơn",IF(H$8&lt;=0,0,MIN(CauHinh!$C$6,NhapLieu!H25/H$8)),IF(NhapLieu!H25&lt;=H$8,1,IF(OR(H$9="",H$9&lt;=H$8),0,IF(NhapLieu!H25&gt;=H$9,0,(H$9-NhapLieu!H25)/(H$9-H$8))))))</f>
        <v/>
      </c>
      <c r="I25" s="62" t="str">
        <f>IF(OR($C25="",NhapLieu!I25=""),"",IF(I$7="Cao hơn tốt hơn",IF(I$8&lt;=0,0,MIN(CauHinh!$C$6,NhapLieu!I25/I$8)),IF(NhapLieu!I25&lt;=I$8,1,IF(OR(I$9="",I$9&lt;=I$8),0,IF(NhapLieu!I25&gt;=I$9,0,(I$9-NhapLieu!I25)/(I$9-I$8))))))</f>
        <v/>
      </c>
      <c r="J25" s="62" t="str">
        <f>IF(OR($C25="",NhapLieu!J25=""),"",IF(J$7="Cao hơn tốt hơn",IF(J$8&lt;=0,0,MIN(CauHinh!$C$6,NhapLieu!J25/J$8)),IF(NhapLieu!J25&lt;=J$8,1,IF(OR(J$9="",J$9&lt;=J$8),0,IF(NhapLieu!J25&gt;=J$9,0,(J$9-NhapLieu!J25)/(J$9-J$8))))))</f>
        <v/>
      </c>
      <c r="K25" s="62" t="str">
        <f>IF(OR($C25="",NhapLieu!K25=""),"",IF(K$7="Cao hơn tốt hơn",IF(K$8&lt;=0,0,MIN(CauHinh!$C$6,NhapLieu!K25/K$8)),IF(NhapLieu!K25&lt;=K$8,1,IF(OR(K$9="",K$9&lt;=K$8),0,IF(NhapLieu!K25&gt;=K$9,0,(K$9-NhapLieu!K25)/(K$9-K$8))))))</f>
        <v/>
      </c>
      <c r="L25" s="62" t="str">
        <f>IF(OR($C25="",NhapLieu!L25=""),"",IF(L$7="Cao hơn tốt hơn",IF(L$8&lt;=0,0,MIN(CauHinh!$C$6,NhapLieu!L25/L$8)),IF(NhapLieu!L25&lt;=L$8,1,IF(OR(L$9="",L$9&lt;=L$8),0,IF(NhapLieu!L25&gt;=L$9,0,(L$9-NhapLieu!L25)/(L$9-L$8))))))</f>
        <v/>
      </c>
      <c r="M25" s="62" t="str">
        <f>IF(OR($C25="",NhapLieu!M25=""),"",IF(M$7="Cao hơn tốt hơn",IF(M$8&lt;=0,0,MIN(CauHinh!$C$6,NhapLieu!M25/M$8)),IF(NhapLieu!M25&lt;=M$8,1,IF(OR(M$9="",M$9&lt;=M$8),0,IF(NhapLieu!M25&gt;=M$9,0,(M$9-NhapLieu!M25)/(M$9-M$8))))))</f>
        <v/>
      </c>
      <c r="N25" s="62" t="str">
        <f>IF(OR($C25="",NhapLieu!N25=""),"",IF(N$7="Cao hơn tốt hơn",IF(N$8&lt;=0,0,MIN(CauHinh!$C$6,NhapLieu!N25/N$8)),IF(NhapLieu!N25&lt;=N$8,1,IF(OR(N$9="",N$9&lt;=N$8),0,IF(NhapLieu!N25&gt;=N$9,0,(N$9-NhapLieu!N25)/(N$9-N$8))))))</f>
        <v/>
      </c>
      <c r="O25" s="62" t="str">
        <f>IF(OR($C25="",NhapLieu!O25=""),"",IF(O$7="Cao hơn tốt hơn",IF(O$8&lt;=0,0,MIN(CauHinh!$C$6,NhapLieu!O25/O$8)),IF(NhapLieu!O25&lt;=O$8,1,IF(OR(O$9="",O$9&lt;=O$8),0,IF(NhapLieu!O25&gt;=O$9,0,(O$9-NhapLieu!O25)/(O$9-O$8))))))</f>
        <v/>
      </c>
      <c r="P25" s="62" t="str">
        <f>IF(OR($C25="",NhapLieu!P25=""),"",IF(P$7="Cao hơn tốt hơn",IF(P$8&lt;=0,0,MIN(CauHinh!$C$6,NhapLieu!P25/P$8)),IF(NhapLieu!P25&lt;=P$8,1,IF(OR(P$9="",P$9&lt;=P$8),0,IF(NhapLieu!P25&gt;=P$9,0,(P$9-NhapLieu!P25)/(P$9-P$8))))))</f>
        <v/>
      </c>
      <c r="Q25" s="62" t="str">
        <f>IF(OR($C25="",NhapLieu!Q25=""),"",IF(Q$7="Cao hơn tốt hơn",IF(Q$8&lt;=0,0,MIN(CauHinh!$C$6,NhapLieu!Q25/Q$8)),IF(NhapLieu!Q25&lt;=Q$8,1,IF(OR(Q$9="",Q$9&lt;=Q$8),0,IF(NhapLieu!Q25&gt;=Q$9,0,(Q$9-NhapLieu!Q25)/(Q$9-Q$8))))))</f>
        <v/>
      </c>
      <c r="R25" s="62" t="str">
        <f>IF(OR($C25="",NhapLieu!R25=""),"",IF(R$7="Cao hơn tốt hơn",IF(R$8&lt;=0,0,MIN(CauHinh!$C$6,NhapLieu!R25/R$8)),IF(NhapLieu!R25&lt;=R$8,1,IF(OR(R$9="",R$9&lt;=R$8),0,IF(NhapLieu!R25&gt;=R$9,0,(R$9-NhapLieu!R25)/(R$9-R$8))))))</f>
        <v/>
      </c>
      <c r="S25" s="45" t="str">
        <f>IF($C25="","",SUMPRODUCT(--(NhapLieu!E25:R25&lt;&gt;""),$E$10:$R$10))</f>
        <v/>
      </c>
      <c r="T25" s="76" t="str">
        <f>IF($C25="","",IF(CauHinh!$C$8="Quy đổi theo KPI có dữ liệu",IF(S25=0,0,1/S25),1))</f>
        <v/>
      </c>
      <c r="U25" s="77" t="str">
        <f>IF($C25="","",COUNT(NhapLieu!E25:R25))</f>
        <v/>
      </c>
    </row>
    <row r="26" ht="15.75" customHeight="1">
      <c r="A26" s="55">
        <f>NhapLieu!A26</f>
        <v>15</v>
      </c>
      <c r="B26" s="56" t="str">
        <f>IF(NhapLieu!$C26="","",NhapLieu!B26)</f>
        <v/>
      </c>
      <c r="C26" s="56" t="str">
        <f>IF(NhapLieu!$C26="","",NhapLieu!C26)</f>
        <v/>
      </c>
      <c r="D26" s="56" t="str">
        <f>IF(NhapLieu!$C26="","",NhapLieu!D26)</f>
        <v/>
      </c>
      <c r="E26" s="62" t="str">
        <f>IF(OR($C26="",NhapLieu!E26=""),"",IF(E$7="Cao hơn tốt hơn",IF(E$8&lt;=0,0,MIN(CauHinh!$C$6,NhapLieu!E26/E$8)),IF(NhapLieu!E26&lt;=E$8,1,IF(OR(E$9="",E$9&lt;=E$8),0,IF(NhapLieu!E26&gt;=E$9,0,(E$9-NhapLieu!E26)/(E$9-E$8))))))</f>
        <v/>
      </c>
      <c r="F26" s="62" t="str">
        <f>IF(OR($C26="",NhapLieu!F26=""),"",IF(F$7="Cao hơn tốt hơn",IF(F$8&lt;=0,0,MIN(CauHinh!$C$6,NhapLieu!F26/F$8)),IF(NhapLieu!F26&lt;=F$8,1,IF(OR(F$9="",F$9&lt;=F$8),0,IF(NhapLieu!F26&gt;=F$9,0,(F$9-NhapLieu!F26)/(F$9-F$8))))))</f>
        <v/>
      </c>
      <c r="G26" s="62" t="str">
        <f>IF(OR($C26="",NhapLieu!G26=""),"",IF(G$7="Cao hơn tốt hơn",IF(G$8&lt;=0,0,MIN(CauHinh!$C$6,NhapLieu!G26/G$8)),IF(NhapLieu!G26&lt;=G$8,1,IF(OR(G$9="",G$9&lt;=G$8),0,IF(NhapLieu!G26&gt;=G$9,0,(G$9-NhapLieu!G26)/(G$9-G$8))))))</f>
        <v/>
      </c>
      <c r="H26" s="62" t="str">
        <f>IF(OR($C26="",NhapLieu!H26=""),"",IF(H$7="Cao hơn tốt hơn",IF(H$8&lt;=0,0,MIN(CauHinh!$C$6,NhapLieu!H26/H$8)),IF(NhapLieu!H26&lt;=H$8,1,IF(OR(H$9="",H$9&lt;=H$8),0,IF(NhapLieu!H26&gt;=H$9,0,(H$9-NhapLieu!H26)/(H$9-H$8))))))</f>
        <v/>
      </c>
      <c r="I26" s="62" t="str">
        <f>IF(OR($C26="",NhapLieu!I26=""),"",IF(I$7="Cao hơn tốt hơn",IF(I$8&lt;=0,0,MIN(CauHinh!$C$6,NhapLieu!I26/I$8)),IF(NhapLieu!I26&lt;=I$8,1,IF(OR(I$9="",I$9&lt;=I$8),0,IF(NhapLieu!I26&gt;=I$9,0,(I$9-NhapLieu!I26)/(I$9-I$8))))))</f>
        <v/>
      </c>
      <c r="J26" s="62" t="str">
        <f>IF(OR($C26="",NhapLieu!J26=""),"",IF(J$7="Cao hơn tốt hơn",IF(J$8&lt;=0,0,MIN(CauHinh!$C$6,NhapLieu!J26/J$8)),IF(NhapLieu!J26&lt;=J$8,1,IF(OR(J$9="",J$9&lt;=J$8),0,IF(NhapLieu!J26&gt;=J$9,0,(J$9-NhapLieu!J26)/(J$9-J$8))))))</f>
        <v/>
      </c>
      <c r="K26" s="62" t="str">
        <f>IF(OR($C26="",NhapLieu!K26=""),"",IF(K$7="Cao hơn tốt hơn",IF(K$8&lt;=0,0,MIN(CauHinh!$C$6,NhapLieu!K26/K$8)),IF(NhapLieu!K26&lt;=K$8,1,IF(OR(K$9="",K$9&lt;=K$8),0,IF(NhapLieu!K26&gt;=K$9,0,(K$9-NhapLieu!K26)/(K$9-K$8))))))</f>
        <v/>
      </c>
      <c r="L26" s="62" t="str">
        <f>IF(OR($C26="",NhapLieu!L26=""),"",IF(L$7="Cao hơn tốt hơn",IF(L$8&lt;=0,0,MIN(CauHinh!$C$6,NhapLieu!L26/L$8)),IF(NhapLieu!L26&lt;=L$8,1,IF(OR(L$9="",L$9&lt;=L$8),0,IF(NhapLieu!L26&gt;=L$9,0,(L$9-NhapLieu!L26)/(L$9-L$8))))))</f>
        <v/>
      </c>
      <c r="M26" s="62" t="str">
        <f>IF(OR($C26="",NhapLieu!M26=""),"",IF(M$7="Cao hơn tốt hơn",IF(M$8&lt;=0,0,MIN(CauHinh!$C$6,NhapLieu!M26/M$8)),IF(NhapLieu!M26&lt;=M$8,1,IF(OR(M$9="",M$9&lt;=M$8),0,IF(NhapLieu!M26&gt;=M$9,0,(M$9-NhapLieu!M26)/(M$9-M$8))))))</f>
        <v/>
      </c>
      <c r="N26" s="62" t="str">
        <f>IF(OR($C26="",NhapLieu!N26=""),"",IF(N$7="Cao hơn tốt hơn",IF(N$8&lt;=0,0,MIN(CauHinh!$C$6,NhapLieu!N26/N$8)),IF(NhapLieu!N26&lt;=N$8,1,IF(OR(N$9="",N$9&lt;=N$8),0,IF(NhapLieu!N26&gt;=N$9,0,(N$9-NhapLieu!N26)/(N$9-N$8))))))</f>
        <v/>
      </c>
      <c r="O26" s="62" t="str">
        <f>IF(OR($C26="",NhapLieu!O26=""),"",IF(O$7="Cao hơn tốt hơn",IF(O$8&lt;=0,0,MIN(CauHinh!$C$6,NhapLieu!O26/O$8)),IF(NhapLieu!O26&lt;=O$8,1,IF(OR(O$9="",O$9&lt;=O$8),0,IF(NhapLieu!O26&gt;=O$9,0,(O$9-NhapLieu!O26)/(O$9-O$8))))))</f>
        <v/>
      </c>
      <c r="P26" s="62" t="str">
        <f>IF(OR($C26="",NhapLieu!P26=""),"",IF(P$7="Cao hơn tốt hơn",IF(P$8&lt;=0,0,MIN(CauHinh!$C$6,NhapLieu!P26/P$8)),IF(NhapLieu!P26&lt;=P$8,1,IF(OR(P$9="",P$9&lt;=P$8),0,IF(NhapLieu!P26&gt;=P$9,0,(P$9-NhapLieu!P26)/(P$9-P$8))))))</f>
        <v/>
      </c>
      <c r="Q26" s="62" t="str">
        <f>IF(OR($C26="",NhapLieu!Q26=""),"",IF(Q$7="Cao hơn tốt hơn",IF(Q$8&lt;=0,0,MIN(CauHinh!$C$6,NhapLieu!Q26/Q$8)),IF(NhapLieu!Q26&lt;=Q$8,1,IF(OR(Q$9="",Q$9&lt;=Q$8),0,IF(NhapLieu!Q26&gt;=Q$9,0,(Q$9-NhapLieu!Q26)/(Q$9-Q$8))))))</f>
        <v/>
      </c>
      <c r="R26" s="62" t="str">
        <f>IF(OR($C26="",NhapLieu!R26=""),"",IF(R$7="Cao hơn tốt hơn",IF(R$8&lt;=0,0,MIN(CauHinh!$C$6,NhapLieu!R26/R$8)),IF(NhapLieu!R26&lt;=R$8,1,IF(OR(R$9="",R$9&lt;=R$8),0,IF(NhapLieu!R26&gt;=R$9,0,(R$9-NhapLieu!R26)/(R$9-R$8))))))</f>
        <v/>
      </c>
      <c r="S26" s="45" t="str">
        <f>IF($C26="","",SUMPRODUCT(--(NhapLieu!E26:R26&lt;&gt;""),$E$10:$R$10))</f>
        <v/>
      </c>
      <c r="T26" s="76" t="str">
        <f>IF($C26="","",IF(CauHinh!$C$8="Quy đổi theo KPI có dữ liệu",IF(S26=0,0,1/S26),1))</f>
        <v/>
      </c>
      <c r="U26" s="77" t="str">
        <f>IF($C26="","",COUNT(NhapLieu!E26:R26))</f>
        <v/>
      </c>
    </row>
    <row r="27" ht="15.75" customHeight="1">
      <c r="A27" s="55">
        <f>NhapLieu!A27</f>
        <v>16</v>
      </c>
      <c r="B27" s="56" t="str">
        <f>IF(NhapLieu!$C27="","",NhapLieu!B27)</f>
        <v/>
      </c>
      <c r="C27" s="56" t="str">
        <f>IF(NhapLieu!$C27="","",NhapLieu!C27)</f>
        <v/>
      </c>
      <c r="D27" s="56" t="str">
        <f>IF(NhapLieu!$C27="","",NhapLieu!D27)</f>
        <v/>
      </c>
      <c r="E27" s="62" t="str">
        <f>IF(OR($C27="",NhapLieu!E27=""),"",IF(E$7="Cao hơn tốt hơn",IF(E$8&lt;=0,0,MIN(CauHinh!$C$6,NhapLieu!E27/E$8)),IF(NhapLieu!E27&lt;=E$8,1,IF(OR(E$9="",E$9&lt;=E$8),0,IF(NhapLieu!E27&gt;=E$9,0,(E$9-NhapLieu!E27)/(E$9-E$8))))))</f>
        <v/>
      </c>
      <c r="F27" s="62" t="str">
        <f>IF(OR($C27="",NhapLieu!F27=""),"",IF(F$7="Cao hơn tốt hơn",IF(F$8&lt;=0,0,MIN(CauHinh!$C$6,NhapLieu!F27/F$8)),IF(NhapLieu!F27&lt;=F$8,1,IF(OR(F$9="",F$9&lt;=F$8),0,IF(NhapLieu!F27&gt;=F$9,0,(F$9-NhapLieu!F27)/(F$9-F$8))))))</f>
        <v/>
      </c>
      <c r="G27" s="62" t="str">
        <f>IF(OR($C27="",NhapLieu!G27=""),"",IF(G$7="Cao hơn tốt hơn",IF(G$8&lt;=0,0,MIN(CauHinh!$C$6,NhapLieu!G27/G$8)),IF(NhapLieu!G27&lt;=G$8,1,IF(OR(G$9="",G$9&lt;=G$8),0,IF(NhapLieu!G27&gt;=G$9,0,(G$9-NhapLieu!G27)/(G$9-G$8))))))</f>
        <v/>
      </c>
      <c r="H27" s="62" t="str">
        <f>IF(OR($C27="",NhapLieu!H27=""),"",IF(H$7="Cao hơn tốt hơn",IF(H$8&lt;=0,0,MIN(CauHinh!$C$6,NhapLieu!H27/H$8)),IF(NhapLieu!H27&lt;=H$8,1,IF(OR(H$9="",H$9&lt;=H$8),0,IF(NhapLieu!H27&gt;=H$9,0,(H$9-NhapLieu!H27)/(H$9-H$8))))))</f>
        <v/>
      </c>
      <c r="I27" s="62" t="str">
        <f>IF(OR($C27="",NhapLieu!I27=""),"",IF(I$7="Cao hơn tốt hơn",IF(I$8&lt;=0,0,MIN(CauHinh!$C$6,NhapLieu!I27/I$8)),IF(NhapLieu!I27&lt;=I$8,1,IF(OR(I$9="",I$9&lt;=I$8),0,IF(NhapLieu!I27&gt;=I$9,0,(I$9-NhapLieu!I27)/(I$9-I$8))))))</f>
        <v/>
      </c>
      <c r="J27" s="62" t="str">
        <f>IF(OR($C27="",NhapLieu!J27=""),"",IF(J$7="Cao hơn tốt hơn",IF(J$8&lt;=0,0,MIN(CauHinh!$C$6,NhapLieu!J27/J$8)),IF(NhapLieu!J27&lt;=J$8,1,IF(OR(J$9="",J$9&lt;=J$8),0,IF(NhapLieu!J27&gt;=J$9,0,(J$9-NhapLieu!J27)/(J$9-J$8))))))</f>
        <v/>
      </c>
      <c r="K27" s="62" t="str">
        <f>IF(OR($C27="",NhapLieu!K27=""),"",IF(K$7="Cao hơn tốt hơn",IF(K$8&lt;=0,0,MIN(CauHinh!$C$6,NhapLieu!K27/K$8)),IF(NhapLieu!K27&lt;=K$8,1,IF(OR(K$9="",K$9&lt;=K$8),0,IF(NhapLieu!K27&gt;=K$9,0,(K$9-NhapLieu!K27)/(K$9-K$8))))))</f>
        <v/>
      </c>
      <c r="L27" s="62" t="str">
        <f>IF(OR($C27="",NhapLieu!L27=""),"",IF(L$7="Cao hơn tốt hơn",IF(L$8&lt;=0,0,MIN(CauHinh!$C$6,NhapLieu!L27/L$8)),IF(NhapLieu!L27&lt;=L$8,1,IF(OR(L$9="",L$9&lt;=L$8),0,IF(NhapLieu!L27&gt;=L$9,0,(L$9-NhapLieu!L27)/(L$9-L$8))))))</f>
        <v/>
      </c>
      <c r="M27" s="62" t="str">
        <f>IF(OR($C27="",NhapLieu!M27=""),"",IF(M$7="Cao hơn tốt hơn",IF(M$8&lt;=0,0,MIN(CauHinh!$C$6,NhapLieu!M27/M$8)),IF(NhapLieu!M27&lt;=M$8,1,IF(OR(M$9="",M$9&lt;=M$8),0,IF(NhapLieu!M27&gt;=M$9,0,(M$9-NhapLieu!M27)/(M$9-M$8))))))</f>
        <v/>
      </c>
      <c r="N27" s="62" t="str">
        <f>IF(OR($C27="",NhapLieu!N27=""),"",IF(N$7="Cao hơn tốt hơn",IF(N$8&lt;=0,0,MIN(CauHinh!$C$6,NhapLieu!N27/N$8)),IF(NhapLieu!N27&lt;=N$8,1,IF(OR(N$9="",N$9&lt;=N$8),0,IF(NhapLieu!N27&gt;=N$9,0,(N$9-NhapLieu!N27)/(N$9-N$8))))))</f>
        <v/>
      </c>
      <c r="O27" s="62" t="str">
        <f>IF(OR($C27="",NhapLieu!O27=""),"",IF(O$7="Cao hơn tốt hơn",IF(O$8&lt;=0,0,MIN(CauHinh!$C$6,NhapLieu!O27/O$8)),IF(NhapLieu!O27&lt;=O$8,1,IF(OR(O$9="",O$9&lt;=O$8),0,IF(NhapLieu!O27&gt;=O$9,0,(O$9-NhapLieu!O27)/(O$9-O$8))))))</f>
        <v/>
      </c>
      <c r="P27" s="62" t="str">
        <f>IF(OR($C27="",NhapLieu!P27=""),"",IF(P$7="Cao hơn tốt hơn",IF(P$8&lt;=0,0,MIN(CauHinh!$C$6,NhapLieu!P27/P$8)),IF(NhapLieu!P27&lt;=P$8,1,IF(OR(P$9="",P$9&lt;=P$8),0,IF(NhapLieu!P27&gt;=P$9,0,(P$9-NhapLieu!P27)/(P$9-P$8))))))</f>
        <v/>
      </c>
      <c r="Q27" s="62" t="str">
        <f>IF(OR($C27="",NhapLieu!Q27=""),"",IF(Q$7="Cao hơn tốt hơn",IF(Q$8&lt;=0,0,MIN(CauHinh!$C$6,NhapLieu!Q27/Q$8)),IF(NhapLieu!Q27&lt;=Q$8,1,IF(OR(Q$9="",Q$9&lt;=Q$8),0,IF(NhapLieu!Q27&gt;=Q$9,0,(Q$9-NhapLieu!Q27)/(Q$9-Q$8))))))</f>
        <v/>
      </c>
      <c r="R27" s="62" t="str">
        <f>IF(OR($C27="",NhapLieu!R27=""),"",IF(R$7="Cao hơn tốt hơn",IF(R$8&lt;=0,0,MIN(CauHinh!$C$6,NhapLieu!R27/R$8)),IF(NhapLieu!R27&lt;=R$8,1,IF(OR(R$9="",R$9&lt;=R$8),0,IF(NhapLieu!R27&gt;=R$9,0,(R$9-NhapLieu!R27)/(R$9-R$8))))))</f>
        <v/>
      </c>
      <c r="S27" s="45" t="str">
        <f>IF($C27="","",SUMPRODUCT(--(NhapLieu!E27:R27&lt;&gt;""),$E$10:$R$10))</f>
        <v/>
      </c>
      <c r="T27" s="76" t="str">
        <f>IF($C27="","",IF(CauHinh!$C$8="Quy đổi theo KPI có dữ liệu",IF(S27=0,0,1/S27),1))</f>
        <v/>
      </c>
      <c r="U27" s="77" t="str">
        <f>IF($C27="","",COUNT(NhapLieu!E27:R27))</f>
        <v/>
      </c>
    </row>
    <row r="28" ht="15.75" customHeight="1">
      <c r="A28" s="55">
        <f>NhapLieu!A28</f>
        <v>17</v>
      </c>
      <c r="B28" s="56" t="str">
        <f>IF(NhapLieu!$C28="","",NhapLieu!B28)</f>
        <v/>
      </c>
      <c r="C28" s="56" t="str">
        <f>IF(NhapLieu!$C28="","",NhapLieu!C28)</f>
        <v/>
      </c>
      <c r="D28" s="56" t="str">
        <f>IF(NhapLieu!$C28="","",NhapLieu!D28)</f>
        <v/>
      </c>
      <c r="E28" s="62" t="str">
        <f>IF(OR($C28="",NhapLieu!E28=""),"",IF(E$7="Cao hơn tốt hơn",IF(E$8&lt;=0,0,MIN(CauHinh!$C$6,NhapLieu!E28/E$8)),IF(NhapLieu!E28&lt;=E$8,1,IF(OR(E$9="",E$9&lt;=E$8),0,IF(NhapLieu!E28&gt;=E$9,0,(E$9-NhapLieu!E28)/(E$9-E$8))))))</f>
        <v/>
      </c>
      <c r="F28" s="62" t="str">
        <f>IF(OR($C28="",NhapLieu!F28=""),"",IF(F$7="Cao hơn tốt hơn",IF(F$8&lt;=0,0,MIN(CauHinh!$C$6,NhapLieu!F28/F$8)),IF(NhapLieu!F28&lt;=F$8,1,IF(OR(F$9="",F$9&lt;=F$8),0,IF(NhapLieu!F28&gt;=F$9,0,(F$9-NhapLieu!F28)/(F$9-F$8))))))</f>
        <v/>
      </c>
      <c r="G28" s="62" t="str">
        <f>IF(OR($C28="",NhapLieu!G28=""),"",IF(G$7="Cao hơn tốt hơn",IF(G$8&lt;=0,0,MIN(CauHinh!$C$6,NhapLieu!G28/G$8)),IF(NhapLieu!G28&lt;=G$8,1,IF(OR(G$9="",G$9&lt;=G$8),0,IF(NhapLieu!G28&gt;=G$9,0,(G$9-NhapLieu!G28)/(G$9-G$8))))))</f>
        <v/>
      </c>
      <c r="H28" s="62" t="str">
        <f>IF(OR($C28="",NhapLieu!H28=""),"",IF(H$7="Cao hơn tốt hơn",IF(H$8&lt;=0,0,MIN(CauHinh!$C$6,NhapLieu!H28/H$8)),IF(NhapLieu!H28&lt;=H$8,1,IF(OR(H$9="",H$9&lt;=H$8),0,IF(NhapLieu!H28&gt;=H$9,0,(H$9-NhapLieu!H28)/(H$9-H$8))))))</f>
        <v/>
      </c>
      <c r="I28" s="62" t="str">
        <f>IF(OR($C28="",NhapLieu!I28=""),"",IF(I$7="Cao hơn tốt hơn",IF(I$8&lt;=0,0,MIN(CauHinh!$C$6,NhapLieu!I28/I$8)),IF(NhapLieu!I28&lt;=I$8,1,IF(OR(I$9="",I$9&lt;=I$8),0,IF(NhapLieu!I28&gt;=I$9,0,(I$9-NhapLieu!I28)/(I$9-I$8))))))</f>
        <v/>
      </c>
      <c r="J28" s="62" t="str">
        <f>IF(OR($C28="",NhapLieu!J28=""),"",IF(J$7="Cao hơn tốt hơn",IF(J$8&lt;=0,0,MIN(CauHinh!$C$6,NhapLieu!J28/J$8)),IF(NhapLieu!J28&lt;=J$8,1,IF(OR(J$9="",J$9&lt;=J$8),0,IF(NhapLieu!J28&gt;=J$9,0,(J$9-NhapLieu!J28)/(J$9-J$8))))))</f>
        <v/>
      </c>
      <c r="K28" s="62" t="str">
        <f>IF(OR($C28="",NhapLieu!K28=""),"",IF(K$7="Cao hơn tốt hơn",IF(K$8&lt;=0,0,MIN(CauHinh!$C$6,NhapLieu!K28/K$8)),IF(NhapLieu!K28&lt;=K$8,1,IF(OR(K$9="",K$9&lt;=K$8),0,IF(NhapLieu!K28&gt;=K$9,0,(K$9-NhapLieu!K28)/(K$9-K$8))))))</f>
        <v/>
      </c>
      <c r="L28" s="62" t="str">
        <f>IF(OR($C28="",NhapLieu!L28=""),"",IF(L$7="Cao hơn tốt hơn",IF(L$8&lt;=0,0,MIN(CauHinh!$C$6,NhapLieu!L28/L$8)),IF(NhapLieu!L28&lt;=L$8,1,IF(OR(L$9="",L$9&lt;=L$8),0,IF(NhapLieu!L28&gt;=L$9,0,(L$9-NhapLieu!L28)/(L$9-L$8))))))</f>
        <v/>
      </c>
      <c r="M28" s="62" t="str">
        <f>IF(OR($C28="",NhapLieu!M28=""),"",IF(M$7="Cao hơn tốt hơn",IF(M$8&lt;=0,0,MIN(CauHinh!$C$6,NhapLieu!M28/M$8)),IF(NhapLieu!M28&lt;=M$8,1,IF(OR(M$9="",M$9&lt;=M$8),0,IF(NhapLieu!M28&gt;=M$9,0,(M$9-NhapLieu!M28)/(M$9-M$8))))))</f>
        <v/>
      </c>
      <c r="N28" s="62" t="str">
        <f>IF(OR($C28="",NhapLieu!N28=""),"",IF(N$7="Cao hơn tốt hơn",IF(N$8&lt;=0,0,MIN(CauHinh!$C$6,NhapLieu!N28/N$8)),IF(NhapLieu!N28&lt;=N$8,1,IF(OR(N$9="",N$9&lt;=N$8),0,IF(NhapLieu!N28&gt;=N$9,0,(N$9-NhapLieu!N28)/(N$9-N$8))))))</f>
        <v/>
      </c>
      <c r="O28" s="62" t="str">
        <f>IF(OR($C28="",NhapLieu!O28=""),"",IF(O$7="Cao hơn tốt hơn",IF(O$8&lt;=0,0,MIN(CauHinh!$C$6,NhapLieu!O28/O$8)),IF(NhapLieu!O28&lt;=O$8,1,IF(OR(O$9="",O$9&lt;=O$8),0,IF(NhapLieu!O28&gt;=O$9,0,(O$9-NhapLieu!O28)/(O$9-O$8))))))</f>
        <v/>
      </c>
      <c r="P28" s="62" t="str">
        <f>IF(OR($C28="",NhapLieu!P28=""),"",IF(P$7="Cao hơn tốt hơn",IF(P$8&lt;=0,0,MIN(CauHinh!$C$6,NhapLieu!P28/P$8)),IF(NhapLieu!P28&lt;=P$8,1,IF(OR(P$9="",P$9&lt;=P$8),0,IF(NhapLieu!P28&gt;=P$9,0,(P$9-NhapLieu!P28)/(P$9-P$8))))))</f>
        <v/>
      </c>
      <c r="Q28" s="62" t="str">
        <f>IF(OR($C28="",NhapLieu!Q28=""),"",IF(Q$7="Cao hơn tốt hơn",IF(Q$8&lt;=0,0,MIN(CauHinh!$C$6,NhapLieu!Q28/Q$8)),IF(NhapLieu!Q28&lt;=Q$8,1,IF(OR(Q$9="",Q$9&lt;=Q$8),0,IF(NhapLieu!Q28&gt;=Q$9,0,(Q$9-NhapLieu!Q28)/(Q$9-Q$8))))))</f>
        <v/>
      </c>
      <c r="R28" s="62" t="str">
        <f>IF(OR($C28="",NhapLieu!R28=""),"",IF(R$7="Cao hơn tốt hơn",IF(R$8&lt;=0,0,MIN(CauHinh!$C$6,NhapLieu!R28/R$8)),IF(NhapLieu!R28&lt;=R$8,1,IF(OR(R$9="",R$9&lt;=R$8),0,IF(NhapLieu!R28&gt;=R$9,0,(R$9-NhapLieu!R28)/(R$9-R$8))))))</f>
        <v/>
      </c>
      <c r="S28" s="45" t="str">
        <f>IF($C28="","",SUMPRODUCT(--(NhapLieu!E28:R28&lt;&gt;""),$E$10:$R$10))</f>
        <v/>
      </c>
      <c r="T28" s="76" t="str">
        <f>IF($C28="","",IF(CauHinh!$C$8="Quy đổi theo KPI có dữ liệu",IF(S28=0,0,1/S28),1))</f>
        <v/>
      </c>
      <c r="U28" s="77" t="str">
        <f>IF($C28="","",COUNT(NhapLieu!E28:R28))</f>
        <v/>
      </c>
    </row>
    <row r="29" ht="15.75" customHeight="1">
      <c r="A29" s="55">
        <f>NhapLieu!A29</f>
        <v>18</v>
      </c>
      <c r="B29" s="56" t="str">
        <f>IF(NhapLieu!$C29="","",NhapLieu!B29)</f>
        <v/>
      </c>
      <c r="C29" s="56" t="str">
        <f>IF(NhapLieu!$C29="","",NhapLieu!C29)</f>
        <v/>
      </c>
      <c r="D29" s="56" t="str">
        <f>IF(NhapLieu!$C29="","",NhapLieu!D29)</f>
        <v/>
      </c>
      <c r="E29" s="62" t="str">
        <f>IF(OR($C29="",NhapLieu!E29=""),"",IF(E$7="Cao hơn tốt hơn",IF(E$8&lt;=0,0,MIN(CauHinh!$C$6,NhapLieu!E29/E$8)),IF(NhapLieu!E29&lt;=E$8,1,IF(OR(E$9="",E$9&lt;=E$8),0,IF(NhapLieu!E29&gt;=E$9,0,(E$9-NhapLieu!E29)/(E$9-E$8))))))</f>
        <v/>
      </c>
      <c r="F29" s="62" t="str">
        <f>IF(OR($C29="",NhapLieu!F29=""),"",IF(F$7="Cao hơn tốt hơn",IF(F$8&lt;=0,0,MIN(CauHinh!$C$6,NhapLieu!F29/F$8)),IF(NhapLieu!F29&lt;=F$8,1,IF(OR(F$9="",F$9&lt;=F$8),0,IF(NhapLieu!F29&gt;=F$9,0,(F$9-NhapLieu!F29)/(F$9-F$8))))))</f>
        <v/>
      </c>
      <c r="G29" s="62" t="str">
        <f>IF(OR($C29="",NhapLieu!G29=""),"",IF(G$7="Cao hơn tốt hơn",IF(G$8&lt;=0,0,MIN(CauHinh!$C$6,NhapLieu!G29/G$8)),IF(NhapLieu!G29&lt;=G$8,1,IF(OR(G$9="",G$9&lt;=G$8),0,IF(NhapLieu!G29&gt;=G$9,0,(G$9-NhapLieu!G29)/(G$9-G$8))))))</f>
        <v/>
      </c>
      <c r="H29" s="62" t="str">
        <f>IF(OR($C29="",NhapLieu!H29=""),"",IF(H$7="Cao hơn tốt hơn",IF(H$8&lt;=0,0,MIN(CauHinh!$C$6,NhapLieu!H29/H$8)),IF(NhapLieu!H29&lt;=H$8,1,IF(OR(H$9="",H$9&lt;=H$8),0,IF(NhapLieu!H29&gt;=H$9,0,(H$9-NhapLieu!H29)/(H$9-H$8))))))</f>
        <v/>
      </c>
      <c r="I29" s="62" t="str">
        <f>IF(OR($C29="",NhapLieu!I29=""),"",IF(I$7="Cao hơn tốt hơn",IF(I$8&lt;=0,0,MIN(CauHinh!$C$6,NhapLieu!I29/I$8)),IF(NhapLieu!I29&lt;=I$8,1,IF(OR(I$9="",I$9&lt;=I$8),0,IF(NhapLieu!I29&gt;=I$9,0,(I$9-NhapLieu!I29)/(I$9-I$8))))))</f>
        <v/>
      </c>
      <c r="J29" s="62" t="str">
        <f>IF(OR($C29="",NhapLieu!J29=""),"",IF(J$7="Cao hơn tốt hơn",IF(J$8&lt;=0,0,MIN(CauHinh!$C$6,NhapLieu!J29/J$8)),IF(NhapLieu!J29&lt;=J$8,1,IF(OR(J$9="",J$9&lt;=J$8),0,IF(NhapLieu!J29&gt;=J$9,0,(J$9-NhapLieu!J29)/(J$9-J$8))))))</f>
        <v/>
      </c>
      <c r="K29" s="62" t="str">
        <f>IF(OR($C29="",NhapLieu!K29=""),"",IF(K$7="Cao hơn tốt hơn",IF(K$8&lt;=0,0,MIN(CauHinh!$C$6,NhapLieu!K29/K$8)),IF(NhapLieu!K29&lt;=K$8,1,IF(OR(K$9="",K$9&lt;=K$8),0,IF(NhapLieu!K29&gt;=K$9,0,(K$9-NhapLieu!K29)/(K$9-K$8))))))</f>
        <v/>
      </c>
      <c r="L29" s="62" t="str">
        <f>IF(OR($C29="",NhapLieu!L29=""),"",IF(L$7="Cao hơn tốt hơn",IF(L$8&lt;=0,0,MIN(CauHinh!$C$6,NhapLieu!L29/L$8)),IF(NhapLieu!L29&lt;=L$8,1,IF(OR(L$9="",L$9&lt;=L$8),0,IF(NhapLieu!L29&gt;=L$9,0,(L$9-NhapLieu!L29)/(L$9-L$8))))))</f>
        <v/>
      </c>
      <c r="M29" s="62" t="str">
        <f>IF(OR($C29="",NhapLieu!M29=""),"",IF(M$7="Cao hơn tốt hơn",IF(M$8&lt;=0,0,MIN(CauHinh!$C$6,NhapLieu!M29/M$8)),IF(NhapLieu!M29&lt;=M$8,1,IF(OR(M$9="",M$9&lt;=M$8),0,IF(NhapLieu!M29&gt;=M$9,0,(M$9-NhapLieu!M29)/(M$9-M$8))))))</f>
        <v/>
      </c>
      <c r="N29" s="62" t="str">
        <f>IF(OR($C29="",NhapLieu!N29=""),"",IF(N$7="Cao hơn tốt hơn",IF(N$8&lt;=0,0,MIN(CauHinh!$C$6,NhapLieu!N29/N$8)),IF(NhapLieu!N29&lt;=N$8,1,IF(OR(N$9="",N$9&lt;=N$8),0,IF(NhapLieu!N29&gt;=N$9,0,(N$9-NhapLieu!N29)/(N$9-N$8))))))</f>
        <v/>
      </c>
      <c r="O29" s="62" t="str">
        <f>IF(OR($C29="",NhapLieu!O29=""),"",IF(O$7="Cao hơn tốt hơn",IF(O$8&lt;=0,0,MIN(CauHinh!$C$6,NhapLieu!O29/O$8)),IF(NhapLieu!O29&lt;=O$8,1,IF(OR(O$9="",O$9&lt;=O$8),0,IF(NhapLieu!O29&gt;=O$9,0,(O$9-NhapLieu!O29)/(O$9-O$8))))))</f>
        <v/>
      </c>
      <c r="P29" s="62" t="str">
        <f>IF(OR($C29="",NhapLieu!P29=""),"",IF(P$7="Cao hơn tốt hơn",IF(P$8&lt;=0,0,MIN(CauHinh!$C$6,NhapLieu!P29/P$8)),IF(NhapLieu!P29&lt;=P$8,1,IF(OR(P$9="",P$9&lt;=P$8),0,IF(NhapLieu!P29&gt;=P$9,0,(P$9-NhapLieu!P29)/(P$9-P$8))))))</f>
        <v/>
      </c>
      <c r="Q29" s="62" t="str">
        <f>IF(OR($C29="",NhapLieu!Q29=""),"",IF(Q$7="Cao hơn tốt hơn",IF(Q$8&lt;=0,0,MIN(CauHinh!$C$6,NhapLieu!Q29/Q$8)),IF(NhapLieu!Q29&lt;=Q$8,1,IF(OR(Q$9="",Q$9&lt;=Q$8),0,IF(NhapLieu!Q29&gt;=Q$9,0,(Q$9-NhapLieu!Q29)/(Q$9-Q$8))))))</f>
        <v/>
      </c>
      <c r="R29" s="62" t="str">
        <f>IF(OR($C29="",NhapLieu!R29=""),"",IF(R$7="Cao hơn tốt hơn",IF(R$8&lt;=0,0,MIN(CauHinh!$C$6,NhapLieu!R29/R$8)),IF(NhapLieu!R29&lt;=R$8,1,IF(OR(R$9="",R$9&lt;=R$8),0,IF(NhapLieu!R29&gt;=R$9,0,(R$9-NhapLieu!R29)/(R$9-R$8))))))</f>
        <v/>
      </c>
      <c r="S29" s="45" t="str">
        <f>IF($C29="","",SUMPRODUCT(--(NhapLieu!E29:R29&lt;&gt;""),$E$10:$R$10))</f>
        <v/>
      </c>
      <c r="T29" s="76" t="str">
        <f>IF($C29="","",IF(CauHinh!$C$8="Quy đổi theo KPI có dữ liệu",IF(S29=0,0,1/S29),1))</f>
        <v/>
      </c>
      <c r="U29" s="77" t="str">
        <f>IF($C29="","",COUNT(NhapLieu!E29:R29))</f>
        <v/>
      </c>
    </row>
    <row r="30" ht="15.75" customHeight="1">
      <c r="A30" s="55">
        <f>NhapLieu!A30</f>
        <v>19</v>
      </c>
      <c r="B30" s="56" t="str">
        <f>IF(NhapLieu!$C30="","",NhapLieu!B30)</f>
        <v/>
      </c>
      <c r="C30" s="56" t="str">
        <f>IF(NhapLieu!$C30="","",NhapLieu!C30)</f>
        <v/>
      </c>
      <c r="D30" s="56" t="str">
        <f>IF(NhapLieu!$C30="","",NhapLieu!D30)</f>
        <v/>
      </c>
      <c r="E30" s="62" t="str">
        <f>IF(OR($C30="",NhapLieu!E30=""),"",IF(E$7="Cao hơn tốt hơn",IF(E$8&lt;=0,0,MIN(CauHinh!$C$6,NhapLieu!E30/E$8)),IF(NhapLieu!E30&lt;=E$8,1,IF(OR(E$9="",E$9&lt;=E$8),0,IF(NhapLieu!E30&gt;=E$9,0,(E$9-NhapLieu!E30)/(E$9-E$8))))))</f>
        <v/>
      </c>
      <c r="F30" s="62" t="str">
        <f>IF(OR($C30="",NhapLieu!F30=""),"",IF(F$7="Cao hơn tốt hơn",IF(F$8&lt;=0,0,MIN(CauHinh!$C$6,NhapLieu!F30/F$8)),IF(NhapLieu!F30&lt;=F$8,1,IF(OR(F$9="",F$9&lt;=F$8),0,IF(NhapLieu!F30&gt;=F$9,0,(F$9-NhapLieu!F30)/(F$9-F$8))))))</f>
        <v/>
      </c>
      <c r="G30" s="62" t="str">
        <f>IF(OR($C30="",NhapLieu!G30=""),"",IF(G$7="Cao hơn tốt hơn",IF(G$8&lt;=0,0,MIN(CauHinh!$C$6,NhapLieu!G30/G$8)),IF(NhapLieu!G30&lt;=G$8,1,IF(OR(G$9="",G$9&lt;=G$8),0,IF(NhapLieu!G30&gt;=G$9,0,(G$9-NhapLieu!G30)/(G$9-G$8))))))</f>
        <v/>
      </c>
      <c r="H30" s="62" t="str">
        <f>IF(OR($C30="",NhapLieu!H30=""),"",IF(H$7="Cao hơn tốt hơn",IF(H$8&lt;=0,0,MIN(CauHinh!$C$6,NhapLieu!H30/H$8)),IF(NhapLieu!H30&lt;=H$8,1,IF(OR(H$9="",H$9&lt;=H$8),0,IF(NhapLieu!H30&gt;=H$9,0,(H$9-NhapLieu!H30)/(H$9-H$8))))))</f>
        <v/>
      </c>
      <c r="I30" s="62" t="str">
        <f>IF(OR($C30="",NhapLieu!I30=""),"",IF(I$7="Cao hơn tốt hơn",IF(I$8&lt;=0,0,MIN(CauHinh!$C$6,NhapLieu!I30/I$8)),IF(NhapLieu!I30&lt;=I$8,1,IF(OR(I$9="",I$9&lt;=I$8),0,IF(NhapLieu!I30&gt;=I$9,0,(I$9-NhapLieu!I30)/(I$9-I$8))))))</f>
        <v/>
      </c>
      <c r="J30" s="62" t="str">
        <f>IF(OR($C30="",NhapLieu!J30=""),"",IF(J$7="Cao hơn tốt hơn",IF(J$8&lt;=0,0,MIN(CauHinh!$C$6,NhapLieu!J30/J$8)),IF(NhapLieu!J30&lt;=J$8,1,IF(OR(J$9="",J$9&lt;=J$8),0,IF(NhapLieu!J30&gt;=J$9,0,(J$9-NhapLieu!J30)/(J$9-J$8))))))</f>
        <v/>
      </c>
      <c r="K30" s="62" t="str">
        <f>IF(OR($C30="",NhapLieu!K30=""),"",IF(K$7="Cao hơn tốt hơn",IF(K$8&lt;=0,0,MIN(CauHinh!$C$6,NhapLieu!K30/K$8)),IF(NhapLieu!K30&lt;=K$8,1,IF(OR(K$9="",K$9&lt;=K$8),0,IF(NhapLieu!K30&gt;=K$9,0,(K$9-NhapLieu!K30)/(K$9-K$8))))))</f>
        <v/>
      </c>
      <c r="L30" s="62" t="str">
        <f>IF(OR($C30="",NhapLieu!L30=""),"",IF(L$7="Cao hơn tốt hơn",IF(L$8&lt;=0,0,MIN(CauHinh!$C$6,NhapLieu!L30/L$8)),IF(NhapLieu!L30&lt;=L$8,1,IF(OR(L$9="",L$9&lt;=L$8),0,IF(NhapLieu!L30&gt;=L$9,0,(L$9-NhapLieu!L30)/(L$9-L$8))))))</f>
        <v/>
      </c>
      <c r="M30" s="62" t="str">
        <f>IF(OR($C30="",NhapLieu!M30=""),"",IF(M$7="Cao hơn tốt hơn",IF(M$8&lt;=0,0,MIN(CauHinh!$C$6,NhapLieu!M30/M$8)),IF(NhapLieu!M30&lt;=M$8,1,IF(OR(M$9="",M$9&lt;=M$8),0,IF(NhapLieu!M30&gt;=M$9,0,(M$9-NhapLieu!M30)/(M$9-M$8))))))</f>
        <v/>
      </c>
      <c r="N30" s="62" t="str">
        <f>IF(OR($C30="",NhapLieu!N30=""),"",IF(N$7="Cao hơn tốt hơn",IF(N$8&lt;=0,0,MIN(CauHinh!$C$6,NhapLieu!N30/N$8)),IF(NhapLieu!N30&lt;=N$8,1,IF(OR(N$9="",N$9&lt;=N$8),0,IF(NhapLieu!N30&gt;=N$9,0,(N$9-NhapLieu!N30)/(N$9-N$8))))))</f>
        <v/>
      </c>
      <c r="O30" s="62" t="str">
        <f>IF(OR($C30="",NhapLieu!O30=""),"",IF(O$7="Cao hơn tốt hơn",IF(O$8&lt;=0,0,MIN(CauHinh!$C$6,NhapLieu!O30/O$8)),IF(NhapLieu!O30&lt;=O$8,1,IF(OR(O$9="",O$9&lt;=O$8),0,IF(NhapLieu!O30&gt;=O$9,0,(O$9-NhapLieu!O30)/(O$9-O$8))))))</f>
        <v/>
      </c>
      <c r="P30" s="62" t="str">
        <f>IF(OR($C30="",NhapLieu!P30=""),"",IF(P$7="Cao hơn tốt hơn",IF(P$8&lt;=0,0,MIN(CauHinh!$C$6,NhapLieu!P30/P$8)),IF(NhapLieu!P30&lt;=P$8,1,IF(OR(P$9="",P$9&lt;=P$8),0,IF(NhapLieu!P30&gt;=P$9,0,(P$9-NhapLieu!P30)/(P$9-P$8))))))</f>
        <v/>
      </c>
      <c r="Q30" s="62" t="str">
        <f>IF(OR($C30="",NhapLieu!Q30=""),"",IF(Q$7="Cao hơn tốt hơn",IF(Q$8&lt;=0,0,MIN(CauHinh!$C$6,NhapLieu!Q30/Q$8)),IF(NhapLieu!Q30&lt;=Q$8,1,IF(OR(Q$9="",Q$9&lt;=Q$8),0,IF(NhapLieu!Q30&gt;=Q$9,0,(Q$9-NhapLieu!Q30)/(Q$9-Q$8))))))</f>
        <v/>
      </c>
      <c r="R30" s="62" t="str">
        <f>IF(OR($C30="",NhapLieu!R30=""),"",IF(R$7="Cao hơn tốt hơn",IF(R$8&lt;=0,0,MIN(CauHinh!$C$6,NhapLieu!R30/R$8)),IF(NhapLieu!R30&lt;=R$8,1,IF(OR(R$9="",R$9&lt;=R$8),0,IF(NhapLieu!R30&gt;=R$9,0,(R$9-NhapLieu!R30)/(R$9-R$8))))))</f>
        <v/>
      </c>
      <c r="S30" s="45" t="str">
        <f>IF($C30="","",SUMPRODUCT(--(NhapLieu!E30:R30&lt;&gt;""),$E$10:$R$10))</f>
        <v/>
      </c>
      <c r="T30" s="76" t="str">
        <f>IF($C30="","",IF(CauHinh!$C$8="Quy đổi theo KPI có dữ liệu",IF(S30=0,0,1/S30),1))</f>
        <v/>
      </c>
      <c r="U30" s="77" t="str">
        <f>IF($C30="","",COUNT(NhapLieu!E30:R30))</f>
        <v/>
      </c>
    </row>
    <row r="31" ht="15.75" customHeight="1">
      <c r="A31" s="55">
        <f>NhapLieu!A31</f>
        <v>20</v>
      </c>
      <c r="B31" s="56" t="str">
        <f>IF(NhapLieu!$C31="","",NhapLieu!B31)</f>
        <v/>
      </c>
      <c r="C31" s="56" t="str">
        <f>IF(NhapLieu!$C31="","",NhapLieu!C31)</f>
        <v/>
      </c>
      <c r="D31" s="56" t="str">
        <f>IF(NhapLieu!$C31="","",NhapLieu!D31)</f>
        <v/>
      </c>
      <c r="E31" s="62" t="str">
        <f>IF(OR($C31="",NhapLieu!E31=""),"",IF(E$7="Cao hơn tốt hơn",IF(E$8&lt;=0,0,MIN(CauHinh!$C$6,NhapLieu!E31/E$8)),IF(NhapLieu!E31&lt;=E$8,1,IF(OR(E$9="",E$9&lt;=E$8),0,IF(NhapLieu!E31&gt;=E$9,0,(E$9-NhapLieu!E31)/(E$9-E$8))))))</f>
        <v/>
      </c>
      <c r="F31" s="62" t="str">
        <f>IF(OR($C31="",NhapLieu!F31=""),"",IF(F$7="Cao hơn tốt hơn",IF(F$8&lt;=0,0,MIN(CauHinh!$C$6,NhapLieu!F31/F$8)),IF(NhapLieu!F31&lt;=F$8,1,IF(OR(F$9="",F$9&lt;=F$8),0,IF(NhapLieu!F31&gt;=F$9,0,(F$9-NhapLieu!F31)/(F$9-F$8))))))</f>
        <v/>
      </c>
      <c r="G31" s="62" t="str">
        <f>IF(OR($C31="",NhapLieu!G31=""),"",IF(G$7="Cao hơn tốt hơn",IF(G$8&lt;=0,0,MIN(CauHinh!$C$6,NhapLieu!G31/G$8)),IF(NhapLieu!G31&lt;=G$8,1,IF(OR(G$9="",G$9&lt;=G$8),0,IF(NhapLieu!G31&gt;=G$9,0,(G$9-NhapLieu!G31)/(G$9-G$8))))))</f>
        <v/>
      </c>
      <c r="H31" s="62" t="str">
        <f>IF(OR($C31="",NhapLieu!H31=""),"",IF(H$7="Cao hơn tốt hơn",IF(H$8&lt;=0,0,MIN(CauHinh!$C$6,NhapLieu!H31/H$8)),IF(NhapLieu!H31&lt;=H$8,1,IF(OR(H$9="",H$9&lt;=H$8),0,IF(NhapLieu!H31&gt;=H$9,0,(H$9-NhapLieu!H31)/(H$9-H$8))))))</f>
        <v/>
      </c>
      <c r="I31" s="62" t="str">
        <f>IF(OR($C31="",NhapLieu!I31=""),"",IF(I$7="Cao hơn tốt hơn",IF(I$8&lt;=0,0,MIN(CauHinh!$C$6,NhapLieu!I31/I$8)),IF(NhapLieu!I31&lt;=I$8,1,IF(OR(I$9="",I$9&lt;=I$8),0,IF(NhapLieu!I31&gt;=I$9,0,(I$9-NhapLieu!I31)/(I$9-I$8))))))</f>
        <v/>
      </c>
      <c r="J31" s="62" t="str">
        <f>IF(OR($C31="",NhapLieu!J31=""),"",IF(J$7="Cao hơn tốt hơn",IF(J$8&lt;=0,0,MIN(CauHinh!$C$6,NhapLieu!J31/J$8)),IF(NhapLieu!J31&lt;=J$8,1,IF(OR(J$9="",J$9&lt;=J$8),0,IF(NhapLieu!J31&gt;=J$9,0,(J$9-NhapLieu!J31)/(J$9-J$8))))))</f>
        <v/>
      </c>
      <c r="K31" s="62" t="str">
        <f>IF(OR($C31="",NhapLieu!K31=""),"",IF(K$7="Cao hơn tốt hơn",IF(K$8&lt;=0,0,MIN(CauHinh!$C$6,NhapLieu!K31/K$8)),IF(NhapLieu!K31&lt;=K$8,1,IF(OR(K$9="",K$9&lt;=K$8),0,IF(NhapLieu!K31&gt;=K$9,0,(K$9-NhapLieu!K31)/(K$9-K$8))))))</f>
        <v/>
      </c>
      <c r="L31" s="62" t="str">
        <f>IF(OR($C31="",NhapLieu!L31=""),"",IF(L$7="Cao hơn tốt hơn",IF(L$8&lt;=0,0,MIN(CauHinh!$C$6,NhapLieu!L31/L$8)),IF(NhapLieu!L31&lt;=L$8,1,IF(OR(L$9="",L$9&lt;=L$8),0,IF(NhapLieu!L31&gt;=L$9,0,(L$9-NhapLieu!L31)/(L$9-L$8))))))</f>
        <v/>
      </c>
      <c r="M31" s="62" t="str">
        <f>IF(OR($C31="",NhapLieu!M31=""),"",IF(M$7="Cao hơn tốt hơn",IF(M$8&lt;=0,0,MIN(CauHinh!$C$6,NhapLieu!M31/M$8)),IF(NhapLieu!M31&lt;=M$8,1,IF(OR(M$9="",M$9&lt;=M$8),0,IF(NhapLieu!M31&gt;=M$9,0,(M$9-NhapLieu!M31)/(M$9-M$8))))))</f>
        <v/>
      </c>
      <c r="N31" s="62" t="str">
        <f>IF(OR($C31="",NhapLieu!N31=""),"",IF(N$7="Cao hơn tốt hơn",IF(N$8&lt;=0,0,MIN(CauHinh!$C$6,NhapLieu!N31/N$8)),IF(NhapLieu!N31&lt;=N$8,1,IF(OR(N$9="",N$9&lt;=N$8),0,IF(NhapLieu!N31&gt;=N$9,0,(N$9-NhapLieu!N31)/(N$9-N$8))))))</f>
        <v/>
      </c>
      <c r="O31" s="62" t="str">
        <f>IF(OR($C31="",NhapLieu!O31=""),"",IF(O$7="Cao hơn tốt hơn",IF(O$8&lt;=0,0,MIN(CauHinh!$C$6,NhapLieu!O31/O$8)),IF(NhapLieu!O31&lt;=O$8,1,IF(OR(O$9="",O$9&lt;=O$8),0,IF(NhapLieu!O31&gt;=O$9,0,(O$9-NhapLieu!O31)/(O$9-O$8))))))</f>
        <v/>
      </c>
      <c r="P31" s="62" t="str">
        <f>IF(OR($C31="",NhapLieu!P31=""),"",IF(P$7="Cao hơn tốt hơn",IF(P$8&lt;=0,0,MIN(CauHinh!$C$6,NhapLieu!P31/P$8)),IF(NhapLieu!P31&lt;=P$8,1,IF(OR(P$9="",P$9&lt;=P$8),0,IF(NhapLieu!P31&gt;=P$9,0,(P$9-NhapLieu!P31)/(P$9-P$8))))))</f>
        <v/>
      </c>
      <c r="Q31" s="62" t="str">
        <f>IF(OR($C31="",NhapLieu!Q31=""),"",IF(Q$7="Cao hơn tốt hơn",IF(Q$8&lt;=0,0,MIN(CauHinh!$C$6,NhapLieu!Q31/Q$8)),IF(NhapLieu!Q31&lt;=Q$8,1,IF(OR(Q$9="",Q$9&lt;=Q$8),0,IF(NhapLieu!Q31&gt;=Q$9,0,(Q$9-NhapLieu!Q31)/(Q$9-Q$8))))))</f>
        <v/>
      </c>
      <c r="R31" s="62" t="str">
        <f>IF(OR($C31="",NhapLieu!R31=""),"",IF(R$7="Cao hơn tốt hơn",IF(R$8&lt;=0,0,MIN(CauHinh!$C$6,NhapLieu!R31/R$8)),IF(NhapLieu!R31&lt;=R$8,1,IF(OR(R$9="",R$9&lt;=R$8),0,IF(NhapLieu!R31&gt;=R$9,0,(R$9-NhapLieu!R31)/(R$9-R$8))))))</f>
        <v/>
      </c>
      <c r="S31" s="45" t="str">
        <f>IF($C31="","",SUMPRODUCT(--(NhapLieu!E31:R31&lt;&gt;""),$E$10:$R$10))</f>
        <v/>
      </c>
      <c r="T31" s="76" t="str">
        <f>IF($C31="","",IF(CauHinh!$C$8="Quy đổi theo KPI có dữ liệu",IF(S31=0,0,1/S31),1))</f>
        <v/>
      </c>
      <c r="U31" s="77" t="str">
        <f>IF($C31="","",COUNT(NhapLieu!E31:R31))</f>
        <v/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U1"/>
    <mergeCell ref="A4:D4"/>
    <mergeCell ref="A5:D5"/>
    <mergeCell ref="A6:D6"/>
    <mergeCell ref="A7:D7"/>
    <mergeCell ref="A8:D8"/>
    <mergeCell ref="A9:D9"/>
    <mergeCell ref="A10:D10"/>
  </mergeCells>
  <conditionalFormatting sqref="E12:R31">
    <cfRule type="cellIs" dxfId="6" priority="1" operator="greaterThanOrEqual">
      <formula>1</formula>
    </cfRule>
  </conditionalFormatting>
  <conditionalFormatting sqref="E12:R31">
    <cfRule type="cellIs" dxfId="7" priority="2" operator="between">
      <formula>0.7</formula>
      <formula>0.99999</formula>
    </cfRule>
  </conditionalFormatting>
  <conditionalFormatting sqref="E12:R31">
    <cfRule type="expression" dxfId="8" priority="3">
      <formula>AND(ISNUMBER(E12),E12&lt;0.7)</formula>
    </cfRule>
  </conditionalFormatting>
  <printOptions/>
  <pageMargins bottom="1.0" footer="0.0" header="0.0" left="0.75" right="0.75" top="1.0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8590C"/>
    <pageSetUpPr fitToPage="1"/>
  </sheetPr>
  <sheetViews>
    <sheetView showGridLines="0" workbookViewId="0">
      <pane xSplit="4.0" ySplit="5.0" topLeftCell="E6" activePane="bottomRight" state="frozen"/>
      <selection activeCell="E1" sqref="E1" pane="topRight"/>
      <selection activeCell="A6" sqref="A6" pane="bottomLeft"/>
      <selection activeCell="E6" sqref="E6" pane="bottomRight"/>
    </sheetView>
  </sheetViews>
  <sheetFormatPr customHeight="1" defaultColWidth="14.43" defaultRowHeight="15.0"/>
  <cols>
    <col customWidth="1" min="1" max="1" width="6.0"/>
    <col customWidth="1" min="2" max="2" width="10.0"/>
    <col customWidth="1" min="3" max="3" width="24.0"/>
    <col customWidth="1" min="4" max="4" width="26.0"/>
    <col customWidth="1" min="5" max="8" width="18.0"/>
    <col customWidth="1" min="9" max="9" width="12.0"/>
    <col customWidth="1" min="10" max="10" width="15.0"/>
    <col customWidth="1" min="11" max="11" width="12.0"/>
    <col customWidth="1" min="12" max="12" width="10.0"/>
    <col customWidth="1" min="13" max="13" width="16.0"/>
    <col customWidth="1" min="14" max="26" width="8.71"/>
  </cols>
  <sheetData>
    <row r="1" ht="30.0" customHeight="1">
      <c r="A1" s="1"/>
      <c r="B1" s="48"/>
      <c r="C1" s="48"/>
      <c r="D1" s="48"/>
      <c r="E1" s="49" t="s">
        <v>145</v>
      </c>
      <c r="F1" s="2"/>
      <c r="G1" s="2"/>
      <c r="H1" s="2"/>
      <c r="I1" s="2"/>
      <c r="J1" s="2"/>
      <c r="K1" s="2"/>
      <c r="L1" s="2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>
      <c r="A2" s="8" t="str">
        <f>"Công ty: "&amp;CauHinh!C4&amp;"   |   Kỳ đánh giá: "&amp;CauHinh!C5</f>
        <v>Công ty: CÔNG TY TNHH ABC   |   Kỳ đánh giá: Tháng 10/2026</v>
      </c>
    </row>
    <row r="4">
      <c r="A4" s="10" t="s">
        <v>146</v>
      </c>
      <c r="B4" s="11"/>
      <c r="C4" s="11"/>
      <c r="D4" s="12"/>
      <c r="E4" s="50">
        <f>CauHinh!D39*100</f>
        <v>35</v>
      </c>
      <c r="F4" s="50">
        <f>CauHinh!D40*100</f>
        <v>30</v>
      </c>
      <c r="G4" s="50">
        <f>CauHinh!D41*100</f>
        <v>15</v>
      </c>
      <c r="H4" s="50">
        <f>CauHinh!D42*100</f>
        <v>20</v>
      </c>
      <c r="I4" s="52">
        <f>SUM(E4:H4)</f>
        <v>100</v>
      </c>
      <c r="J4" s="53"/>
      <c r="K4" s="53"/>
      <c r="L4" s="53"/>
      <c r="M4" s="53"/>
    </row>
    <row r="5" ht="42.0" customHeight="1">
      <c r="A5" s="40" t="s">
        <v>62</v>
      </c>
      <c r="B5" s="40" t="s">
        <v>147</v>
      </c>
      <c r="C5" s="40" t="s">
        <v>148</v>
      </c>
      <c r="D5" s="40" t="s">
        <v>149</v>
      </c>
      <c r="E5" s="40" t="str">
        <f>CauHinh!C39</f>
        <v>A. Chất lượng &amp; độ chính xác</v>
      </c>
      <c r="F5" s="40" t="str">
        <f>CauHinh!C40</f>
        <v>B. Tiến độ &amp; tuân thủ</v>
      </c>
      <c r="G5" s="40" t="str">
        <f>CauHinh!C41</f>
        <v>C. Hiệu quả công việc</v>
      </c>
      <c r="H5" s="40" t="str">
        <f>CauHinh!C42</f>
        <v>D. Thái độ &amp; phát triển</v>
      </c>
      <c r="I5" s="54" t="s">
        <v>150</v>
      </c>
      <c r="J5" s="54" t="s">
        <v>128</v>
      </c>
      <c r="K5" s="54" t="s">
        <v>129</v>
      </c>
      <c r="L5" s="54" t="s">
        <v>151</v>
      </c>
      <c r="M5" s="54" t="s">
        <v>152</v>
      </c>
    </row>
    <row r="6">
      <c r="A6" s="55">
        <f>NhapLieu!A12</f>
        <v>1</v>
      </c>
      <c r="B6" s="56" t="str">
        <f>TinhDiem!B12</f>
        <v>NV001</v>
      </c>
      <c r="C6" s="56" t="str">
        <f>TinhDiem!C12</f>
        <v>Nguyễn Thị Lan</v>
      </c>
      <c r="D6" s="56" t="str">
        <f>TinhDiem!D12</f>
        <v>Kế toán tổng hợp</v>
      </c>
      <c r="E6" s="57">
        <f>IF($C6="","",SUMPRODUCT(TinhDiem!$E12:$R12,--(TinhDiem!$E$4:$R$4=E$5),TinhDiem!$E$10:$R$10)*100*TinhDiem!$T12)</f>
        <v>35.10204082</v>
      </c>
      <c r="F6" s="57">
        <f>IF($C6="","",SUMPRODUCT(TinhDiem!$E12:$R12,--(TinhDiem!$E$4:$R$4=F$5),TinhDiem!$E$10:$R$10)*100*TinhDiem!$T12)</f>
        <v>30</v>
      </c>
      <c r="G6" s="57">
        <f>IF($C6="","",SUMPRODUCT(TinhDiem!$E12:$R12,--(TinhDiem!$E$4:$R$4=G$5),TinhDiem!$E$10:$R$10)*100*TinhDiem!$T12)</f>
        <v>16.21637427</v>
      </c>
      <c r="H6" s="57">
        <f>IF($C6="","",SUMPRODUCT(TinhDiem!$E12:$R12,--(TinhDiem!$E$4:$R$4=H$5),TinhDiem!$E$10:$R$10)*100*TinhDiem!$T12)</f>
        <v>21.51633987</v>
      </c>
      <c r="I6" s="58">
        <f t="shared" ref="I6:I25" si="1">IF($C6="","",SUM(E6:H6))</f>
        <v>102.834755</v>
      </c>
      <c r="J6" s="59" t="str">
        <f t="array" ref="J6">IF($C6="","",INDEX(CauHinh!$B$30:$B$34,MATCH(I6,CauHinh!$A$30:$A$34,1)))</f>
        <v>Tốt</v>
      </c>
      <c r="K6" s="60">
        <f t="array" ref="K6">IF($C6="","",INDEX(CauHinh!$C$30:$C$34,MATCH(I6,CauHinh!$A$30:$A$34,1)))</f>
        <v>1.2</v>
      </c>
      <c r="L6" s="61">
        <f t="shared" ref="L6:L25" si="2">IF($C6="","",RANK(I6,$I$6:$I$25,0))</f>
        <v>1</v>
      </c>
      <c r="M6" s="55" t="str">
        <f>IF($C6="","",IF(TinhDiem!U12=COUNTA(CauHinh!$B$11:$B$24),"Đầy đủ","Thiếu "&amp;(COUNTA(CauHinh!$B$11:$B$24)-TinhDiem!U12)&amp;" KPI"))</f>
        <v>Đầy đủ</v>
      </c>
    </row>
    <row r="7">
      <c r="A7" s="55">
        <f>NhapLieu!A13</f>
        <v>2</v>
      </c>
      <c r="B7" s="56" t="str">
        <f>TinhDiem!B13</f>
        <v>NV002</v>
      </c>
      <c r="C7" s="56" t="str">
        <f>TinhDiem!C13</f>
        <v>Trần Văn Minh</v>
      </c>
      <c r="D7" s="56" t="str">
        <f>TinhDiem!D13</f>
        <v>Kế toán thuế</v>
      </c>
      <c r="E7" s="57">
        <f>IF($C7="","",SUMPRODUCT(TinhDiem!$E13:$R13,--(TinhDiem!$E$4:$R$4=E$5),TinhDiem!$E$10:$R$10)*100*TinhDiem!$T13)</f>
        <v>36.84210526</v>
      </c>
      <c r="F7" s="57">
        <f>IF($C7="","",SUMPRODUCT(TinhDiem!$E13:$R13,--(TinhDiem!$E$4:$R$4=F$5),TinhDiem!$E$10:$R$10)*100*TinhDiem!$T13)</f>
        <v>31.57894737</v>
      </c>
      <c r="G7" s="57">
        <f>IF($C7="","",SUMPRODUCT(TinhDiem!$E13:$R13,--(TinhDiem!$E$4:$R$4=G$5),TinhDiem!$E$10:$R$10)*100*TinhDiem!$T13)</f>
        <v>10.52631579</v>
      </c>
      <c r="H7" s="57">
        <f>IF($C7="","",SUMPRODUCT(TinhDiem!$E13:$R13,--(TinhDiem!$E$4:$R$4=H$5),TinhDiem!$E$10:$R$10)*100*TinhDiem!$T13)</f>
        <v>21.05263158</v>
      </c>
      <c r="I7" s="58">
        <f t="shared" si="1"/>
        <v>100</v>
      </c>
      <c r="J7" s="59" t="str">
        <f t="array" ref="J7">IF($C7="","",INDEX(CauHinh!$B$30:$B$34,MATCH(I7,CauHinh!$A$30:$A$34,1)))</f>
        <v>Tốt</v>
      </c>
      <c r="K7" s="60">
        <f t="array" ref="K7">IF($C7="","",INDEX(CauHinh!$C$30:$C$34,MATCH(I7,CauHinh!$A$30:$A$34,1)))</f>
        <v>1.2</v>
      </c>
      <c r="L7" s="61">
        <f t="shared" si="2"/>
        <v>4</v>
      </c>
      <c r="M7" s="55" t="str">
        <f>IF($C7="","",IF(TinhDiem!U13=COUNTA(CauHinh!$B$11:$B$24),"Đầy đủ","Thiếu "&amp;(COUNTA(CauHinh!$B$11:$B$24)-TinhDiem!U13)&amp;" KPI"))</f>
        <v>Thiếu 1 KPI</v>
      </c>
    </row>
    <row r="8">
      <c r="A8" s="55">
        <f>NhapLieu!A14</f>
        <v>3</v>
      </c>
      <c r="B8" s="56" t="str">
        <f>TinhDiem!B14</f>
        <v>NV003</v>
      </c>
      <c r="C8" s="56" t="str">
        <f>TinhDiem!C14</f>
        <v>Lê Thu Hà</v>
      </c>
      <c r="D8" s="56" t="str">
        <f>TinhDiem!D14</f>
        <v>Kế toán công nợ</v>
      </c>
      <c r="E8" s="57">
        <f>IF($C8="","",SUMPRODUCT(TinhDiem!$E14:$R14,--(TinhDiem!$E$4:$R$4=E$5),TinhDiem!$E$10:$R$10)*100*TinhDiem!$T14)</f>
        <v>29.63758503</v>
      </c>
      <c r="F8" s="57">
        <f>IF($C8="","",SUMPRODUCT(TinhDiem!$E14:$R14,--(TinhDiem!$E$4:$R$4=F$5),TinhDiem!$E$10:$R$10)*100*TinhDiem!$T14)</f>
        <v>28.5</v>
      </c>
      <c r="G8" s="57">
        <f>IF($C8="","",SUMPRODUCT(TinhDiem!$E14:$R14,--(TinhDiem!$E$4:$R$4=G$5),TinhDiem!$E$10:$R$10)*100*TinhDiem!$T14)</f>
        <v>9.616959064</v>
      </c>
      <c r="H8" s="57">
        <f>IF($C8="","",SUMPRODUCT(TinhDiem!$E14:$R14,--(TinhDiem!$E$4:$R$4=H$5),TinhDiem!$E$10:$R$10)*100*TinhDiem!$T14)</f>
        <v>18.23366013</v>
      </c>
      <c r="I8" s="58">
        <f t="shared" si="1"/>
        <v>85.98820423</v>
      </c>
      <c r="J8" s="59" t="str">
        <f t="array" ref="J8">IF($C8="","",INDEX(CauHinh!$B$30:$B$34,MATCH(I8,CauHinh!$A$30:$A$34,1)))</f>
        <v>Hoàn thành</v>
      </c>
      <c r="K8" s="60">
        <f t="array" ref="K8">IF($C8="","",INDEX(CauHinh!$C$30:$C$34,MATCH(I8,CauHinh!$A$30:$A$34,1)))</f>
        <v>1</v>
      </c>
      <c r="L8" s="61">
        <f t="shared" si="2"/>
        <v>5</v>
      </c>
      <c r="M8" s="55" t="str">
        <f>IF($C8="","",IF(TinhDiem!U14=COUNTA(CauHinh!$B$11:$B$24),"Đầy đủ","Thiếu "&amp;(COUNTA(CauHinh!$B$11:$B$24)-TinhDiem!U14)&amp;" KPI"))</f>
        <v>Đầy đủ</v>
      </c>
    </row>
    <row r="9">
      <c r="A9" s="55">
        <f>NhapLieu!A15</f>
        <v>4</v>
      </c>
      <c r="B9" s="56" t="str">
        <f>TinhDiem!B15</f>
        <v>NV004</v>
      </c>
      <c r="C9" s="56" t="str">
        <f>TinhDiem!C15</f>
        <v>Phạm Quốc Bảo</v>
      </c>
      <c r="D9" s="56" t="str">
        <f>TinhDiem!D15</f>
        <v>Kế toán ngân hàng</v>
      </c>
      <c r="E9" s="57">
        <f>IF($C9="","",SUMPRODUCT(TinhDiem!$E15:$R15,--(TinhDiem!$E$4:$R$4=E$5),TinhDiem!$E$10:$R$10)*100*TinhDiem!$T15)</f>
        <v>35.15306122</v>
      </c>
      <c r="F9" s="57">
        <f>IF($C9="","",SUMPRODUCT(TinhDiem!$E15:$R15,--(TinhDiem!$E$4:$R$4=F$5),TinhDiem!$E$10:$R$10)*100*TinhDiem!$T15)</f>
        <v>30</v>
      </c>
      <c r="G9" s="57">
        <f>IF($C9="","",SUMPRODUCT(TinhDiem!$E15:$R15,--(TinhDiem!$E$4:$R$4=G$5),TinhDiem!$E$10:$R$10)*100*TinhDiem!$T15)</f>
        <v>15.43567251</v>
      </c>
      <c r="H9" s="57">
        <f>IF($C9="","",SUMPRODUCT(TinhDiem!$E15:$R15,--(TinhDiem!$E$4:$R$4=H$5),TinhDiem!$E$10:$R$10)*100*TinhDiem!$T15)</f>
        <v>20.73202614</v>
      </c>
      <c r="I9" s="58">
        <f t="shared" si="1"/>
        <v>101.3207599</v>
      </c>
      <c r="J9" s="59" t="str">
        <f t="array" ref="J9">IF($C9="","",INDEX(CauHinh!$B$30:$B$34,MATCH(I9,CauHinh!$A$30:$A$34,1)))</f>
        <v>Tốt</v>
      </c>
      <c r="K9" s="60">
        <f t="array" ref="K9">IF($C9="","",INDEX(CauHinh!$C$30:$C$34,MATCH(I9,CauHinh!$A$30:$A$34,1)))</f>
        <v>1.2</v>
      </c>
      <c r="L9" s="61">
        <f t="shared" si="2"/>
        <v>2</v>
      </c>
      <c r="M9" s="55" t="str">
        <f>IF($C9="","",IF(TinhDiem!U15=COUNTA(CauHinh!$B$11:$B$24),"Đầy đủ","Thiếu "&amp;(COUNTA(CauHinh!$B$11:$B$24)-TinhDiem!U15)&amp;" KPI"))</f>
        <v>Đầy đủ</v>
      </c>
    </row>
    <row r="10">
      <c r="A10" s="55">
        <f>NhapLieu!A16</f>
        <v>5</v>
      </c>
      <c r="B10" s="56" t="str">
        <f>TinhDiem!B16</f>
        <v>NV005</v>
      </c>
      <c r="C10" s="56" t="str">
        <f>TinhDiem!C16</f>
        <v>Hoàng Anh Tuấn</v>
      </c>
      <c r="D10" s="56" t="str">
        <f>TinhDiem!D16</f>
        <v>Kế toán kho</v>
      </c>
      <c r="E10" s="57">
        <f>IF($C10="","",SUMPRODUCT(TinhDiem!$E16:$R16,--(TinhDiem!$E$4:$R$4=E$5),TinhDiem!$E$10:$R$10)*100*TinhDiem!$T16)</f>
        <v>22.5528106</v>
      </c>
      <c r="F10" s="57">
        <f>IF($C10="","",SUMPRODUCT(TinhDiem!$E16:$R16,--(TinhDiem!$E$4:$R$4=F$5),TinhDiem!$E$10:$R$10)*100*TinhDiem!$T16)</f>
        <v>23.15789474</v>
      </c>
      <c r="G10" s="57">
        <f>IF($C10="","",SUMPRODUCT(TinhDiem!$E16:$R16,--(TinhDiem!$E$4:$R$4=G$5),TinhDiem!$E$10:$R$10)*100*TinhDiem!$T16)</f>
        <v>4.709141274</v>
      </c>
      <c r="H10" s="57">
        <f>IF($C10="","",SUMPRODUCT(TinhDiem!$E16:$R16,--(TinhDiem!$E$4:$R$4=H$5),TinhDiem!$E$10:$R$10)*100*TinhDiem!$T16)</f>
        <v>17.21706226</v>
      </c>
      <c r="I10" s="58">
        <f t="shared" si="1"/>
        <v>67.63690887</v>
      </c>
      <c r="J10" s="59" t="str">
        <f t="array" ref="J10">IF($C10="","",INDEX(CauHinh!$B$30:$B$34,MATCH(I10,CauHinh!$A$30:$A$34,1)))</f>
        <v>Không đạt</v>
      </c>
      <c r="K10" s="60">
        <f t="array" ref="K10">IF($C10="","",INDEX(CauHinh!$C$30:$C$34,MATCH(I10,CauHinh!$A$30:$A$34,1)))</f>
        <v>0</v>
      </c>
      <c r="L10" s="61">
        <f t="shared" si="2"/>
        <v>6</v>
      </c>
      <c r="M10" s="55" t="str">
        <f>IF($C10="","",IF(TinhDiem!U16=COUNTA(CauHinh!$B$11:$B$24),"Đầy đủ","Thiếu "&amp;(COUNTA(CauHinh!$B$11:$B$24)-TinhDiem!U16)&amp;" KPI"))</f>
        <v>Thiếu 1 KPI</v>
      </c>
    </row>
    <row r="11">
      <c r="A11" s="55">
        <f>NhapLieu!A17</f>
        <v>6</v>
      </c>
      <c r="B11" s="56" t="str">
        <f>TinhDiem!B17</f>
        <v>NV006</v>
      </c>
      <c r="C11" s="56" t="str">
        <f>TinhDiem!C17</f>
        <v>Đỗ Mai Phương</v>
      </c>
      <c r="D11" s="56" t="str">
        <f>TinhDiem!D17</f>
        <v>Kế toán thanh toán</v>
      </c>
      <c r="E11" s="57">
        <f>IF($C11="","",SUMPRODUCT(TinhDiem!$E17:$R17,--(TinhDiem!$E$4:$R$4=E$5),TinhDiem!$E$10:$R$10)*100*TinhDiem!$T17)</f>
        <v>34.23647959</v>
      </c>
      <c r="F11" s="57">
        <f>IF($C11="","",SUMPRODUCT(TinhDiem!$E17:$R17,--(TinhDiem!$E$4:$R$4=F$5),TinhDiem!$E$10:$R$10)*100*TinhDiem!$T17)</f>
        <v>30</v>
      </c>
      <c r="G11" s="57">
        <f>IF($C11="","",SUMPRODUCT(TinhDiem!$E17:$R17,--(TinhDiem!$E$4:$R$4=G$5),TinhDiem!$E$10:$R$10)*100*TinhDiem!$T17)</f>
        <v>15.05263158</v>
      </c>
      <c r="H11" s="57">
        <f>IF($C11="","",SUMPRODUCT(TinhDiem!$E17:$R17,--(TinhDiem!$E$4:$R$4=H$5),TinhDiem!$E$10:$R$10)*100*TinhDiem!$T17)</f>
        <v>21.05882353</v>
      </c>
      <c r="I11" s="58">
        <f t="shared" si="1"/>
        <v>100.3479347</v>
      </c>
      <c r="J11" s="59" t="str">
        <f t="array" ref="J11">IF($C11="","",INDEX(CauHinh!$B$30:$B$34,MATCH(I11,CauHinh!$A$30:$A$34,1)))</f>
        <v>Tốt</v>
      </c>
      <c r="K11" s="60">
        <f t="array" ref="K11">IF($C11="","",INDEX(CauHinh!$C$30:$C$34,MATCH(I11,CauHinh!$A$30:$A$34,1)))</f>
        <v>1.2</v>
      </c>
      <c r="L11" s="61">
        <f t="shared" si="2"/>
        <v>3</v>
      </c>
      <c r="M11" s="55" t="str">
        <f>IF($C11="","",IF(TinhDiem!U17=COUNTA(CauHinh!$B$11:$B$24),"Đầy đủ","Thiếu "&amp;(COUNTA(CauHinh!$B$11:$B$24)-TinhDiem!U17)&amp;" KPI"))</f>
        <v>Đầy đủ</v>
      </c>
    </row>
    <row r="12">
      <c r="A12" s="55">
        <f>NhapLieu!A18</f>
        <v>7</v>
      </c>
      <c r="B12" s="56" t="str">
        <f>TinhDiem!B18</f>
        <v/>
      </c>
      <c r="C12" s="56" t="str">
        <f>TinhDiem!C18</f>
        <v/>
      </c>
      <c r="D12" s="56" t="str">
        <f>TinhDiem!D18</f>
        <v/>
      </c>
      <c r="E12" s="57" t="str">
        <f>IF($C12="","",SUMPRODUCT(TinhDiem!$E18:$R18,--(TinhDiem!$E$4:$R$4=E$5),TinhDiem!$E$10:$R$10)*100*TinhDiem!$T18)</f>
        <v/>
      </c>
      <c r="F12" s="57" t="str">
        <f>IF($C12="","",SUMPRODUCT(TinhDiem!$E18:$R18,--(TinhDiem!$E$4:$R$4=F$5),TinhDiem!$E$10:$R$10)*100*TinhDiem!$T18)</f>
        <v/>
      </c>
      <c r="G12" s="57" t="str">
        <f>IF($C12="","",SUMPRODUCT(TinhDiem!$E18:$R18,--(TinhDiem!$E$4:$R$4=G$5),TinhDiem!$E$10:$R$10)*100*TinhDiem!$T18)</f>
        <v/>
      </c>
      <c r="H12" s="57" t="str">
        <f>IF($C12="","",SUMPRODUCT(TinhDiem!$E18:$R18,--(TinhDiem!$E$4:$R$4=H$5),TinhDiem!$E$10:$R$10)*100*TinhDiem!$T18)</f>
        <v/>
      </c>
      <c r="I12" s="58" t="str">
        <f t="shared" si="1"/>
        <v/>
      </c>
      <c r="J12" s="59" t="str">
        <f t="array" ref="J12">IF($C12="","",INDEX(CauHinh!$B$30:$B$34,MATCH(I12,CauHinh!$A$30:$A$34,1)))</f>
        <v/>
      </c>
      <c r="K12" s="60" t="str">
        <f t="array" ref="K12">IF($C12="","",INDEX(CauHinh!$C$30:$C$34,MATCH(I12,CauHinh!$A$30:$A$34,1)))</f>
        <v/>
      </c>
      <c r="L12" s="61" t="str">
        <f t="shared" si="2"/>
        <v/>
      </c>
      <c r="M12" s="55" t="str">
        <f>IF($C12="","",IF(TinhDiem!U18=COUNTA(CauHinh!$B$11:$B$24),"Đầy đủ","Thiếu "&amp;(COUNTA(CauHinh!$B$11:$B$24)-TinhDiem!U18)&amp;" KPI"))</f>
        <v/>
      </c>
    </row>
    <row r="13">
      <c r="A13" s="55">
        <f>NhapLieu!A19</f>
        <v>8</v>
      </c>
      <c r="B13" s="56" t="str">
        <f>TinhDiem!B19</f>
        <v/>
      </c>
      <c r="C13" s="56" t="str">
        <f>TinhDiem!C19</f>
        <v/>
      </c>
      <c r="D13" s="56" t="str">
        <f>TinhDiem!D19</f>
        <v/>
      </c>
      <c r="E13" s="57" t="str">
        <f>IF($C13="","",SUMPRODUCT(TinhDiem!$E19:$R19,--(TinhDiem!$E$4:$R$4=E$5),TinhDiem!$E$10:$R$10)*100*TinhDiem!$T19)</f>
        <v/>
      </c>
      <c r="F13" s="57" t="str">
        <f>IF($C13="","",SUMPRODUCT(TinhDiem!$E19:$R19,--(TinhDiem!$E$4:$R$4=F$5),TinhDiem!$E$10:$R$10)*100*TinhDiem!$T19)</f>
        <v/>
      </c>
      <c r="G13" s="57" t="str">
        <f>IF($C13="","",SUMPRODUCT(TinhDiem!$E19:$R19,--(TinhDiem!$E$4:$R$4=G$5),TinhDiem!$E$10:$R$10)*100*TinhDiem!$T19)</f>
        <v/>
      </c>
      <c r="H13" s="57" t="str">
        <f>IF($C13="","",SUMPRODUCT(TinhDiem!$E19:$R19,--(TinhDiem!$E$4:$R$4=H$5),TinhDiem!$E$10:$R$10)*100*TinhDiem!$T19)</f>
        <v/>
      </c>
      <c r="I13" s="58" t="str">
        <f t="shared" si="1"/>
        <v/>
      </c>
      <c r="J13" s="59" t="str">
        <f t="array" ref="J13">IF($C13="","",INDEX(CauHinh!$B$30:$B$34,MATCH(I13,CauHinh!$A$30:$A$34,1)))</f>
        <v/>
      </c>
      <c r="K13" s="60" t="str">
        <f t="array" ref="K13">IF($C13="","",INDEX(CauHinh!$C$30:$C$34,MATCH(I13,CauHinh!$A$30:$A$34,1)))</f>
        <v/>
      </c>
      <c r="L13" s="61" t="str">
        <f t="shared" si="2"/>
        <v/>
      </c>
      <c r="M13" s="55" t="str">
        <f>IF($C13="","",IF(TinhDiem!U19=COUNTA(CauHinh!$B$11:$B$24),"Đầy đủ","Thiếu "&amp;(COUNTA(CauHinh!$B$11:$B$24)-TinhDiem!U19)&amp;" KPI"))</f>
        <v/>
      </c>
    </row>
    <row r="14">
      <c r="A14" s="55">
        <f>NhapLieu!A20</f>
        <v>9</v>
      </c>
      <c r="B14" s="56" t="str">
        <f>TinhDiem!B20</f>
        <v/>
      </c>
      <c r="C14" s="56" t="str">
        <f>TinhDiem!C20</f>
        <v/>
      </c>
      <c r="D14" s="56" t="str">
        <f>TinhDiem!D20</f>
        <v/>
      </c>
      <c r="E14" s="57" t="str">
        <f>IF($C14="","",SUMPRODUCT(TinhDiem!$E20:$R20,--(TinhDiem!$E$4:$R$4=E$5),TinhDiem!$E$10:$R$10)*100*TinhDiem!$T20)</f>
        <v/>
      </c>
      <c r="F14" s="57" t="str">
        <f>IF($C14="","",SUMPRODUCT(TinhDiem!$E20:$R20,--(TinhDiem!$E$4:$R$4=F$5),TinhDiem!$E$10:$R$10)*100*TinhDiem!$T20)</f>
        <v/>
      </c>
      <c r="G14" s="57" t="str">
        <f>IF($C14="","",SUMPRODUCT(TinhDiem!$E20:$R20,--(TinhDiem!$E$4:$R$4=G$5),TinhDiem!$E$10:$R$10)*100*TinhDiem!$T20)</f>
        <v/>
      </c>
      <c r="H14" s="57" t="str">
        <f>IF($C14="","",SUMPRODUCT(TinhDiem!$E20:$R20,--(TinhDiem!$E$4:$R$4=H$5),TinhDiem!$E$10:$R$10)*100*TinhDiem!$T20)</f>
        <v/>
      </c>
      <c r="I14" s="58" t="str">
        <f t="shared" si="1"/>
        <v/>
      </c>
      <c r="J14" s="59" t="str">
        <f t="array" ref="J14">IF($C14="","",INDEX(CauHinh!$B$30:$B$34,MATCH(I14,CauHinh!$A$30:$A$34,1)))</f>
        <v/>
      </c>
      <c r="K14" s="60" t="str">
        <f t="array" ref="K14">IF($C14="","",INDEX(CauHinh!$C$30:$C$34,MATCH(I14,CauHinh!$A$30:$A$34,1)))</f>
        <v/>
      </c>
      <c r="L14" s="61" t="str">
        <f t="shared" si="2"/>
        <v/>
      </c>
      <c r="M14" s="55" t="str">
        <f>IF($C14="","",IF(TinhDiem!U20=COUNTA(CauHinh!$B$11:$B$24),"Đầy đủ","Thiếu "&amp;(COUNTA(CauHinh!$B$11:$B$24)-TinhDiem!U20)&amp;" KPI"))</f>
        <v/>
      </c>
    </row>
    <row r="15">
      <c r="A15" s="55">
        <f>NhapLieu!A21</f>
        <v>10</v>
      </c>
      <c r="B15" s="56" t="str">
        <f>TinhDiem!B21</f>
        <v/>
      </c>
      <c r="C15" s="56" t="str">
        <f>TinhDiem!C21</f>
        <v/>
      </c>
      <c r="D15" s="56" t="str">
        <f>TinhDiem!D21</f>
        <v/>
      </c>
      <c r="E15" s="57" t="str">
        <f>IF($C15="","",SUMPRODUCT(TinhDiem!$E21:$R21,--(TinhDiem!$E$4:$R$4=E$5),TinhDiem!$E$10:$R$10)*100*TinhDiem!$T21)</f>
        <v/>
      </c>
      <c r="F15" s="57" t="str">
        <f>IF($C15="","",SUMPRODUCT(TinhDiem!$E21:$R21,--(TinhDiem!$E$4:$R$4=F$5),TinhDiem!$E$10:$R$10)*100*TinhDiem!$T21)</f>
        <v/>
      </c>
      <c r="G15" s="57" t="str">
        <f>IF($C15="","",SUMPRODUCT(TinhDiem!$E21:$R21,--(TinhDiem!$E$4:$R$4=G$5),TinhDiem!$E$10:$R$10)*100*TinhDiem!$T21)</f>
        <v/>
      </c>
      <c r="H15" s="57" t="str">
        <f>IF($C15="","",SUMPRODUCT(TinhDiem!$E21:$R21,--(TinhDiem!$E$4:$R$4=H$5),TinhDiem!$E$10:$R$10)*100*TinhDiem!$T21)</f>
        <v/>
      </c>
      <c r="I15" s="58" t="str">
        <f t="shared" si="1"/>
        <v/>
      </c>
      <c r="J15" s="59" t="str">
        <f t="array" ref="J15">IF($C15="","",INDEX(CauHinh!$B$30:$B$34,MATCH(I15,CauHinh!$A$30:$A$34,1)))</f>
        <v/>
      </c>
      <c r="K15" s="60" t="str">
        <f t="array" ref="K15">IF($C15="","",INDEX(CauHinh!$C$30:$C$34,MATCH(I15,CauHinh!$A$30:$A$34,1)))</f>
        <v/>
      </c>
      <c r="L15" s="61" t="str">
        <f t="shared" si="2"/>
        <v/>
      </c>
      <c r="M15" s="55" t="str">
        <f>IF($C15="","",IF(TinhDiem!U21=COUNTA(CauHinh!$B$11:$B$24),"Đầy đủ","Thiếu "&amp;(COUNTA(CauHinh!$B$11:$B$24)-TinhDiem!U21)&amp;" KPI"))</f>
        <v/>
      </c>
    </row>
    <row r="16">
      <c r="A16" s="55">
        <f>NhapLieu!A22</f>
        <v>11</v>
      </c>
      <c r="B16" s="56" t="str">
        <f>TinhDiem!B22</f>
        <v/>
      </c>
      <c r="C16" s="56" t="str">
        <f>TinhDiem!C22</f>
        <v/>
      </c>
      <c r="D16" s="56" t="str">
        <f>TinhDiem!D22</f>
        <v/>
      </c>
      <c r="E16" s="57" t="str">
        <f>IF($C16="","",SUMPRODUCT(TinhDiem!$E22:$R22,--(TinhDiem!$E$4:$R$4=E$5),TinhDiem!$E$10:$R$10)*100*TinhDiem!$T22)</f>
        <v/>
      </c>
      <c r="F16" s="57" t="str">
        <f>IF($C16="","",SUMPRODUCT(TinhDiem!$E22:$R22,--(TinhDiem!$E$4:$R$4=F$5),TinhDiem!$E$10:$R$10)*100*TinhDiem!$T22)</f>
        <v/>
      </c>
      <c r="G16" s="57" t="str">
        <f>IF($C16="","",SUMPRODUCT(TinhDiem!$E22:$R22,--(TinhDiem!$E$4:$R$4=G$5),TinhDiem!$E$10:$R$10)*100*TinhDiem!$T22)</f>
        <v/>
      </c>
      <c r="H16" s="57" t="str">
        <f>IF($C16="","",SUMPRODUCT(TinhDiem!$E22:$R22,--(TinhDiem!$E$4:$R$4=H$5),TinhDiem!$E$10:$R$10)*100*TinhDiem!$T22)</f>
        <v/>
      </c>
      <c r="I16" s="58" t="str">
        <f t="shared" si="1"/>
        <v/>
      </c>
      <c r="J16" s="59" t="str">
        <f t="array" ref="J16">IF($C16="","",INDEX(CauHinh!$B$30:$B$34,MATCH(I16,CauHinh!$A$30:$A$34,1)))</f>
        <v/>
      </c>
      <c r="K16" s="60" t="str">
        <f t="array" ref="K16">IF($C16="","",INDEX(CauHinh!$C$30:$C$34,MATCH(I16,CauHinh!$A$30:$A$34,1)))</f>
        <v/>
      </c>
      <c r="L16" s="61" t="str">
        <f t="shared" si="2"/>
        <v/>
      </c>
      <c r="M16" s="55" t="str">
        <f>IF($C16="","",IF(TinhDiem!U22=COUNTA(CauHinh!$B$11:$B$24),"Đầy đủ","Thiếu "&amp;(COUNTA(CauHinh!$B$11:$B$24)-TinhDiem!U22)&amp;" KPI"))</f>
        <v/>
      </c>
    </row>
    <row r="17">
      <c r="A17" s="55">
        <f>NhapLieu!A23</f>
        <v>12</v>
      </c>
      <c r="B17" s="56" t="str">
        <f>TinhDiem!B23</f>
        <v/>
      </c>
      <c r="C17" s="56" t="str">
        <f>TinhDiem!C23</f>
        <v/>
      </c>
      <c r="D17" s="56" t="str">
        <f>TinhDiem!D23</f>
        <v/>
      </c>
      <c r="E17" s="57" t="str">
        <f>IF($C17="","",SUMPRODUCT(TinhDiem!$E23:$R23,--(TinhDiem!$E$4:$R$4=E$5),TinhDiem!$E$10:$R$10)*100*TinhDiem!$T23)</f>
        <v/>
      </c>
      <c r="F17" s="57" t="str">
        <f>IF($C17="","",SUMPRODUCT(TinhDiem!$E23:$R23,--(TinhDiem!$E$4:$R$4=F$5),TinhDiem!$E$10:$R$10)*100*TinhDiem!$T23)</f>
        <v/>
      </c>
      <c r="G17" s="57" t="str">
        <f>IF($C17="","",SUMPRODUCT(TinhDiem!$E23:$R23,--(TinhDiem!$E$4:$R$4=G$5),TinhDiem!$E$10:$R$10)*100*TinhDiem!$T23)</f>
        <v/>
      </c>
      <c r="H17" s="57" t="str">
        <f>IF($C17="","",SUMPRODUCT(TinhDiem!$E23:$R23,--(TinhDiem!$E$4:$R$4=H$5),TinhDiem!$E$10:$R$10)*100*TinhDiem!$T23)</f>
        <v/>
      </c>
      <c r="I17" s="58" t="str">
        <f t="shared" si="1"/>
        <v/>
      </c>
      <c r="J17" s="59" t="str">
        <f t="array" ref="J17">IF($C17="","",INDEX(CauHinh!$B$30:$B$34,MATCH(I17,CauHinh!$A$30:$A$34,1)))</f>
        <v/>
      </c>
      <c r="K17" s="60" t="str">
        <f t="array" ref="K17">IF($C17="","",INDEX(CauHinh!$C$30:$C$34,MATCH(I17,CauHinh!$A$30:$A$34,1)))</f>
        <v/>
      </c>
      <c r="L17" s="61" t="str">
        <f t="shared" si="2"/>
        <v/>
      </c>
      <c r="M17" s="55" t="str">
        <f>IF($C17="","",IF(TinhDiem!U23=COUNTA(CauHinh!$B$11:$B$24),"Đầy đủ","Thiếu "&amp;(COUNTA(CauHinh!$B$11:$B$24)-TinhDiem!U23)&amp;" KPI"))</f>
        <v/>
      </c>
    </row>
    <row r="18">
      <c r="A18" s="55">
        <f>NhapLieu!A24</f>
        <v>13</v>
      </c>
      <c r="B18" s="56" t="str">
        <f>TinhDiem!B24</f>
        <v/>
      </c>
      <c r="C18" s="56" t="str">
        <f>TinhDiem!C24</f>
        <v/>
      </c>
      <c r="D18" s="56" t="str">
        <f>TinhDiem!D24</f>
        <v/>
      </c>
      <c r="E18" s="57" t="str">
        <f>IF($C18="","",SUMPRODUCT(TinhDiem!$E24:$R24,--(TinhDiem!$E$4:$R$4=E$5),TinhDiem!$E$10:$R$10)*100*TinhDiem!$T24)</f>
        <v/>
      </c>
      <c r="F18" s="57" t="str">
        <f>IF($C18="","",SUMPRODUCT(TinhDiem!$E24:$R24,--(TinhDiem!$E$4:$R$4=F$5),TinhDiem!$E$10:$R$10)*100*TinhDiem!$T24)</f>
        <v/>
      </c>
      <c r="G18" s="57" t="str">
        <f>IF($C18="","",SUMPRODUCT(TinhDiem!$E24:$R24,--(TinhDiem!$E$4:$R$4=G$5),TinhDiem!$E$10:$R$10)*100*TinhDiem!$T24)</f>
        <v/>
      </c>
      <c r="H18" s="57" t="str">
        <f>IF($C18="","",SUMPRODUCT(TinhDiem!$E24:$R24,--(TinhDiem!$E$4:$R$4=H$5),TinhDiem!$E$10:$R$10)*100*TinhDiem!$T24)</f>
        <v/>
      </c>
      <c r="I18" s="58" t="str">
        <f t="shared" si="1"/>
        <v/>
      </c>
      <c r="J18" s="59" t="str">
        <f t="array" ref="J18">IF($C18="","",INDEX(CauHinh!$B$30:$B$34,MATCH(I18,CauHinh!$A$30:$A$34,1)))</f>
        <v/>
      </c>
      <c r="K18" s="60" t="str">
        <f t="array" ref="K18">IF($C18="","",INDEX(CauHinh!$C$30:$C$34,MATCH(I18,CauHinh!$A$30:$A$34,1)))</f>
        <v/>
      </c>
      <c r="L18" s="61" t="str">
        <f t="shared" si="2"/>
        <v/>
      </c>
      <c r="M18" s="55" t="str">
        <f>IF($C18="","",IF(TinhDiem!U24=COUNTA(CauHinh!$B$11:$B$24),"Đầy đủ","Thiếu "&amp;(COUNTA(CauHinh!$B$11:$B$24)-TinhDiem!U24)&amp;" KPI"))</f>
        <v/>
      </c>
    </row>
    <row r="19">
      <c r="A19" s="55">
        <f>NhapLieu!A25</f>
        <v>14</v>
      </c>
      <c r="B19" s="56" t="str">
        <f>TinhDiem!B25</f>
        <v/>
      </c>
      <c r="C19" s="56" t="str">
        <f>TinhDiem!C25</f>
        <v/>
      </c>
      <c r="D19" s="56" t="str">
        <f>TinhDiem!D25</f>
        <v/>
      </c>
      <c r="E19" s="57" t="str">
        <f>IF($C19="","",SUMPRODUCT(TinhDiem!$E25:$R25,--(TinhDiem!$E$4:$R$4=E$5),TinhDiem!$E$10:$R$10)*100*TinhDiem!$T25)</f>
        <v/>
      </c>
      <c r="F19" s="57" t="str">
        <f>IF($C19="","",SUMPRODUCT(TinhDiem!$E25:$R25,--(TinhDiem!$E$4:$R$4=F$5),TinhDiem!$E$10:$R$10)*100*TinhDiem!$T25)</f>
        <v/>
      </c>
      <c r="G19" s="57" t="str">
        <f>IF($C19="","",SUMPRODUCT(TinhDiem!$E25:$R25,--(TinhDiem!$E$4:$R$4=G$5),TinhDiem!$E$10:$R$10)*100*TinhDiem!$T25)</f>
        <v/>
      </c>
      <c r="H19" s="57" t="str">
        <f>IF($C19="","",SUMPRODUCT(TinhDiem!$E25:$R25,--(TinhDiem!$E$4:$R$4=H$5),TinhDiem!$E$10:$R$10)*100*TinhDiem!$T25)</f>
        <v/>
      </c>
      <c r="I19" s="58" t="str">
        <f t="shared" si="1"/>
        <v/>
      </c>
      <c r="J19" s="59" t="str">
        <f t="array" ref="J19">IF($C19="","",INDEX(CauHinh!$B$30:$B$34,MATCH(I19,CauHinh!$A$30:$A$34,1)))</f>
        <v/>
      </c>
      <c r="K19" s="60" t="str">
        <f t="array" ref="K19">IF($C19="","",INDEX(CauHinh!$C$30:$C$34,MATCH(I19,CauHinh!$A$30:$A$34,1)))</f>
        <v/>
      </c>
      <c r="L19" s="61" t="str">
        <f t="shared" si="2"/>
        <v/>
      </c>
      <c r="M19" s="55" t="str">
        <f>IF($C19="","",IF(TinhDiem!U25=COUNTA(CauHinh!$B$11:$B$24),"Đầy đủ","Thiếu "&amp;(COUNTA(CauHinh!$B$11:$B$24)-TinhDiem!U25)&amp;" KPI"))</f>
        <v/>
      </c>
    </row>
    <row r="20">
      <c r="A20" s="55">
        <f>NhapLieu!A26</f>
        <v>15</v>
      </c>
      <c r="B20" s="56" t="str">
        <f>TinhDiem!B26</f>
        <v/>
      </c>
      <c r="C20" s="56" t="str">
        <f>TinhDiem!C26</f>
        <v/>
      </c>
      <c r="D20" s="56" t="str">
        <f>TinhDiem!D26</f>
        <v/>
      </c>
      <c r="E20" s="57" t="str">
        <f>IF($C20="","",SUMPRODUCT(TinhDiem!$E26:$R26,--(TinhDiem!$E$4:$R$4=E$5),TinhDiem!$E$10:$R$10)*100*TinhDiem!$T26)</f>
        <v/>
      </c>
      <c r="F20" s="57" t="str">
        <f>IF($C20="","",SUMPRODUCT(TinhDiem!$E26:$R26,--(TinhDiem!$E$4:$R$4=F$5),TinhDiem!$E$10:$R$10)*100*TinhDiem!$T26)</f>
        <v/>
      </c>
      <c r="G20" s="57" t="str">
        <f>IF($C20="","",SUMPRODUCT(TinhDiem!$E26:$R26,--(TinhDiem!$E$4:$R$4=G$5),TinhDiem!$E$10:$R$10)*100*TinhDiem!$T26)</f>
        <v/>
      </c>
      <c r="H20" s="57" t="str">
        <f>IF($C20="","",SUMPRODUCT(TinhDiem!$E26:$R26,--(TinhDiem!$E$4:$R$4=H$5),TinhDiem!$E$10:$R$10)*100*TinhDiem!$T26)</f>
        <v/>
      </c>
      <c r="I20" s="58" t="str">
        <f t="shared" si="1"/>
        <v/>
      </c>
      <c r="J20" s="59" t="str">
        <f t="array" ref="J20">IF($C20="","",INDEX(CauHinh!$B$30:$B$34,MATCH(I20,CauHinh!$A$30:$A$34,1)))</f>
        <v/>
      </c>
      <c r="K20" s="60" t="str">
        <f t="array" ref="K20">IF($C20="","",INDEX(CauHinh!$C$30:$C$34,MATCH(I20,CauHinh!$A$30:$A$34,1)))</f>
        <v/>
      </c>
      <c r="L20" s="61" t="str">
        <f t="shared" si="2"/>
        <v/>
      </c>
      <c r="M20" s="55" t="str">
        <f>IF($C20="","",IF(TinhDiem!U26=COUNTA(CauHinh!$B$11:$B$24),"Đầy đủ","Thiếu "&amp;(COUNTA(CauHinh!$B$11:$B$24)-TinhDiem!U26)&amp;" KPI"))</f>
        <v/>
      </c>
    </row>
    <row r="21" ht="15.75" customHeight="1">
      <c r="A21" s="55">
        <f>NhapLieu!A27</f>
        <v>16</v>
      </c>
      <c r="B21" s="56" t="str">
        <f>TinhDiem!B27</f>
        <v/>
      </c>
      <c r="C21" s="56" t="str">
        <f>TinhDiem!C27</f>
        <v/>
      </c>
      <c r="D21" s="56" t="str">
        <f>TinhDiem!D27</f>
        <v/>
      </c>
      <c r="E21" s="57" t="str">
        <f>IF($C21="","",SUMPRODUCT(TinhDiem!$E27:$R27,--(TinhDiem!$E$4:$R$4=E$5),TinhDiem!$E$10:$R$10)*100*TinhDiem!$T27)</f>
        <v/>
      </c>
      <c r="F21" s="57" t="str">
        <f>IF($C21="","",SUMPRODUCT(TinhDiem!$E27:$R27,--(TinhDiem!$E$4:$R$4=F$5),TinhDiem!$E$10:$R$10)*100*TinhDiem!$T27)</f>
        <v/>
      </c>
      <c r="G21" s="57" t="str">
        <f>IF($C21="","",SUMPRODUCT(TinhDiem!$E27:$R27,--(TinhDiem!$E$4:$R$4=G$5),TinhDiem!$E$10:$R$10)*100*TinhDiem!$T27)</f>
        <v/>
      </c>
      <c r="H21" s="57" t="str">
        <f>IF($C21="","",SUMPRODUCT(TinhDiem!$E27:$R27,--(TinhDiem!$E$4:$R$4=H$5),TinhDiem!$E$10:$R$10)*100*TinhDiem!$T27)</f>
        <v/>
      </c>
      <c r="I21" s="58" t="str">
        <f t="shared" si="1"/>
        <v/>
      </c>
      <c r="J21" s="59" t="str">
        <f t="array" ref="J21">IF($C21="","",INDEX(CauHinh!$B$30:$B$34,MATCH(I21,CauHinh!$A$30:$A$34,1)))</f>
        <v/>
      </c>
      <c r="K21" s="60" t="str">
        <f t="array" ref="K21">IF($C21="","",INDEX(CauHinh!$C$30:$C$34,MATCH(I21,CauHinh!$A$30:$A$34,1)))</f>
        <v/>
      </c>
      <c r="L21" s="61" t="str">
        <f t="shared" si="2"/>
        <v/>
      </c>
      <c r="M21" s="55" t="str">
        <f>IF($C21="","",IF(TinhDiem!U27=COUNTA(CauHinh!$B$11:$B$24),"Đầy đủ","Thiếu "&amp;(COUNTA(CauHinh!$B$11:$B$24)-TinhDiem!U27)&amp;" KPI"))</f>
        <v/>
      </c>
    </row>
    <row r="22" ht="15.75" customHeight="1">
      <c r="A22" s="55">
        <f>NhapLieu!A28</f>
        <v>17</v>
      </c>
      <c r="B22" s="56" t="str">
        <f>TinhDiem!B28</f>
        <v/>
      </c>
      <c r="C22" s="56" t="str">
        <f>TinhDiem!C28</f>
        <v/>
      </c>
      <c r="D22" s="56" t="str">
        <f>TinhDiem!D28</f>
        <v/>
      </c>
      <c r="E22" s="57" t="str">
        <f>IF($C22="","",SUMPRODUCT(TinhDiem!$E28:$R28,--(TinhDiem!$E$4:$R$4=E$5),TinhDiem!$E$10:$R$10)*100*TinhDiem!$T28)</f>
        <v/>
      </c>
      <c r="F22" s="57" t="str">
        <f>IF($C22="","",SUMPRODUCT(TinhDiem!$E28:$R28,--(TinhDiem!$E$4:$R$4=F$5),TinhDiem!$E$10:$R$10)*100*TinhDiem!$T28)</f>
        <v/>
      </c>
      <c r="G22" s="57" t="str">
        <f>IF($C22="","",SUMPRODUCT(TinhDiem!$E28:$R28,--(TinhDiem!$E$4:$R$4=G$5),TinhDiem!$E$10:$R$10)*100*TinhDiem!$T28)</f>
        <v/>
      </c>
      <c r="H22" s="57" t="str">
        <f>IF($C22="","",SUMPRODUCT(TinhDiem!$E28:$R28,--(TinhDiem!$E$4:$R$4=H$5),TinhDiem!$E$10:$R$10)*100*TinhDiem!$T28)</f>
        <v/>
      </c>
      <c r="I22" s="58" t="str">
        <f t="shared" si="1"/>
        <v/>
      </c>
      <c r="J22" s="59" t="str">
        <f t="array" ref="J22">IF($C22="","",INDEX(CauHinh!$B$30:$B$34,MATCH(I22,CauHinh!$A$30:$A$34,1)))</f>
        <v/>
      </c>
      <c r="K22" s="60" t="str">
        <f t="array" ref="K22">IF($C22="","",INDEX(CauHinh!$C$30:$C$34,MATCH(I22,CauHinh!$A$30:$A$34,1)))</f>
        <v/>
      </c>
      <c r="L22" s="61" t="str">
        <f t="shared" si="2"/>
        <v/>
      </c>
      <c r="M22" s="55" t="str">
        <f>IF($C22="","",IF(TinhDiem!U28=COUNTA(CauHinh!$B$11:$B$24),"Đầy đủ","Thiếu "&amp;(COUNTA(CauHinh!$B$11:$B$24)-TinhDiem!U28)&amp;" KPI"))</f>
        <v/>
      </c>
    </row>
    <row r="23" ht="15.75" customHeight="1">
      <c r="A23" s="55">
        <f>NhapLieu!A29</f>
        <v>18</v>
      </c>
      <c r="B23" s="56" t="str">
        <f>TinhDiem!B29</f>
        <v/>
      </c>
      <c r="C23" s="56" t="str">
        <f>TinhDiem!C29</f>
        <v/>
      </c>
      <c r="D23" s="56" t="str">
        <f>TinhDiem!D29</f>
        <v/>
      </c>
      <c r="E23" s="57" t="str">
        <f>IF($C23="","",SUMPRODUCT(TinhDiem!$E29:$R29,--(TinhDiem!$E$4:$R$4=E$5),TinhDiem!$E$10:$R$10)*100*TinhDiem!$T29)</f>
        <v/>
      </c>
      <c r="F23" s="57" t="str">
        <f>IF($C23="","",SUMPRODUCT(TinhDiem!$E29:$R29,--(TinhDiem!$E$4:$R$4=F$5),TinhDiem!$E$10:$R$10)*100*TinhDiem!$T29)</f>
        <v/>
      </c>
      <c r="G23" s="57" t="str">
        <f>IF($C23="","",SUMPRODUCT(TinhDiem!$E29:$R29,--(TinhDiem!$E$4:$R$4=G$5),TinhDiem!$E$10:$R$10)*100*TinhDiem!$T29)</f>
        <v/>
      </c>
      <c r="H23" s="57" t="str">
        <f>IF($C23="","",SUMPRODUCT(TinhDiem!$E29:$R29,--(TinhDiem!$E$4:$R$4=H$5),TinhDiem!$E$10:$R$10)*100*TinhDiem!$T29)</f>
        <v/>
      </c>
      <c r="I23" s="58" t="str">
        <f t="shared" si="1"/>
        <v/>
      </c>
      <c r="J23" s="59" t="str">
        <f t="array" ref="J23">IF($C23="","",INDEX(CauHinh!$B$30:$B$34,MATCH(I23,CauHinh!$A$30:$A$34,1)))</f>
        <v/>
      </c>
      <c r="K23" s="60" t="str">
        <f t="array" ref="K23">IF($C23="","",INDEX(CauHinh!$C$30:$C$34,MATCH(I23,CauHinh!$A$30:$A$34,1)))</f>
        <v/>
      </c>
      <c r="L23" s="61" t="str">
        <f t="shared" si="2"/>
        <v/>
      </c>
      <c r="M23" s="55" t="str">
        <f>IF($C23="","",IF(TinhDiem!U29=COUNTA(CauHinh!$B$11:$B$24),"Đầy đủ","Thiếu "&amp;(COUNTA(CauHinh!$B$11:$B$24)-TinhDiem!U29)&amp;" KPI"))</f>
        <v/>
      </c>
    </row>
    <row r="24" ht="15.75" customHeight="1">
      <c r="A24" s="55">
        <f>NhapLieu!A30</f>
        <v>19</v>
      </c>
      <c r="B24" s="56" t="str">
        <f>TinhDiem!B30</f>
        <v/>
      </c>
      <c r="C24" s="56" t="str">
        <f>TinhDiem!C30</f>
        <v/>
      </c>
      <c r="D24" s="56" t="str">
        <f>TinhDiem!D30</f>
        <v/>
      </c>
      <c r="E24" s="57" t="str">
        <f>IF($C24="","",SUMPRODUCT(TinhDiem!$E30:$R30,--(TinhDiem!$E$4:$R$4=E$5),TinhDiem!$E$10:$R$10)*100*TinhDiem!$T30)</f>
        <v/>
      </c>
      <c r="F24" s="57" t="str">
        <f>IF($C24="","",SUMPRODUCT(TinhDiem!$E30:$R30,--(TinhDiem!$E$4:$R$4=F$5),TinhDiem!$E$10:$R$10)*100*TinhDiem!$T30)</f>
        <v/>
      </c>
      <c r="G24" s="57" t="str">
        <f>IF($C24="","",SUMPRODUCT(TinhDiem!$E30:$R30,--(TinhDiem!$E$4:$R$4=G$5),TinhDiem!$E$10:$R$10)*100*TinhDiem!$T30)</f>
        <v/>
      </c>
      <c r="H24" s="57" t="str">
        <f>IF($C24="","",SUMPRODUCT(TinhDiem!$E30:$R30,--(TinhDiem!$E$4:$R$4=H$5),TinhDiem!$E$10:$R$10)*100*TinhDiem!$T30)</f>
        <v/>
      </c>
      <c r="I24" s="58" t="str">
        <f t="shared" si="1"/>
        <v/>
      </c>
      <c r="J24" s="59" t="str">
        <f t="array" ref="J24">IF($C24="","",INDEX(CauHinh!$B$30:$B$34,MATCH(I24,CauHinh!$A$30:$A$34,1)))</f>
        <v/>
      </c>
      <c r="K24" s="60" t="str">
        <f t="array" ref="K24">IF($C24="","",INDEX(CauHinh!$C$30:$C$34,MATCH(I24,CauHinh!$A$30:$A$34,1)))</f>
        <v/>
      </c>
      <c r="L24" s="61" t="str">
        <f t="shared" si="2"/>
        <v/>
      </c>
      <c r="M24" s="55" t="str">
        <f>IF($C24="","",IF(TinhDiem!U30=COUNTA(CauHinh!$B$11:$B$24),"Đầy đủ","Thiếu "&amp;(COUNTA(CauHinh!$B$11:$B$24)-TinhDiem!U30)&amp;" KPI"))</f>
        <v/>
      </c>
    </row>
    <row r="25" ht="15.75" customHeight="1">
      <c r="A25" s="55">
        <f>NhapLieu!A31</f>
        <v>20</v>
      </c>
      <c r="B25" s="56" t="str">
        <f>TinhDiem!B31</f>
        <v/>
      </c>
      <c r="C25" s="56" t="str">
        <f>TinhDiem!C31</f>
        <v/>
      </c>
      <c r="D25" s="56" t="str">
        <f>TinhDiem!D31</f>
        <v/>
      </c>
      <c r="E25" s="57" t="str">
        <f>IF($C25="","",SUMPRODUCT(TinhDiem!$E31:$R31,--(TinhDiem!$E$4:$R$4=E$5),TinhDiem!$E$10:$R$10)*100*TinhDiem!$T31)</f>
        <v/>
      </c>
      <c r="F25" s="57" t="str">
        <f>IF($C25="","",SUMPRODUCT(TinhDiem!$E31:$R31,--(TinhDiem!$E$4:$R$4=F$5),TinhDiem!$E$10:$R$10)*100*TinhDiem!$T31)</f>
        <v/>
      </c>
      <c r="G25" s="57" t="str">
        <f>IF($C25="","",SUMPRODUCT(TinhDiem!$E31:$R31,--(TinhDiem!$E$4:$R$4=G$5),TinhDiem!$E$10:$R$10)*100*TinhDiem!$T31)</f>
        <v/>
      </c>
      <c r="H25" s="57" t="str">
        <f>IF($C25="","",SUMPRODUCT(TinhDiem!$E31:$R31,--(TinhDiem!$E$4:$R$4=H$5),TinhDiem!$E$10:$R$10)*100*TinhDiem!$T31)</f>
        <v/>
      </c>
      <c r="I25" s="58" t="str">
        <f t="shared" si="1"/>
        <v/>
      </c>
      <c r="J25" s="59" t="str">
        <f t="array" ref="J25">IF($C25="","",INDEX(CauHinh!$B$30:$B$34,MATCH(I25,CauHinh!$A$30:$A$34,1)))</f>
        <v/>
      </c>
      <c r="K25" s="60" t="str">
        <f t="array" ref="K25">IF($C25="","",INDEX(CauHinh!$C$30:$C$34,MATCH(I25,CauHinh!$A$30:$A$34,1)))</f>
        <v/>
      </c>
      <c r="L25" s="61" t="str">
        <f t="shared" si="2"/>
        <v/>
      </c>
      <c r="M25" s="55" t="str">
        <f>IF($C25="","",IF(TinhDiem!U31=COUNTA(CauHinh!$B$11:$B$24),"Đầy đủ","Thiếu "&amp;(COUNTA(CauHinh!$B$11:$B$24)-TinhDiem!U31)&amp;" KPI"))</f>
        <v/>
      </c>
    </row>
    <row r="26" ht="15.75" customHeight="1"/>
    <row r="27" ht="15.75" customHeight="1"/>
    <row r="28" ht="15.75" customHeight="1">
      <c r="A28" s="9" t="s">
        <v>195</v>
      </c>
      <c r="B28" s="2"/>
      <c r="C28" s="2"/>
      <c r="D28" s="3"/>
    </row>
    <row r="29" ht="15.0" customHeight="1">
      <c r="A29" s="13" t="s">
        <v>196</v>
      </c>
      <c r="B29" s="11"/>
      <c r="C29" s="12"/>
      <c r="D29" s="61">
        <f>COUNT(I6:I25)</f>
        <v>6</v>
      </c>
    </row>
    <row r="30" ht="15.0" customHeight="1">
      <c r="A30" s="13" t="s">
        <v>197</v>
      </c>
      <c r="B30" s="11"/>
      <c r="C30" s="12"/>
      <c r="D30" s="75">
        <f>IFERROR(AVERAGE(I6:I25),0)</f>
        <v>93.02142711</v>
      </c>
    </row>
    <row r="31" ht="15.0" customHeight="1">
      <c r="A31" s="13" t="s">
        <v>198</v>
      </c>
      <c r="B31" s="11"/>
      <c r="C31" s="12"/>
      <c r="D31" s="75">
        <f>IF(COUNT(I6:I25)=0,0,MAX(I6:I25))</f>
        <v>102.834755</v>
      </c>
    </row>
    <row r="32" ht="15.0" customHeight="1">
      <c r="A32" s="13" t="s">
        <v>199</v>
      </c>
      <c r="B32" s="11"/>
      <c r="C32" s="12"/>
      <c r="D32" s="75">
        <f>IF(COUNT(I6:I25)=0,0,MIN(I6:I25))</f>
        <v>67.63690887</v>
      </c>
    </row>
    <row r="33" ht="15.75" customHeight="1"/>
    <row r="34" ht="15.75" customHeight="1">
      <c r="A34" s="9" t="s">
        <v>200</v>
      </c>
      <c r="B34" s="2"/>
      <c r="C34" s="2"/>
      <c r="D34" s="3"/>
    </row>
    <row r="35" ht="15.75" customHeight="1">
      <c r="C35" s="40" t="s">
        <v>128</v>
      </c>
      <c r="D35" s="40" t="s">
        <v>201</v>
      </c>
    </row>
    <row r="36" ht="15.75" customHeight="1">
      <c r="C36" s="86" t="str">
        <f>CauHinh!B30</f>
        <v>Không đạt</v>
      </c>
      <c r="D36" s="55" t="str">
        <f t="shared" ref="D36:D40" si="3">COUNTIF($J$6:$J$25,C36)&amp;"  |  "&amp;TEXT(IF($D$29=0,0,COUNTIF($J$6:$J$25,C36)/$D$29),"0%")</f>
        <v>1  |  17%</v>
      </c>
    </row>
    <row r="37" ht="15.75" customHeight="1">
      <c r="C37" s="86" t="str">
        <f>CauHinh!B31</f>
        <v>Cần cải thiện</v>
      </c>
      <c r="D37" s="55" t="str">
        <f t="shared" si="3"/>
        <v>0  |  0%</v>
      </c>
    </row>
    <row r="38" ht="15.75" customHeight="1">
      <c r="C38" s="86" t="str">
        <f>CauHinh!B32</f>
        <v>Hoàn thành</v>
      </c>
      <c r="D38" s="55" t="str">
        <f t="shared" si="3"/>
        <v>1  |  17%</v>
      </c>
    </row>
    <row r="39" ht="15.75" customHeight="1">
      <c r="C39" s="86" t="str">
        <f>CauHinh!B33</f>
        <v>Tốt</v>
      </c>
      <c r="D39" s="55" t="str">
        <f t="shared" si="3"/>
        <v>4  |  67%</v>
      </c>
    </row>
    <row r="40" ht="15.75" customHeight="1">
      <c r="C40" s="86" t="str">
        <f>CauHinh!B34</f>
        <v>Xuất sắc</v>
      </c>
      <c r="D40" s="55" t="str">
        <f t="shared" si="3"/>
        <v>0  |  0%</v>
      </c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4:D4"/>
    <mergeCell ref="A28:D28"/>
    <mergeCell ref="A29:C29"/>
    <mergeCell ref="A30:C30"/>
    <mergeCell ref="A31:C31"/>
    <mergeCell ref="A32:C32"/>
    <mergeCell ref="A34:D34"/>
    <mergeCell ref="E1:L1"/>
  </mergeCells>
  <conditionalFormatting sqref="J6:J25">
    <cfRule type="expression" dxfId="4" priority="1">
      <formula>$J6="Xuất sắc"</formula>
    </cfRule>
  </conditionalFormatting>
  <conditionalFormatting sqref="J6:J25">
    <cfRule type="expression" dxfId="14" priority="2">
      <formula>$J6="Tốt"</formula>
    </cfRule>
  </conditionalFormatting>
  <conditionalFormatting sqref="J6:J25">
    <cfRule type="expression" dxfId="15" priority="3">
      <formula>$J6="Hoàn thành"</formula>
    </cfRule>
  </conditionalFormatting>
  <conditionalFormatting sqref="J6:J25">
    <cfRule type="expression" dxfId="16" priority="4">
      <formula>$J6="Cần cải thiện"</formula>
    </cfRule>
  </conditionalFormatting>
  <conditionalFormatting sqref="J6:J25">
    <cfRule type="expression" dxfId="17" priority="5">
      <formula>$J6="Không đạt"</formula>
    </cfRule>
  </conditionalFormatting>
  <conditionalFormatting sqref="M6:M25">
    <cfRule type="expression" dxfId="18" priority="6">
      <formula>LEFT($M6,5)="Thiếu"</formula>
    </cfRule>
  </conditionalFormatting>
  <printOptions/>
  <pageMargins bottom="1.0" footer="0.0" header="0.0" left="0.75" right="0.75" top="1.0"/>
  <pageSetup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95959"/>
    <pageSetUpPr fitToPage="1"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2" width="24.0"/>
    <col customWidth="1" min="3" max="3" width="38.0"/>
    <col customWidth="1" min="4" max="4" width="11.0"/>
    <col customWidth="1" min="5" max="5" width="17.0"/>
    <col customWidth="1" min="6" max="7" width="11.0"/>
    <col customWidth="1" min="8" max="8" width="13.0"/>
    <col customWidth="1" min="9" max="9" width="10.0"/>
    <col customWidth="1" min="10" max="10" width="11.0"/>
    <col customWidth="1" min="11" max="26" width="8.71"/>
  </cols>
  <sheetData>
    <row r="1" ht="30.0" customHeight="1">
      <c r="A1" s="1" t="s">
        <v>156</v>
      </c>
      <c r="B1" s="2"/>
      <c r="C1" s="2"/>
      <c r="D1" s="2"/>
      <c r="E1" s="2"/>
      <c r="F1" s="2"/>
      <c r="G1" s="2"/>
      <c r="H1" s="2"/>
      <c r="I1" s="2"/>
      <c r="J1" s="3"/>
    </row>
    <row r="2">
      <c r="A2" s="65" t="str">
        <f>CauHinh!C4</f>
        <v>CÔNG TY TNHH ABC</v>
      </c>
    </row>
    <row r="4" ht="15.0" customHeight="1">
      <c r="B4" s="66" t="s">
        <v>160</v>
      </c>
      <c r="C4" s="67" t="s">
        <v>157</v>
      </c>
      <c r="E4" s="13" t="s">
        <v>56</v>
      </c>
      <c r="F4" s="12"/>
      <c r="G4" s="68" t="str">
        <f>CauHinh!C5</f>
        <v>Tháng 10/2026</v>
      </c>
      <c r="H4" s="11"/>
      <c r="I4" s="11"/>
      <c r="J4" s="12"/>
    </row>
    <row r="5" ht="15.0" customHeight="1">
      <c r="B5" s="66" t="s">
        <v>148</v>
      </c>
      <c r="C5" s="5" t="str">
        <f t="array" ref="C5">IF($C$7="","",INDEX(NhapLieu!$C$12:$C$31,$C$7))</f>
        <v>Nguyễn Thị Lan</v>
      </c>
      <c r="E5" s="13" t="s">
        <v>164</v>
      </c>
      <c r="F5" s="12"/>
      <c r="G5" s="14"/>
      <c r="H5" s="11"/>
      <c r="I5" s="11"/>
      <c r="J5" s="12"/>
    </row>
    <row r="6" ht="15.0" customHeight="1">
      <c r="B6" s="66" t="s">
        <v>149</v>
      </c>
      <c r="C6" s="6" t="str">
        <f t="array" ref="C6">IF($C$7="","",INDEX(NhapLieu!$D$12:$D$31,$C$7))</f>
        <v>Kế toán tổng hợp</v>
      </c>
      <c r="E6" s="13" t="s">
        <v>168</v>
      </c>
      <c r="F6" s="12"/>
      <c r="G6" s="14"/>
      <c r="H6" s="11"/>
      <c r="I6" s="11"/>
      <c r="J6" s="12"/>
    </row>
    <row r="7">
      <c r="B7" s="69" t="s">
        <v>172</v>
      </c>
      <c r="C7" s="70">
        <f>IF($C$4="","",IFERROR(MATCH($C$4,NhapLieu!$B$12:$B$31,0),""))</f>
        <v>1</v>
      </c>
    </row>
    <row r="8" ht="30.0" customHeight="1">
      <c r="A8" s="40" t="s">
        <v>62</v>
      </c>
      <c r="B8" s="40" t="s">
        <v>42</v>
      </c>
      <c r="C8" s="40" t="s">
        <v>64</v>
      </c>
      <c r="D8" s="40" t="s">
        <v>50</v>
      </c>
      <c r="E8" s="40" t="s">
        <v>66</v>
      </c>
      <c r="F8" s="40" t="s">
        <v>67</v>
      </c>
      <c r="G8" s="40" t="s">
        <v>176</v>
      </c>
      <c r="H8" s="40" t="s">
        <v>178</v>
      </c>
      <c r="I8" s="40" t="s">
        <v>69</v>
      </c>
      <c r="J8" s="40" t="s">
        <v>181</v>
      </c>
    </row>
    <row r="9" ht="27.75" customHeight="1">
      <c r="A9" s="55">
        <v>1.0</v>
      </c>
      <c r="B9" s="56" t="str">
        <f>CauHinh!C11</f>
        <v>A. Chất lượng &amp; độ chính xác</v>
      </c>
      <c r="C9" s="56" t="str">
        <f>CauHinh!D11</f>
        <v>Tỷ lệ chứng từ hạch toán chính xác</v>
      </c>
      <c r="D9" s="71" t="str">
        <f>CauHinh!F11</f>
        <v>%</v>
      </c>
      <c r="E9" s="71" t="str">
        <f>CauHinh!G11</f>
        <v>Cao hơn tốt hơn</v>
      </c>
      <c r="F9" s="72">
        <f>CauHinh!H11</f>
        <v>0.98</v>
      </c>
      <c r="G9" s="73">
        <f t="array" ref="G9">IF(OR($C$7="",H9=""),"",INDEX(NhapLieu!$E$12:$R$31,$C$7,1))</f>
        <v>0.99</v>
      </c>
      <c r="H9" s="62">
        <f t="array" ref="H9">IF($C$7="","",INDEX(TinhDiem!$E$12:$R$31,$C$7,1))</f>
        <v>1.010204082</v>
      </c>
      <c r="I9" s="74">
        <f>CauHinh!J11</f>
        <v>0.1</v>
      </c>
      <c r="J9" s="75">
        <f t="array" ref="J9">IF(OR($C$7="",H9=""),"",H9*I9*100*INDEX(TinhDiem!$T$12:$T$31,$C$7))</f>
        <v>10.10204082</v>
      </c>
    </row>
    <row r="10" ht="27.75" customHeight="1">
      <c r="A10" s="55">
        <v>2.0</v>
      </c>
      <c r="B10" s="56" t="str">
        <f>CauHinh!C12</f>
        <v>A. Chất lượng &amp; độ chính xác</v>
      </c>
      <c r="C10" s="56" t="str">
        <f>CauHinh!D12</f>
        <v>Số sai sót nghiêm trọng</v>
      </c>
      <c r="D10" s="71" t="str">
        <f>CauHinh!F12</f>
        <v>lần</v>
      </c>
      <c r="E10" s="71" t="str">
        <f>CauHinh!G12</f>
        <v>Thấp hơn tốt hơn</v>
      </c>
      <c r="F10" s="71">
        <f>CauHinh!H12</f>
        <v>0</v>
      </c>
      <c r="G10" s="59">
        <f t="array" ref="G10">IF(OR($C$7="",H10=""),"",INDEX(NhapLieu!$E$12:$R$31,$C$7,2))</f>
        <v>0</v>
      </c>
      <c r="H10" s="62">
        <f t="array" ref="H10">IF($C$7="","",INDEX(TinhDiem!$E$12:$R$31,$C$7,2))</f>
        <v>1</v>
      </c>
      <c r="I10" s="74">
        <f>CauHinh!J12</f>
        <v>0.1</v>
      </c>
      <c r="J10" s="75">
        <f t="array" ref="J10">IF(OR($C$7="",H10=""),"",H10*I10*100*INDEX(TinhDiem!$T$12:$T$31,$C$7))</f>
        <v>10</v>
      </c>
    </row>
    <row r="11" ht="27.75" customHeight="1">
      <c r="A11" s="55">
        <v>3.0</v>
      </c>
      <c r="B11" s="56" t="str">
        <f>CauHinh!C13</f>
        <v>A. Chất lượng &amp; độ chính xác</v>
      </c>
      <c r="C11" s="56" t="str">
        <f>CauHinh!D13</f>
        <v>Tỷ lệ báo cáo phải điều chỉnh sau khi nộp</v>
      </c>
      <c r="D11" s="71" t="str">
        <f>CauHinh!F13</f>
        <v>%</v>
      </c>
      <c r="E11" s="71" t="str">
        <f>CauHinh!G13</f>
        <v>Thấp hơn tốt hơn</v>
      </c>
      <c r="F11" s="72">
        <f>CauHinh!H13</f>
        <v>0.02</v>
      </c>
      <c r="G11" s="73">
        <f t="array" ref="G11">IF(OR($C$7="",H11=""),"",INDEX(NhapLieu!$E$12:$R$31,$C$7,3))</f>
        <v>0.01</v>
      </c>
      <c r="H11" s="62">
        <f t="array" ref="H11">IF($C$7="","",INDEX(TinhDiem!$E$12:$R$31,$C$7,3))</f>
        <v>1</v>
      </c>
      <c r="I11" s="74">
        <f>CauHinh!J13</f>
        <v>0.05</v>
      </c>
      <c r="J11" s="75">
        <f t="array" ref="J11">IF(OR($C$7="",H11=""),"",H11*I11*100*INDEX(TinhDiem!$T$12:$T$31,$C$7))</f>
        <v>5</v>
      </c>
    </row>
    <row r="12" ht="27.75" customHeight="1">
      <c r="A12" s="55">
        <v>4.0</v>
      </c>
      <c r="B12" s="56" t="str">
        <f>CauHinh!C14</f>
        <v>A. Chất lượng &amp; độ chính xác</v>
      </c>
      <c r="C12" s="56" t="str">
        <f>CauHinh!D14</f>
        <v>Tỷ lệ chênh lệch đối chiếu chưa xử lý</v>
      </c>
      <c r="D12" s="71" t="str">
        <f>CauHinh!F14</f>
        <v>%</v>
      </c>
      <c r="E12" s="71" t="str">
        <f>CauHinh!G14</f>
        <v>Thấp hơn tốt hơn</v>
      </c>
      <c r="F12" s="72">
        <f>CauHinh!H14</f>
        <v>0.005</v>
      </c>
      <c r="G12" s="73">
        <f t="array" ref="G12">IF(OR($C$7="",H12=""),"",INDEX(NhapLieu!$E$12:$R$31,$C$7,4))</f>
        <v>0.004</v>
      </c>
      <c r="H12" s="62">
        <f t="array" ref="H12">IF($C$7="","",INDEX(TinhDiem!$E$12:$R$31,$C$7,4))</f>
        <v>1</v>
      </c>
      <c r="I12" s="74">
        <f>CauHinh!J14</f>
        <v>0.1</v>
      </c>
      <c r="J12" s="75">
        <f t="array" ref="J12">IF(OR($C$7="",H12=""),"",H12*I12*100*INDEX(TinhDiem!$T$12:$T$31,$C$7))</f>
        <v>10</v>
      </c>
    </row>
    <row r="13" ht="27.75" customHeight="1">
      <c r="A13" s="55">
        <v>5.0</v>
      </c>
      <c r="B13" s="56" t="str">
        <f>CauHinh!C15</f>
        <v>B. Tiến độ &amp; tuân thủ</v>
      </c>
      <c r="C13" s="56" t="str">
        <f>CauHinh!D15</f>
        <v>Tỷ lệ báo cáo nộp đúng hạn</v>
      </c>
      <c r="D13" s="71" t="str">
        <f>CauHinh!F15</f>
        <v>%</v>
      </c>
      <c r="E13" s="71" t="str">
        <f>CauHinh!G15</f>
        <v>Cao hơn tốt hơn</v>
      </c>
      <c r="F13" s="72">
        <f>CauHinh!H15</f>
        <v>1</v>
      </c>
      <c r="G13" s="73">
        <f t="array" ref="G13">IF(OR($C$7="",H13=""),"",INDEX(NhapLieu!$E$12:$R$31,$C$7,5))</f>
        <v>1</v>
      </c>
      <c r="H13" s="62">
        <f t="array" ref="H13">IF($C$7="","",INDEX(TinhDiem!$E$12:$R$31,$C$7,5))</f>
        <v>1</v>
      </c>
      <c r="I13" s="74">
        <f>CauHinh!J15</f>
        <v>0.1</v>
      </c>
      <c r="J13" s="75">
        <f t="array" ref="J13">IF(OR($C$7="",H13=""),"",H13*I13*100*INDEX(TinhDiem!$T$12:$T$31,$C$7))</f>
        <v>10</v>
      </c>
    </row>
    <row r="14" ht="27.75" customHeight="1">
      <c r="A14" s="55">
        <v>6.0</v>
      </c>
      <c r="B14" s="56" t="str">
        <f>CauHinh!C16</f>
        <v>B. Tiến độ &amp; tuân thủ</v>
      </c>
      <c r="C14" s="56" t="str">
        <f>CauHinh!D16</f>
        <v>Số ngày hoàn thành khóa sổ</v>
      </c>
      <c r="D14" s="71" t="str">
        <f>CauHinh!F16</f>
        <v>ngày</v>
      </c>
      <c r="E14" s="71" t="str">
        <f>CauHinh!G16</f>
        <v>Thấp hơn tốt hơn</v>
      </c>
      <c r="F14" s="71">
        <f>CauHinh!H16</f>
        <v>5</v>
      </c>
      <c r="G14" s="59">
        <f t="array" ref="G14">IF(OR($C$7="",H14=""),"",INDEX(NhapLieu!$E$12:$R$31,$C$7,6))</f>
        <v>4</v>
      </c>
      <c r="H14" s="62">
        <f t="array" ref="H14">IF($C$7="","",INDEX(TinhDiem!$E$12:$R$31,$C$7,6))</f>
        <v>1</v>
      </c>
      <c r="I14" s="74">
        <f>CauHinh!J16</f>
        <v>0.05</v>
      </c>
      <c r="J14" s="75">
        <f t="array" ref="J14">IF(OR($C$7="",H14=""),"",H14*I14*100*INDEX(TinhDiem!$T$12:$T$31,$C$7))</f>
        <v>5</v>
      </c>
    </row>
    <row r="15" ht="27.75" customHeight="1">
      <c r="A15" s="55">
        <v>7.0</v>
      </c>
      <c r="B15" s="56" t="str">
        <f>CauHinh!C17</f>
        <v>B. Tiến độ &amp; tuân thủ</v>
      </c>
      <c r="C15" s="56" t="str">
        <f>CauHinh!D17</f>
        <v>Tỷ lệ tờ khai thuế/ BHXH nộp đúng hạn</v>
      </c>
      <c r="D15" s="71" t="str">
        <f>CauHinh!F17</f>
        <v>%</v>
      </c>
      <c r="E15" s="71" t="str">
        <f>CauHinh!G17</f>
        <v>Cao hơn tốt hơn</v>
      </c>
      <c r="F15" s="72">
        <f>CauHinh!H17</f>
        <v>1</v>
      </c>
      <c r="G15" s="73">
        <f t="array" ref="G15">IF(OR($C$7="",H15=""),"",INDEX(NhapLieu!$E$12:$R$31,$C$7,7))</f>
        <v>1</v>
      </c>
      <c r="H15" s="62">
        <f t="array" ref="H15">IF($C$7="","",INDEX(TinhDiem!$E$12:$R$31,$C$7,7))</f>
        <v>1</v>
      </c>
      <c r="I15" s="74">
        <f>CauHinh!J17</f>
        <v>0.1</v>
      </c>
      <c r="J15" s="75">
        <f t="array" ref="J15">IF(OR($C$7="",H15=""),"",H15*I15*100*INDEX(TinhDiem!$T$12:$T$31,$C$7))</f>
        <v>10</v>
      </c>
    </row>
    <row r="16" ht="27.75" customHeight="1">
      <c r="A16" s="55">
        <v>8.0</v>
      </c>
      <c r="B16" s="56" t="str">
        <f>CauHinh!C18</f>
        <v>B. Tiến độ &amp; tuân thủ</v>
      </c>
      <c r="C16" s="56" t="str">
        <f>CauHinh!D18</f>
        <v>Số lần bị phạt do chậm/ sai</v>
      </c>
      <c r="D16" s="71" t="str">
        <f>CauHinh!F18</f>
        <v>lần</v>
      </c>
      <c r="E16" s="71" t="str">
        <f>CauHinh!G18</f>
        <v>Thấp hơn tốt hơn</v>
      </c>
      <c r="F16" s="71">
        <f>CauHinh!H18</f>
        <v>0</v>
      </c>
      <c r="G16" s="59">
        <f t="array" ref="G16">IF(OR($C$7="",H16=""),"",INDEX(NhapLieu!$E$12:$R$31,$C$7,8))</f>
        <v>0</v>
      </c>
      <c r="H16" s="62">
        <f t="array" ref="H16">IF($C$7="","",INDEX(TinhDiem!$E$12:$R$31,$C$7,8))</f>
        <v>1</v>
      </c>
      <c r="I16" s="74">
        <f>CauHinh!J18</f>
        <v>0.05</v>
      </c>
      <c r="J16" s="75">
        <f t="array" ref="J16">IF(OR($C$7="",H16=""),"",H16*I16*100*INDEX(TinhDiem!$T$12:$T$31,$C$7))</f>
        <v>5</v>
      </c>
    </row>
    <row r="17" ht="27.75" customHeight="1">
      <c r="A17" s="55">
        <v>9.0</v>
      </c>
      <c r="B17" s="56" t="str">
        <f>CauHinh!C19</f>
        <v>C. Hiệu quả công việc</v>
      </c>
      <c r="C17" s="56" t="str">
        <f>CauHinh!D19</f>
        <v>Tỷ lệ chứng từ xử lý trong 24h</v>
      </c>
      <c r="D17" s="71" t="str">
        <f>CauHinh!F19</f>
        <v>%</v>
      </c>
      <c r="E17" s="71" t="str">
        <f>CauHinh!G19</f>
        <v>Cao hơn tốt hơn</v>
      </c>
      <c r="F17" s="72">
        <f>CauHinh!H19</f>
        <v>0.95</v>
      </c>
      <c r="G17" s="73">
        <f t="array" ref="G17">IF(OR($C$7="",H17=""),"",INDEX(NhapLieu!$E$12:$R$31,$C$7,9))</f>
        <v>0.97</v>
      </c>
      <c r="H17" s="62">
        <f t="array" ref="H17">IF($C$7="","",INDEX(TinhDiem!$E$12:$R$31,$C$7,9))</f>
        <v>1.021052632</v>
      </c>
      <c r="I17" s="74">
        <f>CauHinh!J19</f>
        <v>0.05</v>
      </c>
      <c r="J17" s="75">
        <f t="array" ref="J17">IF(OR($C$7="",H17=""),"",H17*I17*100*INDEX(TinhDiem!$T$12:$T$31,$C$7))</f>
        <v>5.105263158</v>
      </c>
    </row>
    <row r="18" ht="27.75" customHeight="1">
      <c r="A18" s="55">
        <v>10.0</v>
      </c>
      <c r="B18" s="56" t="str">
        <f>CauHinh!C20</f>
        <v>C. Hiệu quả công việc</v>
      </c>
      <c r="C18" s="56" t="str">
        <f>CauHinh!D20</f>
        <v>Tỷ lệ thu hồi công nợ đúng hạn</v>
      </c>
      <c r="D18" s="71" t="str">
        <f>CauHinh!F20</f>
        <v>%</v>
      </c>
      <c r="E18" s="71" t="str">
        <f>CauHinh!G20</f>
        <v>Cao hơn tốt hơn</v>
      </c>
      <c r="F18" s="72">
        <f>CauHinh!H20</f>
        <v>0.9</v>
      </c>
      <c r="G18" s="73">
        <f t="array" ref="G18">IF(OR($C$7="",H18=""),"",INDEX(NhapLieu!$E$12:$R$31,$C$7,10))</f>
        <v>0.92</v>
      </c>
      <c r="H18" s="62">
        <f t="array" ref="H18">IF($C$7="","",INDEX(TinhDiem!$E$12:$R$31,$C$7,10))</f>
        <v>1.022222222</v>
      </c>
      <c r="I18" s="74">
        <f>CauHinh!J20</f>
        <v>0.05</v>
      </c>
      <c r="J18" s="75">
        <f t="array" ref="J18">IF(OR($C$7="",H18=""),"",H18*I18*100*INDEX(TinhDiem!$T$12:$T$31,$C$7))</f>
        <v>5.111111111</v>
      </c>
    </row>
    <row r="19" ht="27.75" customHeight="1">
      <c r="A19" s="55">
        <v>11.0</v>
      </c>
      <c r="B19" s="56" t="str">
        <f>CauHinh!C21</f>
        <v>C. Hiệu quả công việc</v>
      </c>
      <c r="C19" s="56" t="str">
        <f>CauHinh!D21</f>
        <v>Số sáng kiến cải tiến/ tiết kiệm chi phí</v>
      </c>
      <c r="D19" s="71" t="str">
        <f>CauHinh!F21</f>
        <v>sáng kiến</v>
      </c>
      <c r="E19" s="71" t="str">
        <f>CauHinh!G21</f>
        <v>Cao hơn tốt hơn</v>
      </c>
      <c r="F19" s="71">
        <f>CauHinh!H21</f>
        <v>1</v>
      </c>
      <c r="G19" s="59">
        <f t="array" ref="G19">IF(OR($C$7="",H19=""),"",INDEX(NhapLieu!$E$12:$R$31,$C$7,11))</f>
        <v>2</v>
      </c>
      <c r="H19" s="62">
        <f t="array" ref="H19">IF($C$7="","",INDEX(TinhDiem!$E$12:$R$31,$C$7,11))</f>
        <v>1.2</v>
      </c>
      <c r="I19" s="74">
        <f>CauHinh!J21</f>
        <v>0.05</v>
      </c>
      <c r="J19" s="75">
        <f t="array" ref="J19">IF(OR($C$7="",H19=""),"",H19*I19*100*INDEX(TinhDiem!$T$12:$T$31,$C$7))</f>
        <v>6</v>
      </c>
    </row>
    <row r="20" ht="27.75" customHeight="1">
      <c r="A20" s="55">
        <v>12.0</v>
      </c>
      <c r="B20" s="56" t="str">
        <f>CauHinh!C22</f>
        <v>D. Thái độ &amp; phát triển</v>
      </c>
      <c r="C20" s="56" t="str">
        <f>CauHinh!D22</f>
        <v>Điểm tuân thủ quy trình, nội quy, bảo mật</v>
      </c>
      <c r="D20" s="71" t="str">
        <f>CauHinh!F22</f>
        <v>điểm</v>
      </c>
      <c r="E20" s="71" t="str">
        <f>CauHinh!G22</f>
        <v>Cao hơn tốt hơn</v>
      </c>
      <c r="F20" s="71">
        <f>CauHinh!H22</f>
        <v>90</v>
      </c>
      <c r="G20" s="59">
        <f t="array" ref="G20">IF(OR($C$7="",H20=""),"",INDEX(NhapLieu!$E$12:$R$31,$C$7,12))</f>
        <v>92</v>
      </c>
      <c r="H20" s="62">
        <f t="array" ref="H20">IF($C$7="","",INDEX(TinhDiem!$E$12:$R$31,$C$7,12))</f>
        <v>1.022222222</v>
      </c>
      <c r="I20" s="74">
        <f>CauHinh!J22</f>
        <v>0.1</v>
      </c>
      <c r="J20" s="75">
        <f t="array" ref="J20">IF(OR($C$7="",H20=""),"",H20*I20*100*INDEX(TinhDiem!$T$12:$T$31,$C$7))</f>
        <v>10.22222222</v>
      </c>
    </row>
    <row r="21" ht="27.75" customHeight="1">
      <c r="A21" s="55">
        <v>13.0</v>
      </c>
      <c r="B21" s="56" t="str">
        <f>CauHinh!C23</f>
        <v>D. Thái độ &amp; phát triển</v>
      </c>
      <c r="C21" s="56" t="str">
        <f>CauHinh!D23</f>
        <v>Điểm phối hợp &amp; thái độ làm việc</v>
      </c>
      <c r="D21" s="71" t="str">
        <f>CauHinh!F23</f>
        <v>điểm</v>
      </c>
      <c r="E21" s="71" t="str">
        <f>CauHinh!G23</f>
        <v>Cao hơn tốt hơn</v>
      </c>
      <c r="F21" s="71">
        <f>CauHinh!H23</f>
        <v>85</v>
      </c>
      <c r="G21" s="59">
        <f t="array" ref="G21">IF(OR($C$7="",H21=""),"",INDEX(NhapLieu!$E$12:$R$31,$C$7,13))</f>
        <v>90</v>
      </c>
      <c r="H21" s="62">
        <f t="array" ref="H21">IF($C$7="","",INDEX(TinhDiem!$E$12:$R$31,$C$7,13))</f>
        <v>1.058823529</v>
      </c>
      <c r="I21" s="74">
        <f>CauHinh!J23</f>
        <v>0.05</v>
      </c>
      <c r="J21" s="75">
        <f t="array" ref="J21">IF(OR($C$7="",H21=""),"",H21*I21*100*INDEX(TinhDiem!$T$12:$T$31,$C$7))</f>
        <v>5.294117647</v>
      </c>
    </row>
    <row r="22" ht="27.75" customHeight="1">
      <c r="A22" s="55">
        <v>14.0</v>
      </c>
      <c r="B22" s="56" t="str">
        <f>CauHinh!C24</f>
        <v>D. Thái độ &amp; phát triển</v>
      </c>
      <c r="C22" s="56" t="str">
        <f>CauHinh!D24</f>
        <v>Số giờ đào tạo/ cập nhật chuẩn mực, luật</v>
      </c>
      <c r="D22" s="71" t="str">
        <f>CauHinh!F24</f>
        <v>giờ</v>
      </c>
      <c r="E22" s="71" t="str">
        <f>CauHinh!G24</f>
        <v>Cao hơn tốt hơn</v>
      </c>
      <c r="F22" s="71">
        <f>CauHinh!H24</f>
        <v>8</v>
      </c>
      <c r="G22" s="59">
        <f t="array" ref="G22">IF(OR($C$7="",H22=""),"",INDEX(NhapLieu!$E$12:$R$31,$C$7,14))</f>
        <v>10</v>
      </c>
      <c r="H22" s="62">
        <f t="array" ref="H22">IF($C$7="","",INDEX(TinhDiem!$E$12:$R$31,$C$7,14))</f>
        <v>1.2</v>
      </c>
      <c r="I22" s="74">
        <f>CauHinh!J24</f>
        <v>0.05</v>
      </c>
      <c r="J22" s="75">
        <f t="array" ref="J22">IF(OR($C$7="",H22=""),"",H22*I22*100*INDEX(TinhDiem!$T$12:$T$31,$C$7))</f>
        <v>6</v>
      </c>
    </row>
    <row r="23" ht="15.0" customHeight="1">
      <c r="A23" s="37" t="s">
        <v>182</v>
      </c>
      <c r="B23" s="11"/>
      <c r="C23" s="11"/>
      <c r="D23" s="11"/>
      <c r="E23" s="11"/>
      <c r="F23" s="11"/>
      <c r="G23" s="11"/>
      <c r="H23" s="12"/>
      <c r="I23" s="38">
        <f>SUM(I9:I22)</f>
        <v>1</v>
      </c>
      <c r="J23" s="58">
        <f>IF($C$7="","",SUM(J9:J22))</f>
        <v>102.834755</v>
      </c>
    </row>
    <row r="24" ht="15.75" customHeight="1"/>
    <row r="25" ht="15.75" customHeight="1">
      <c r="A25" s="9" t="s">
        <v>183</v>
      </c>
      <c r="B25" s="2"/>
      <c r="C25" s="3"/>
      <c r="E25" s="9" t="s">
        <v>184</v>
      </c>
      <c r="F25" s="2"/>
      <c r="G25" s="2"/>
      <c r="H25" s="2"/>
      <c r="I25" s="2"/>
      <c r="J25" s="3"/>
    </row>
    <row r="26" ht="15.0" customHeight="1">
      <c r="B26" s="66" t="s">
        <v>39</v>
      </c>
      <c r="C26" s="78">
        <f t="array" ref="C26">IF($C$7="","",INDEX(TongHop!$I$6:$I$25,$C$7))</f>
        <v>102.834755</v>
      </c>
      <c r="E26" s="79" t="s">
        <v>42</v>
      </c>
      <c r="F26" s="11"/>
      <c r="G26" s="12"/>
      <c r="H26" s="54" t="s">
        <v>181</v>
      </c>
      <c r="I26" s="54" t="s">
        <v>185</v>
      </c>
      <c r="J26" s="54" t="s">
        <v>186</v>
      </c>
    </row>
    <row r="27" ht="15.75" customHeight="1">
      <c r="B27" s="66" t="s">
        <v>128</v>
      </c>
      <c r="C27" s="80" t="str">
        <f t="array" ref="C27">IF($C$7="","",INDEX(TongHop!$J$6:$J$25,$C$7))</f>
        <v>Tốt</v>
      </c>
      <c r="E27" s="68" t="str">
        <f>CauHinh!C39</f>
        <v>A. Chất lượng &amp; độ chính xác</v>
      </c>
      <c r="F27" s="11"/>
      <c r="G27" s="12"/>
      <c r="H27" s="75">
        <f t="array" ref="H27">IF($C$7="","",INDEX(TongHop!$E$6:$E$25,$C$7))</f>
        <v>35.10204082</v>
      </c>
      <c r="I27" s="81">
        <f>TongHop!E4</f>
        <v>35</v>
      </c>
      <c r="J27" s="45">
        <f t="shared" ref="J27:J30" si="1">IF(OR($C$7="",I27=0),"",H27/I27)</f>
        <v>1.002915452</v>
      </c>
    </row>
    <row r="28" ht="15.75" customHeight="1">
      <c r="B28" s="66" t="s">
        <v>129</v>
      </c>
      <c r="C28" s="82">
        <f t="array" ref="C28">IF($C$7="","",INDEX(TongHop!$K$6:$K$25,$C$7))</f>
        <v>1.2</v>
      </c>
      <c r="E28" s="68" t="str">
        <f>CauHinh!C40</f>
        <v>B. Tiến độ &amp; tuân thủ</v>
      </c>
      <c r="F28" s="11"/>
      <c r="G28" s="12"/>
      <c r="H28" s="75">
        <f t="array" ref="H28">IF($C$7="","",INDEX(TongHop!$F$6:$F$25,$C$7))</f>
        <v>30</v>
      </c>
      <c r="I28" s="81">
        <f>TongHop!F4</f>
        <v>30</v>
      </c>
      <c r="J28" s="45">
        <f t="shared" si="1"/>
        <v>1</v>
      </c>
    </row>
    <row r="29" ht="15.75" customHeight="1">
      <c r="B29" s="66" t="s">
        <v>151</v>
      </c>
      <c r="C29" s="83" t="str">
        <f t="array" ref="C29">IF($C$7="","",INDEX(TongHop!$L$6:$L$25,$C$7)&amp;" / "&amp;COUNT(TongHop!$I$6:$I$25))</f>
        <v>1 / 6</v>
      </c>
      <c r="E29" s="68" t="str">
        <f>CauHinh!C41</f>
        <v>C. Hiệu quả công việc</v>
      </c>
      <c r="F29" s="11"/>
      <c r="G29" s="12"/>
      <c r="H29" s="75">
        <f t="array" ref="H29">IF($C$7="","",INDEX(TongHop!$G$6:$G$25,$C$7))</f>
        <v>16.21637427</v>
      </c>
      <c r="I29" s="81">
        <f>TongHop!G4</f>
        <v>15</v>
      </c>
      <c r="J29" s="45">
        <f t="shared" si="1"/>
        <v>1.081091618</v>
      </c>
    </row>
    <row r="30" ht="15.75" customHeight="1">
      <c r="E30" s="68" t="str">
        <f>CauHinh!C42</f>
        <v>D. Thái độ &amp; phát triển</v>
      </c>
      <c r="F30" s="11"/>
      <c r="G30" s="12"/>
      <c r="H30" s="75">
        <f t="array" ref="H30">IF($C$7="","",INDEX(TongHop!$H$6:$H$25,$C$7))</f>
        <v>21.51633987</v>
      </c>
      <c r="I30" s="81">
        <f>TongHop!H4</f>
        <v>20</v>
      </c>
      <c r="J30" s="45">
        <f t="shared" si="1"/>
        <v>1.075816993</v>
      </c>
    </row>
    <row r="31" ht="15.75" customHeight="1"/>
    <row r="32" ht="39.75" customHeight="1">
      <c r="A32" s="13" t="s">
        <v>187</v>
      </c>
      <c r="B32" s="12"/>
      <c r="C32" s="14"/>
      <c r="D32" s="11"/>
      <c r="E32" s="11"/>
      <c r="F32" s="11"/>
      <c r="G32" s="11"/>
      <c r="H32" s="11"/>
      <c r="I32" s="11"/>
      <c r="J32" s="12"/>
    </row>
    <row r="33" ht="39.75" customHeight="1">
      <c r="A33" s="13" t="s">
        <v>188</v>
      </c>
      <c r="B33" s="12"/>
      <c r="C33" s="14"/>
      <c r="D33" s="11"/>
      <c r="E33" s="11"/>
      <c r="F33" s="11"/>
      <c r="G33" s="11"/>
      <c r="H33" s="11"/>
      <c r="I33" s="11"/>
      <c r="J33" s="12"/>
    </row>
    <row r="34" ht="39.75" customHeight="1">
      <c r="A34" s="13" t="s">
        <v>189</v>
      </c>
      <c r="B34" s="12"/>
      <c r="C34" s="14"/>
      <c r="D34" s="11"/>
      <c r="E34" s="11"/>
      <c r="F34" s="11"/>
      <c r="G34" s="11"/>
      <c r="H34" s="11"/>
      <c r="I34" s="11"/>
      <c r="J34" s="12"/>
    </row>
    <row r="35" ht="39.75" customHeight="1">
      <c r="A35" s="13" t="s">
        <v>190</v>
      </c>
      <c r="B35" s="12"/>
      <c r="C35" s="14"/>
      <c r="D35" s="11"/>
      <c r="E35" s="11"/>
      <c r="F35" s="11"/>
      <c r="G35" s="11"/>
      <c r="H35" s="11"/>
      <c r="I35" s="11"/>
      <c r="J35" s="12"/>
    </row>
    <row r="36" ht="15.75" customHeight="1"/>
    <row r="37" ht="15.0" customHeight="1">
      <c r="A37" s="84" t="s">
        <v>191</v>
      </c>
      <c r="D37" s="84" t="s">
        <v>192</v>
      </c>
      <c r="H37" s="84" t="s">
        <v>193</v>
      </c>
    </row>
    <row r="38" ht="15.0" customHeight="1">
      <c r="A38" s="85" t="s">
        <v>194</v>
      </c>
      <c r="D38" s="85" t="s">
        <v>194</v>
      </c>
      <c r="H38" s="85" t="s">
        <v>194</v>
      </c>
    </row>
    <row r="39" ht="60.0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0">
    <mergeCell ref="A1:J1"/>
    <mergeCell ref="A2:J2"/>
    <mergeCell ref="E4:F4"/>
    <mergeCell ref="G4:J4"/>
    <mergeCell ref="E5:F5"/>
    <mergeCell ref="G5:J5"/>
    <mergeCell ref="G6:J6"/>
    <mergeCell ref="E6:F6"/>
    <mergeCell ref="A23:H23"/>
    <mergeCell ref="A25:C25"/>
    <mergeCell ref="E25:J25"/>
    <mergeCell ref="E26:G26"/>
    <mergeCell ref="E27:G27"/>
    <mergeCell ref="E28:G28"/>
    <mergeCell ref="A34:B34"/>
    <mergeCell ref="A35:B35"/>
    <mergeCell ref="A37:C37"/>
    <mergeCell ref="D37:G37"/>
    <mergeCell ref="H37:J37"/>
    <mergeCell ref="A38:C38"/>
    <mergeCell ref="D38:G38"/>
    <mergeCell ref="H38:J38"/>
    <mergeCell ref="E29:G29"/>
    <mergeCell ref="E30:G30"/>
    <mergeCell ref="A32:B32"/>
    <mergeCell ref="C32:J32"/>
    <mergeCell ref="A33:B33"/>
    <mergeCell ref="C33:J33"/>
    <mergeCell ref="C34:J34"/>
    <mergeCell ref="C35:J35"/>
  </mergeCells>
  <conditionalFormatting sqref="H9:H22">
    <cfRule type="cellIs" dxfId="6" priority="1" operator="greaterThanOrEqual">
      <formula>1</formula>
    </cfRule>
  </conditionalFormatting>
  <conditionalFormatting sqref="H9:H22">
    <cfRule type="cellIs" dxfId="7" priority="2" operator="between">
      <formula>0.7</formula>
      <formula>0.99999</formula>
    </cfRule>
  </conditionalFormatting>
  <conditionalFormatting sqref="H9:H22">
    <cfRule type="expression" dxfId="8" priority="3">
      <formula>AND(ISNUMBER(H9),H9&lt;0.7)</formula>
    </cfRule>
  </conditionalFormatting>
  <conditionalFormatting sqref="C27">
    <cfRule type="expression" dxfId="9" priority="4">
      <formula>$C$27="Xuất sắc"</formula>
    </cfRule>
  </conditionalFormatting>
  <conditionalFormatting sqref="C27">
    <cfRule type="expression" dxfId="10" priority="5">
      <formula>$C$27="Tốt"</formula>
    </cfRule>
  </conditionalFormatting>
  <conditionalFormatting sqref="C27">
    <cfRule type="expression" dxfId="11" priority="6">
      <formula>$C$27="Hoàn thành"</formula>
    </cfRule>
  </conditionalFormatting>
  <conditionalFormatting sqref="C27">
    <cfRule type="expression" dxfId="12" priority="7">
      <formula>$C$27="Cần cải thiện"</formula>
    </cfRule>
  </conditionalFormatting>
  <conditionalFormatting sqref="C27">
    <cfRule type="expression" dxfId="13" priority="8">
      <formula>$C$27="Không đạt"</formula>
    </cfRule>
  </conditionalFormatting>
  <dataValidations>
    <dataValidation type="list" allowBlank="1" showInputMessage="1" showErrorMessage="1" prompt="Chọn Mã NV có trong sheet NhapLieu" sqref="C4">
      <formula1>NhapLieu!$B$12:$B$31</formula1>
    </dataValidation>
  </dataValidations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2026-10-28T08:59:23Z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