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custom-properties+xml" PartName="/docProps/custom.xml"/>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drawingml.chart+xml" PartName="/xl/charts/chart1.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custom-properties" Target="docProps/custom.xml"/><Relationship Id="rId3"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Hướng dẫn" sheetId="1" r:id="rId4"/>
    <sheet state="visible" name="Cấu hình" sheetId="2" r:id="rId5"/>
    <sheet state="visible" name="Danh sách nhân viên" sheetId="3" r:id="rId6"/>
    <sheet state="visible" name="Chấm điểm" sheetId="4" r:id="rId7"/>
    <sheet state="visible" name="Phiếu đánh giá" sheetId="5" r:id="rId8"/>
    <sheet state="visible" name="Tổng quan" sheetId="6" r:id="rId9"/>
  </sheets>
  <definedNames/>
  <calcPr/>
  <extLst>
    <ext uri="GoogleSheetsCustomDataVersion2">
      <go:sheetsCustomData xmlns:go="http://customooxmlschemas.google.com/" r:id="rId10" roundtripDataChecksum="DuGr42dFZCHII1avDZwmoXdXC1A45Peqm4YAZvOPZ/4="/>
    </ext>
  </extLst>
</workbook>
</file>

<file path=xl/sharedStrings.xml><?xml version="1.0" encoding="utf-8"?>
<sst xmlns="http://schemas.openxmlformats.org/spreadsheetml/2006/main" count="265" uniqueCount="194">
  <si>
    <t>MẪU ĐÁNH GIÁ NHÂN VIÊN KỸ THUẬT</t>
  </si>
  <si>
    <t>CẤU HÌNH ĐÁNH GIÁ</t>
  </si>
  <si>
    <t>DANH SÁCH NHÂN VIÊN KỸ THUẬT</t>
  </si>
  <si>
    <t>BẢNG ĐÁNH GIÁ NHÂN VIÊN KỸ THUẬT</t>
  </si>
  <si>
    <t>Chấm điểm theo tiêu chí và trọng số, tự động tính điểm tổng, xếp loại, xếp hạng, điểm mạnh yếu, xu hướng và đề xuất hành động.</t>
  </si>
  <si>
    <t>Thiết lập một lần cho mỗi kỳ đánh giá. Ô nền trắng là ô nhập tay, các sheet còn lại tự cập nhật theo cấu hình này.</t>
  </si>
  <si>
    <t>Nhập mã duy nhất cho từng nhân viên. Sheet Chấm điểm và Phiếu đánh giá chọn nhân viên theo mã này. Dữ liệu mẫu chỉ để minh họa.</t>
  </si>
  <si>
    <t>CÁCH SỬ DỤNG</t>
  </si>
  <si>
    <t>STT</t>
  </si>
  <si>
    <t>Bước 1</t>
  </si>
  <si>
    <t>Mã NV</t>
  </si>
  <si>
    <t>Họ và tên</t>
  </si>
  <si>
    <t>Vị trí kỹ thuật</t>
  </si>
  <si>
    <t>Cấp bậc</t>
  </si>
  <si>
    <t>Nhóm / Team</t>
  </si>
  <si>
    <t>Quản lý trực tiếp</t>
  </si>
  <si>
    <t>Vào sheet "Cấu hình": nhập kỳ đánh giá, người đánh giá, đặt tiêu chí và trọng số (tổng phải bằng 100%), chỉnh ngưỡng xếp loại, danh mục vị trí và cấp bậc.</t>
  </si>
  <si>
    <t>Ngày vào làm</t>
  </si>
  <si>
    <t>Bước 2</t>
  </si>
  <si>
    <t>Vào sheet "Danh sách nhân viên": nhập mã, họ tên, vị trí kỹ thuật, cấp bậc, nhóm, quản lý trực tiếp, ngày vào làm. Mã không được trùng nhau.</t>
  </si>
  <si>
    <t>Bước 3</t>
  </si>
  <si>
    <t>Vào sheet "Chấm điểm": chọn mã nhân viên, thông tin tự hiện ra. Chấm điểm 1 - 5 cho từng tiêu chí, nhập điểm kỳ trước và nhận xét nếu có.</t>
  </si>
  <si>
    <t>Bước 4</t>
  </si>
  <si>
    <t>Điểm tổng, xếp loại, xếp hạng, xu hướng, điểm mạnh nhất, tiêu chí cần cải thiện và đề xuất hành động tự tính khi chấm đủ điểm tất cả tiêu chí đang dùng.</t>
  </si>
  <si>
    <t>Bước 5</t>
  </si>
  <si>
    <t>Vào sheet "Phiếu đánh giá": chọn mã nhân viên để có phiếu đánh giá cá nhân, sẵn sàng in và ký xác nhận.</t>
  </si>
  <si>
    <t>Bước 6</t>
  </si>
  <si>
    <t>Xem sheet "Tổng quan" để biết Top 10, phân bố xếp loại, tiêu chí yếu chung và điểm trung bình theo từng vị trí kỹ thuật.</t>
  </si>
  <si>
    <t>CÔNG THỨC TÍNH ĐIỂM</t>
  </si>
  <si>
    <t>Điểm tổng (/100) = tổng (điểm tiêu chí x trọng số) / 5 x 100. Xếp loại lấy theo ngưỡng điểm trong sheet Cấu hình. Xu hướng: Tăng hoặc Giảm khi chênh lệch từ 1 điểm trở lên so với kỳ trước.</t>
  </si>
  <si>
    <t>CHÚ THÍCH MÀU SẮC</t>
  </si>
  <si>
    <t>THÔNG TIN KỲ ĐÁNH GIÁ</t>
  </si>
  <si>
    <t>Ô nền trắng</t>
  </si>
  <si>
    <t>Ô nhập tay: bạn điền hoặc chọn từ danh sách.</t>
  </si>
  <si>
    <t>Ô nền xám nhạt</t>
  </si>
  <si>
    <t>Kỳ đánh giá</t>
  </si>
  <si>
    <t>Ô tự động tính (STT, họ tên, điểm tổng, xếp loại, xếp hạng, đề xuất). Không nhập đè công thức.</t>
  </si>
  <si>
    <t>Tiêu đề / xếp loại A</t>
  </si>
  <si>
    <t>Tiêu đề bảng và nhân viên xếp loại A.</t>
  </si>
  <si>
    <t>Quý 4/2026</t>
  </si>
  <si>
    <t>Cam nhạt</t>
  </si>
  <si>
    <t>Xếp loại B, thanh điểm và các mục đáng chú ý.</t>
  </si>
  <si>
    <t>Xám đậm</t>
  </si>
  <si>
    <t>NV001</t>
  </si>
  <si>
    <t>Xếp loại D, nhân viên cần được hỗ trợ cải thiện.</t>
  </si>
  <si>
    <t>Khối / Bộ phận</t>
  </si>
  <si>
    <t>LƯU Ý</t>
  </si>
  <si>
    <t>Khối Công nghệ</t>
  </si>
  <si>
    <t>Nguyễn Hoàng Long</t>
  </si>
  <si>
    <t>NHÂN VIÊN</t>
  </si>
  <si>
    <t>•  Có sẵn 30 dòng nhân viên (Danh sách nhân viên: dòng 5 đến 34; Chấm điểm: dòng 6 đến 35). Xóa nội dung ô nhập khi không dùng, không xóa cả dòng để tránh mất công thức.</t>
  </si>
  <si>
    <t>Người đánh giá</t>
  </si>
  <si>
    <t>Trần Quốc Việt</t>
  </si>
  <si>
    <t>•  Tiêu chí để trống trong Cấu hình sẽ tự bị bỏ qua và cột điểm tương ứng chuyển sang màu xám.</t>
  </si>
  <si>
    <t>•  Nên chấm điểm so với kỳ vọng của đúng cấp bậc (Junior, Middle, Senior...) để kết quả công bằng.</t>
  </si>
  <si>
    <t>Ngày đánh giá</t>
  </si>
  <si>
    <t>•  Dữ liệu mẫu (họ tên, điểm số, nhận xét) chỉ để minh họa, hãy thay bằng dữ liệu thật. Kết quả đánh giá là thông tin nhân sự nhạy cảm, cần phân quyền khi chia sẻ file.</t>
  </si>
  <si>
    <t>Backend Developer</t>
  </si>
  <si>
    <t>•  Font sử dụng: Inter Tight. Nếu máy chưa cài, tải miễn phí tại Google Fonts để hiển thị đúng.</t>
  </si>
  <si>
    <t>Senior</t>
  </si>
  <si>
    <t>Nhóm Nền tảng</t>
  </si>
  <si>
    <t>TIÊU CHÍ VÀ TRỌNG SỐ (TỐI ĐA 8 TIÊU CHÍ)</t>
  </si>
  <si>
    <t>ĐIỂM TỪNG TIÊU CHÍ (1 - 5)</t>
  </si>
  <si>
    <t>Tiêu chí đánh giá</t>
  </si>
  <si>
    <t>Trọng số</t>
  </si>
  <si>
    <t>KẾT QUẢ (TỰ ĐỘNG)</t>
  </si>
  <si>
    <t>Nội dung đánh giá</t>
  </si>
  <si>
    <t>Chuyên môn kỹ thuật</t>
  </si>
  <si>
    <t>SO SÁNH KỲ TRƯỚC</t>
  </si>
  <si>
    <t>NV002</t>
  </si>
  <si>
    <t>Lê Thu Trang</t>
  </si>
  <si>
    <t>Frontend Developer</t>
  </si>
  <si>
    <t>Middle</t>
  </si>
  <si>
    <t>PHÂN TÍCH, ĐỀ XUẤT VÀ NHẬN XÉT</t>
  </si>
  <si>
    <t>Nhóm Sản phẩm</t>
  </si>
  <si>
    <t>NV003</t>
  </si>
  <si>
    <t>Phạm Đức Minh</t>
  </si>
  <si>
    <t>DevOps Engineer</t>
  </si>
  <si>
    <t>Kiến thức nền tảng, công nghệ và công cụ phù hợp với cấp bậc</t>
  </si>
  <si>
    <t>Chất lượng công việc</t>
  </si>
  <si>
    <t>Nhóm Hạ tầng</t>
  </si>
  <si>
    <t>Đặng Hải Nam</t>
  </si>
  <si>
    <t>Ít lỗi, đạt tiêu chuẩn code và kiểm thử, ít phải làm lại</t>
  </si>
  <si>
    <t>Tiến độ và hiệu suất</t>
  </si>
  <si>
    <t>NV004</t>
  </si>
  <si>
    <t>Vũ Ngọc Anh</t>
  </si>
  <si>
    <t>Hoàn thành đúng hạn, ước lượng hợp lý, khối lượng công việc đảm nhận</t>
  </si>
  <si>
    <t>Giải quyết vấn đề, xử lý sự cố</t>
  </si>
  <si>
    <t>QA / Tester</t>
  </si>
  <si>
    <t>Nhóm Chất lượng</t>
  </si>
  <si>
    <t>Phân tích nguyên nhân gốc, xử lý sự cố nhanh và triệt để</t>
  </si>
  <si>
    <t>Học hỏi và cải tiến</t>
  </si>
  <si>
    <t>Chủ động học công nghệ mới, đề xuất cải tiến quy trình và sản phẩm</t>
  </si>
  <si>
    <t>NV005</t>
  </si>
  <si>
    <t>Làm việc nhóm và giao tiếp</t>
  </si>
  <si>
    <t>Đỗ Thanh Tùng</t>
  </si>
  <si>
    <t>Support kỹ thuật</t>
  </si>
  <si>
    <t>Phối hợp, hỗ trợ đồng nghiệp, trao đổi rõ ràng với các bên liên quan</t>
  </si>
  <si>
    <t>Tuân thủ quy trình, bảo mật</t>
  </si>
  <si>
    <t>Junior</t>
  </si>
  <si>
    <t>Nhóm Hỗ trợ</t>
  </si>
  <si>
    <t>Phan Thu Hiền</t>
  </si>
  <si>
    <t>Tuân thủ quy trình review, release; bảo mật dữ liệu và hệ thống</t>
  </si>
  <si>
    <t>Tài liệu và chia sẻ kiến thức</t>
  </si>
  <si>
    <t>NV006</t>
  </si>
  <si>
    <t>Tài liệu kỹ thuật đầy đủ, chia sẻ và kèm cặp đồng nghiệp</t>
  </si>
  <si>
    <t>Bùi Khánh Linh</t>
  </si>
  <si>
    <t>Data Engineer</t>
  </si>
  <si>
    <t>Tổng trọng số</t>
  </si>
  <si>
    <t>Nhóm Dữ liệu</t>
  </si>
  <si>
    <t>NV007</t>
  </si>
  <si>
    <t>Hoàng Gia Bảo</t>
  </si>
  <si>
    <t>NV008</t>
  </si>
  <si>
    <t>Ngô Mai Phương</t>
  </si>
  <si>
    <t>THANG ĐIỂM TỪNG TIÊU CHÍ (1 - 5)</t>
  </si>
  <si>
    <t>Điểm</t>
  </si>
  <si>
    <t>Mức</t>
  </si>
  <si>
    <t>Ý nghĩa</t>
  </si>
  <si>
    <t>Xuất sắc</t>
  </si>
  <si>
    <t>Vượt kỳ vọng của cấp bậc, là chuẩn mực cho đồng nghiệp</t>
  </si>
  <si>
    <t>Điểm tổng (/100)</t>
  </si>
  <si>
    <t>Tốt</t>
  </si>
  <si>
    <t>Xếp loại</t>
  </si>
  <si>
    <t>Đáp ứng tốt, đôi khi vượt kỳ vọng</t>
  </si>
  <si>
    <t>Xếp hạng</t>
  </si>
  <si>
    <t>Đạt yêu cầu</t>
  </si>
  <si>
    <t>Điểm kỳ trước (/100)</t>
  </si>
  <si>
    <t>Đáp ứng yêu cầu của cấp bậc</t>
  </si>
  <si>
    <t>Xu hướng</t>
  </si>
  <si>
    <t>Cần cải thiện</t>
  </si>
  <si>
    <t>Điểm mạnh nhất</t>
  </si>
  <si>
    <t>Thường chưa đáp ứng, cần được kèm cặp</t>
  </si>
  <si>
    <t>Cần cải thiện nhất</t>
  </si>
  <si>
    <t>Kém</t>
  </si>
  <si>
    <t>Đề xuất hành động</t>
  </si>
  <si>
    <t>Không đáp ứng, ảnh hưởng nghiêm trọng đến công việc</t>
  </si>
  <si>
    <t>Nhận xét</t>
  </si>
  <si>
    <t>XẾP LOẠI NHÂN VIÊN (THEO ĐIỂM TỔNG /100)</t>
  </si>
  <si>
    <t>Trọng số tiêu chí (lấy từ sheet Cấu hình)</t>
  </si>
  <si>
    <t>Điểm từ</t>
  </si>
  <si>
    <t>D - Cần cải thiện</t>
  </si>
  <si>
    <t>Lập kế hoạch cải thiện 3 tháng, bố trí người kèm cặp</t>
  </si>
  <si>
    <t>C - Đạt yêu cầu</t>
  </si>
  <si>
    <t>Duy trì, bổ sung kỹ năng còn thiếu</t>
  </si>
  <si>
    <t>B - Tốt</t>
  </si>
  <si>
    <t>Tiếp tục phát triển, đào tạo nâng cao</t>
  </si>
  <si>
    <t>A - Xuất sắc</t>
  </si>
  <si>
    <t>Xem xét khen thưởng, thăng cấp, giao dự án trọng điểm</t>
  </si>
  <si>
    <t>Giữ thứ tự điểm tăng dần từ trên xuống. Có thể đổi ngưỡng điểm và nội dung đề xuất, kết quả tự cập nhật.</t>
  </si>
  <si>
    <t>DANH MỤC VỊ TRÍ KỸ THUẬT (TỐI ĐA 8)</t>
  </si>
  <si>
    <t>Quản trị hệ thống</t>
  </si>
  <si>
    <t>Kiến trúc sư giải pháp</t>
  </si>
  <si>
    <t>DANH MỤC CẤP BẬC (TỐI ĐA 6)</t>
  </si>
  <si>
    <t>Thực tập</t>
  </si>
  <si>
    <t>Trưởng nhóm</t>
  </si>
  <si>
    <t>PHIẾU ĐÁNH GIÁ NHÂN VIÊN KỸ THUẬT</t>
  </si>
  <si>
    <t>THÔNG TIN NHÂN VIÊN</t>
  </si>
  <si>
    <t>Chọn mã nhân viên</t>
  </si>
  <si>
    <t>KẾT QUẢ ĐÁNH GIÁ THEO TIÊU CHÍ</t>
  </si>
  <si>
    <t>Tiêu chí</t>
  </si>
  <si>
    <t>Điểm (1 - 5)</t>
  </si>
  <si>
    <t>Điểm quy đổi</t>
  </si>
  <si>
    <t>Trụ cột kỹ thuật của nhóm, kèm cặp tốt</t>
  </si>
  <si>
    <t>Xử lý sự cố hạ tầng rất nhanh, cần phối hợp tốt hơn</t>
  </si>
  <si>
    <t>TỔNG QUAN ĐÁNH GIÁ NHÂN VIÊN KỸ THUẬT</t>
  </si>
  <si>
    <t>Tài liệu kiểm thử đầy đủ, dễ tái sử dụng</t>
  </si>
  <si>
    <t>CHỈ SỐ CHÍNH</t>
  </si>
  <si>
    <t>Nhân viên đã đánh giá</t>
  </si>
  <si>
    <t>Điểm trung bình</t>
  </si>
  <si>
    <t>Điểm cao nhất</t>
  </si>
  <si>
    <t>Điểm thấp nhất</t>
  </si>
  <si>
    <t>Tổng cộng</t>
  </si>
  <si>
    <t>Cần bổ sung kiến thức sản phẩm và tài liệu hóa</t>
  </si>
  <si>
    <t>TỔNG KẾT</t>
  </si>
  <si>
    <t>Xếp loại A (xuất sắc)</t>
  </si>
  <si>
    <t>Xếp loại D (cần cải thiện)</t>
  </si>
  <si>
    <t>Chưa đủ điểm đánh giá</t>
  </si>
  <si>
    <t>Nhân viên xếp hạng 1</t>
  </si>
  <si>
    <t>Xếp hạng trong nhóm đánh giá</t>
  </si>
  <si>
    <t>Nhiều đề xuất cải tiến pipeline dữ liệu</t>
  </si>
  <si>
    <t>TOP 10 NHÂN VIÊN THEO ĐIỂM</t>
  </si>
  <si>
    <t>Hạng</t>
  </si>
  <si>
    <t>Nhân viên</t>
  </si>
  <si>
    <t>Điểm (/100)</t>
  </si>
  <si>
    <t>Cần kèm cặp và theo dõi tiến độ hằng tuần</t>
  </si>
  <si>
    <t>Nhận xét của người đánh giá</t>
  </si>
  <si>
    <t>XÁC NHẬN</t>
  </si>
  <si>
    <t>(Ký và ghi rõ họ tên)</t>
  </si>
  <si>
    <t>PHÂN BỐ THEO XẾP LOẠI</t>
  </si>
  <si>
    <t>Số nhân viên</t>
  </si>
  <si>
    <t>Tỷ lệ</t>
  </si>
  <si>
    <t>ĐIỂM TRUNG BÌNH THEO TIÊU CHÍ (THANG 1 - 5)</t>
  </si>
  <si>
    <t>Tiêu chí có điểm trung bình thấp nhất là điểm yếu chung của đội ngũ, nên ưu tiên đưa vào kế hoạch đào tạo.</t>
  </si>
  <si>
    <t>ĐIỂM TRUNG BÌNH THEO VỊ TRÍ KỸ THUẬT</t>
  </si>
</sst>
</file>

<file path=xl/styles.xml><?xml version="1.0" encoding="utf-8"?>
<styleSheet xmlns="http://schemas.openxmlformats.org/spreadsheetml/2006/main" xmlns:x14ac="http://schemas.microsoft.com/office/spreadsheetml/2009/9/ac" xmlns:mc="http://schemas.openxmlformats.org/markup-compatibility/2006">
  <numFmts count="3">
    <numFmt numFmtId="164" formatCode="dd/mm/yyyy"/>
    <numFmt numFmtId="165" formatCode="0%;\-0%;;"/>
    <numFmt numFmtId="166" formatCode="0.0"/>
  </numFmts>
  <fonts count="23">
    <font>
      <sz val="10.0"/>
      <color rgb="FF404040"/>
      <name val="Inter Tight"/>
      <scheme val="minor"/>
    </font>
    <font>
      <b/>
      <sz val="20.0"/>
      <color rgb="FFFFFFFF"/>
      <name val="Inter Tight"/>
    </font>
    <font>
      <b/>
      <sz val="16.0"/>
      <color rgb="FFFFFFFF"/>
      <name val="Inter Tight"/>
    </font>
    <font/>
    <font>
      <i/>
      <sz val="10.0"/>
      <color rgb="FF6B6B6B"/>
      <name val="Inter Tight"/>
    </font>
    <font>
      <b/>
      <sz val="18.0"/>
      <color rgb="FFFFFFFF"/>
      <name val="Inter Tight"/>
    </font>
    <font>
      <i/>
      <sz val="9.0"/>
      <color rgb="FF6B6B6B"/>
      <name val="Inter Tight"/>
    </font>
    <font>
      <b/>
      <sz val="10.0"/>
      <color rgb="FFC2410C"/>
      <name val="Inter Tight"/>
    </font>
    <font>
      <b/>
      <sz val="10.0"/>
      <color rgb="FFFFFFFF"/>
      <name val="Inter Tight"/>
    </font>
    <font>
      <sz val="10.0"/>
      <color rgb="FF404040"/>
      <name val="Inter Tight"/>
    </font>
    <font>
      <b/>
      <sz val="10.0"/>
      <color rgb="FF6B6B6B"/>
      <name val="Inter Tight"/>
    </font>
    <font>
      <b/>
      <sz val="10.0"/>
      <color rgb="FF404040"/>
      <name val="Inter Tight"/>
    </font>
    <font>
      <b/>
      <sz val="9.0"/>
      <color rgb="FF6B6B6B"/>
      <name val="Inter Tight"/>
    </font>
    <font>
      <b/>
      <sz val="11.0"/>
      <color rgb="FFC2410C"/>
      <name val="Inter Tight"/>
    </font>
    <font>
      <b/>
      <sz val="11.0"/>
      <color rgb="FF404040"/>
      <name val="Inter Tight"/>
    </font>
    <font>
      <b/>
      <sz val="12.0"/>
      <color rgb="FFC2410C"/>
      <name val="Inter Tight"/>
    </font>
    <font>
      <sz val="9.0"/>
      <color rgb="FF6B6B6B"/>
      <name val="Inter Tight"/>
    </font>
    <font>
      <b/>
      <sz val="20.0"/>
      <color rgb="FF404040"/>
      <name val="Inter Tight"/>
    </font>
    <font>
      <b/>
      <sz val="20.0"/>
      <color rgb="FFF26A1B"/>
      <name val="Inter Tight"/>
    </font>
    <font>
      <b/>
      <sz val="20.0"/>
      <color rgb="FFC2410C"/>
      <name val="Inter Tight"/>
    </font>
    <font>
      <b/>
      <sz val="16.0"/>
      <color rgb="FFF26A1B"/>
      <name val="Inter Tight"/>
    </font>
    <font>
      <b/>
      <sz val="12.0"/>
      <color rgb="FF404040"/>
      <name val="Inter Tight"/>
    </font>
    <font>
      <i/>
      <sz val="9.0"/>
      <color rgb="FF9E9E9E"/>
      <name val="Inter Tight"/>
    </font>
  </fonts>
  <fills count="9">
    <fill>
      <patternFill patternType="none"/>
    </fill>
    <fill>
      <patternFill patternType="lightGray"/>
    </fill>
    <fill>
      <patternFill patternType="solid">
        <fgColor rgb="FFF26A1B"/>
        <bgColor rgb="FFF26A1B"/>
      </patternFill>
    </fill>
    <fill>
      <patternFill patternType="solid">
        <fgColor rgb="FFFFF1E6"/>
        <bgColor rgb="FFFFF1E6"/>
      </patternFill>
    </fill>
    <fill>
      <patternFill patternType="solid">
        <fgColor rgb="FFF5F5F5"/>
        <bgColor rgb="FFF5F5F5"/>
      </patternFill>
    </fill>
    <fill>
      <patternFill patternType="solid">
        <fgColor rgb="FFFFFFFF"/>
        <bgColor rgb="FFFFFFFF"/>
      </patternFill>
    </fill>
    <fill>
      <patternFill patternType="solid">
        <fgColor rgb="FFFFD9B8"/>
        <bgColor rgb="FFFFD9B8"/>
      </patternFill>
    </fill>
    <fill>
      <patternFill patternType="solid">
        <fgColor rgb="FF404040"/>
        <bgColor rgb="FF404040"/>
      </patternFill>
    </fill>
    <fill>
      <patternFill patternType="solid">
        <fgColor rgb="FFE7E6E6"/>
        <bgColor rgb="FFE7E6E6"/>
      </patternFill>
    </fill>
  </fills>
  <borders count="14">
    <border/>
    <border>
      <left/>
      <top/>
      <bottom/>
    </border>
    <border>
      <right/>
      <top/>
      <bottom/>
    </border>
    <border>
      <top/>
      <bottom/>
    </border>
    <border>
      <left/>
      <top/>
      <bottom style="medium">
        <color rgb="FFF26A1B"/>
      </bottom>
    </border>
    <border>
      <right/>
      <top/>
      <bottom style="medium">
        <color rgb="FFF26A1B"/>
      </bottom>
    </border>
    <border>
      <left style="thin">
        <color rgb="FFD9D9D9"/>
      </left>
      <right style="thin">
        <color rgb="FFD9D9D9"/>
      </right>
      <top style="thin">
        <color rgb="FFD9D9D9"/>
      </top>
      <bottom style="thin">
        <color rgb="FFD9D9D9"/>
      </bottom>
    </border>
    <border>
      <top/>
      <bottom style="medium">
        <color rgb="FFF26A1B"/>
      </bottom>
    </border>
    <border>
      <left style="thin">
        <color rgb="FFD9D9D9"/>
      </left>
      <top style="thin">
        <color rgb="FFD9D9D9"/>
      </top>
      <bottom style="thin">
        <color rgb="FFD9D9D9"/>
      </bottom>
    </border>
    <border>
      <right style="thin">
        <color rgb="FFD9D9D9"/>
      </right>
      <top style="thin">
        <color rgb="FFD9D9D9"/>
      </top>
      <bottom style="thin">
        <color rgb="FFD9D9D9"/>
      </bottom>
    </border>
    <border>
      <top style="thin">
        <color rgb="FFD9D9D9"/>
      </top>
      <bottom style="thin">
        <color rgb="FFD9D9D9"/>
      </bottom>
    </border>
    <border>
      <left style="medium">
        <color rgb="FFF26A1B"/>
      </left>
      <top style="medium">
        <color rgb="FFF26A1B"/>
      </top>
      <bottom style="medium">
        <color rgb="FFF26A1B"/>
      </bottom>
    </border>
    <border>
      <top style="medium">
        <color rgb="FFF26A1B"/>
      </top>
      <bottom style="medium">
        <color rgb="FFF26A1B"/>
      </bottom>
    </border>
    <border>
      <right style="medium">
        <color rgb="FFF26A1B"/>
      </right>
      <top style="medium">
        <color rgb="FFF26A1B"/>
      </top>
      <bottom style="medium">
        <color rgb="FFF26A1B"/>
      </bottom>
    </border>
  </borders>
  <cellStyleXfs count="1">
    <xf borderId="0" fillId="0" fontId="0" numFmtId="0" applyAlignment="1" applyFont="1"/>
  </cellStyleXfs>
  <cellXfs count="73">
    <xf borderId="0" fillId="0" fontId="0" numFmtId="0" xfId="0" applyAlignment="1" applyFont="1">
      <alignment readingOrder="0" shrinkToFit="0" vertical="bottom" wrapText="0"/>
    </xf>
    <xf borderId="1" fillId="2" fontId="1" numFmtId="0" xfId="0" applyAlignment="1" applyBorder="1" applyFill="1" applyFont="1">
      <alignment horizontal="left" shrinkToFit="0" vertical="center" wrapText="0"/>
    </xf>
    <xf borderId="1" fillId="2" fontId="2" numFmtId="0" xfId="0" applyAlignment="1" applyBorder="1" applyFill="1" applyFont="1">
      <alignment horizontal="left" shrinkToFit="0" vertical="center" wrapText="0"/>
    </xf>
    <xf borderId="2" fillId="0" fontId="3" numFmtId="0" xfId="0" applyBorder="1" applyFont="1"/>
    <xf borderId="3" fillId="0" fontId="3" numFmtId="0" xfId="0" applyBorder="1" applyFont="1"/>
    <xf borderId="0" fillId="0" fontId="4" numFmtId="0" xfId="0" applyAlignment="1" applyFont="1">
      <alignment shrinkToFit="0" vertical="center" wrapText="1"/>
    </xf>
    <xf borderId="1" fillId="2" fontId="5" numFmtId="0" xfId="0" applyAlignment="1" applyBorder="1" applyFill="1" applyFont="1">
      <alignment horizontal="center" shrinkToFit="0" vertical="center" wrapText="0"/>
    </xf>
    <xf borderId="0" fillId="0" fontId="6" numFmtId="0" xfId="0" applyAlignment="1" applyFont="1">
      <alignment shrinkToFit="0" vertical="center" wrapText="0"/>
    </xf>
    <xf borderId="4" fillId="3" fontId="7" numFmtId="0" xfId="0" applyAlignment="1" applyBorder="1" applyFill="1" applyFont="1">
      <alignment horizontal="left" shrinkToFit="0" vertical="center" wrapText="0"/>
    </xf>
    <xf borderId="5" fillId="0" fontId="3" numFmtId="0" xfId="0" applyBorder="1" applyFont="1"/>
    <xf borderId="6" fillId="2" fontId="8" numFmtId="0" xfId="0" applyAlignment="1" applyBorder="1" applyFill="1" applyFont="1">
      <alignment horizontal="center" shrinkToFit="0" vertical="center" wrapText="1"/>
    </xf>
    <xf borderId="6" fillId="4" fontId="7" numFmtId="0" xfId="0" applyAlignment="1" applyBorder="1" applyFill="1" applyFont="1">
      <alignment shrinkToFit="0" vertical="center" wrapText="1"/>
    </xf>
    <xf borderId="6" fillId="0" fontId="9" numFmtId="0" xfId="0" applyAlignment="1" applyBorder="1" applyFont="1">
      <alignment shrinkToFit="0" vertical="center" wrapText="1"/>
    </xf>
    <xf borderId="0" fillId="0" fontId="9" numFmtId="0" xfId="0" applyAlignment="1" applyFont="1">
      <alignment shrinkToFit="0" vertical="center" wrapText="1"/>
    </xf>
    <xf borderId="0" fillId="0" fontId="6" numFmtId="0" xfId="0" applyAlignment="1" applyFont="1">
      <alignment shrinkToFit="0" vertical="center" wrapText="1"/>
    </xf>
    <xf borderId="6" fillId="4" fontId="10" numFmtId="0" xfId="0" applyAlignment="1" applyBorder="1" applyFill="1" applyFont="1">
      <alignment horizontal="center" shrinkToFit="0" vertical="center" wrapText="1"/>
    </xf>
    <xf borderId="6" fillId="5" fontId="11" numFmtId="0" xfId="0" applyAlignment="1" applyBorder="1" applyFill="1" applyFont="1">
      <alignment shrinkToFit="0" vertical="center" wrapText="1"/>
    </xf>
    <xf borderId="7" fillId="0" fontId="3" numFmtId="0" xfId="0" applyBorder="1" applyFont="1"/>
    <xf borderId="6" fillId="4" fontId="11" numFmtId="0" xfId="0" applyAlignment="1" applyBorder="1" applyFill="1" applyFont="1">
      <alignment shrinkToFit="0" vertical="center" wrapText="1"/>
    </xf>
    <xf borderId="6" fillId="4" fontId="10" numFmtId="0" xfId="0" applyAlignment="1" applyBorder="1" applyFill="1" applyFont="1">
      <alignment horizontal="left" shrinkToFit="0" vertical="center" wrapText="1"/>
    </xf>
    <xf borderId="6" fillId="2" fontId="8" numFmtId="0" xfId="0" applyAlignment="1" applyBorder="1" applyFill="1" applyFont="1">
      <alignment shrinkToFit="0" vertical="center" wrapText="1"/>
    </xf>
    <xf borderId="1" fillId="4" fontId="11" numFmtId="0" xfId="0" applyAlignment="1" applyBorder="1" applyFill="1" applyFont="1">
      <alignment shrinkToFit="0" vertical="center" wrapText="0"/>
    </xf>
    <xf borderId="6" fillId="6" fontId="7" numFmtId="0" xfId="0" applyAlignment="1" applyBorder="1" applyFill="1" applyFont="1">
      <alignment shrinkToFit="0" vertical="center" wrapText="1"/>
    </xf>
    <xf borderId="8" fillId="5" fontId="9" numFmtId="0" xfId="0" applyAlignment="1" applyBorder="1" applyFill="1" applyFont="1">
      <alignment horizontal="left" shrinkToFit="0" vertical="center" wrapText="0"/>
    </xf>
    <xf borderId="9" fillId="0" fontId="3" numFmtId="0" xfId="0" applyBorder="1" applyFont="1"/>
    <xf borderId="6" fillId="7" fontId="8" numFmtId="0" xfId="0" applyAlignment="1" applyBorder="1" applyFill="1" applyFont="1">
      <alignment shrinkToFit="0" vertical="center" wrapText="1"/>
    </xf>
    <xf borderId="6" fillId="5" fontId="9" numFmtId="0" xfId="0" applyAlignment="1" applyBorder="1" applyFill="1" applyFont="1">
      <alignment horizontal="center" shrinkToFit="0" vertical="center" wrapText="1"/>
    </xf>
    <xf borderId="6" fillId="5" fontId="9" numFmtId="0" xfId="0" applyAlignment="1" applyBorder="1" applyFill="1" applyFont="1">
      <alignment horizontal="left" shrinkToFit="0" vertical="center" wrapText="1"/>
    </xf>
    <xf borderId="8" fillId="8" fontId="12" numFmtId="0" xfId="0" applyAlignment="1" applyBorder="1" applyFill="1" applyFont="1">
      <alignment horizontal="center" shrinkToFit="0" vertical="center" wrapText="1"/>
    </xf>
    <xf borderId="10" fillId="0" fontId="3" numFmtId="0" xfId="0" applyBorder="1" applyFont="1"/>
    <xf borderId="8" fillId="5" fontId="9" numFmtId="164" xfId="0" applyAlignment="1" applyBorder="1" applyFill="1" applyFont="1" applyNumberFormat="1">
      <alignment horizontal="left" shrinkToFit="0" vertical="center" wrapText="0"/>
    </xf>
    <xf borderId="6" fillId="5" fontId="9" numFmtId="164" xfId="0" applyAlignment="1" applyBorder="1" applyFill="1" applyFont="1" applyNumberFormat="1">
      <alignment horizontal="center" shrinkToFit="0" vertical="center" wrapText="1"/>
    </xf>
    <xf borderId="6" fillId="5" fontId="9" numFmtId="9" xfId="0" applyAlignment="1" applyBorder="1" applyFill="1" applyFont="1" applyNumberFormat="1">
      <alignment horizontal="center" shrinkToFit="0" vertical="center" wrapText="1"/>
    </xf>
    <xf borderId="6" fillId="8" fontId="11" numFmtId="0" xfId="0" applyAlignment="1" applyBorder="1" applyFill="1" applyFont="1">
      <alignment horizontal="left" shrinkToFit="0" vertical="center" wrapText="1"/>
    </xf>
    <xf borderId="6" fillId="8" fontId="11" numFmtId="9" xfId="0" applyAlignment="1" applyBorder="1" applyFill="1" applyFont="1" applyNumberFormat="1">
      <alignment horizontal="center" shrinkToFit="0" vertical="center" wrapText="1"/>
    </xf>
    <xf borderId="6" fillId="4" fontId="9" numFmtId="0" xfId="0" applyAlignment="1" applyBorder="1" applyFill="1" applyFont="1">
      <alignment horizontal="center" shrinkToFit="0" vertical="center" wrapText="1"/>
    </xf>
    <xf borderId="6" fillId="4" fontId="9" numFmtId="0" xfId="0" applyAlignment="1" applyBorder="1" applyFill="1" applyFont="1">
      <alignment horizontal="left" shrinkToFit="0" vertical="center" wrapText="1"/>
    </xf>
    <xf borderId="8" fillId="3" fontId="7" numFmtId="0" xfId="0" applyAlignment="1" applyBorder="1" applyFill="1" applyFont="1">
      <alignment horizontal="right" shrinkToFit="0" vertical="center" wrapText="0"/>
    </xf>
    <xf borderId="6" fillId="3" fontId="7" numFmtId="165" xfId="0" applyAlignment="1" applyBorder="1" applyFill="1" applyFont="1" applyNumberFormat="1">
      <alignment horizontal="center" shrinkToFit="0" vertical="center" wrapText="1"/>
    </xf>
    <xf borderId="1" fillId="2" fontId="5" numFmtId="0" xfId="0" applyAlignment="1" applyBorder="1" applyFill="1" applyFont="1">
      <alignment horizontal="left" shrinkToFit="0" vertical="center" wrapText="0"/>
    </xf>
    <xf borderId="6" fillId="3" fontId="7" numFmtId="0" xfId="0" applyAlignment="1" applyBorder="1" applyFill="1" applyFont="1">
      <alignment horizontal="center" shrinkToFit="0" vertical="center" wrapText="1"/>
    </xf>
    <xf borderId="11" fillId="5" fontId="13" numFmtId="0" xfId="0" applyAlignment="1" applyBorder="1" applyFill="1" applyFont="1">
      <alignment horizontal="left" shrinkToFit="0" vertical="center" wrapText="0"/>
    </xf>
    <xf borderId="12" fillId="0" fontId="3" numFmtId="0" xfId="0" applyBorder="1" applyFont="1"/>
    <xf borderId="13" fillId="0" fontId="3" numFmtId="0" xfId="0" applyBorder="1" applyFont="1"/>
    <xf borderId="8" fillId="4" fontId="11" numFmtId="0" xfId="0" applyAlignment="1" applyBorder="1" applyFill="1" applyFont="1">
      <alignment horizontal="left" shrinkToFit="0" vertical="center" wrapText="0"/>
    </xf>
    <xf borderId="6" fillId="4" fontId="14" numFmtId="166" xfId="0" applyAlignment="1" applyBorder="1" applyFill="1" applyFont="1" applyNumberFormat="1">
      <alignment horizontal="center" shrinkToFit="0" vertical="center" wrapText="1"/>
    </xf>
    <xf borderId="6" fillId="4" fontId="11" numFmtId="0" xfId="0" applyAlignment="1" applyBorder="1" applyFill="1" applyFont="1">
      <alignment horizontal="center" shrinkToFit="0" vertical="center" wrapText="1"/>
    </xf>
    <xf borderId="6" fillId="5" fontId="9" numFmtId="166" xfId="0" applyAlignment="1" applyBorder="1" applyFill="1" applyFont="1" applyNumberFormat="1">
      <alignment horizontal="center" shrinkToFit="0" vertical="center" wrapText="1"/>
    </xf>
    <xf borderId="8" fillId="4" fontId="11" numFmtId="164" xfId="0" applyAlignment="1" applyBorder="1" applyFill="1" applyFont="1" applyNumberFormat="1">
      <alignment horizontal="left" shrinkToFit="0" vertical="center" wrapText="0"/>
    </xf>
    <xf borderId="6" fillId="5" fontId="15" numFmtId="0" xfId="0" applyAlignment="1" applyBorder="1" applyFill="1" applyFont="1">
      <alignment horizontal="center" shrinkToFit="0" vertical="center" wrapText="1"/>
    </xf>
    <xf borderId="6" fillId="5" fontId="16" numFmtId="0" xfId="0" applyAlignment="1" applyBorder="1" applyFill="1" applyFont="1">
      <alignment horizontal="left" shrinkToFit="0" vertical="center" wrapText="1"/>
    </xf>
    <xf borderId="8" fillId="4" fontId="12" numFmtId="0" xfId="0" applyAlignment="1" applyBorder="1" applyFill="1" applyFont="1">
      <alignment horizontal="center" shrinkToFit="0" vertical="center" wrapText="1"/>
    </xf>
    <xf borderId="8" fillId="3" fontId="17" numFmtId="1" xfId="0" applyAlignment="1" applyBorder="1" applyFill="1" applyFont="1" applyNumberFormat="1">
      <alignment horizontal="center" shrinkToFit="0" vertical="center" wrapText="1"/>
    </xf>
    <xf borderId="8" fillId="3" fontId="17" numFmtId="166" xfId="0" applyAlignment="1" applyBorder="1" applyFill="1" applyFont="1" applyNumberFormat="1">
      <alignment horizontal="center" shrinkToFit="0" vertical="center" wrapText="1"/>
    </xf>
    <xf borderId="8" fillId="3" fontId="18" numFmtId="166" xfId="0" applyAlignment="1" applyBorder="1" applyFill="1" applyFont="1" applyNumberFormat="1">
      <alignment horizontal="center" shrinkToFit="0" vertical="center" wrapText="1"/>
    </xf>
    <xf borderId="6" fillId="8" fontId="11" numFmtId="0" xfId="0" applyAlignment="1" applyBorder="1" applyFill="1" applyFont="1">
      <alignment horizontal="center" shrinkToFit="0" vertical="center" wrapText="1"/>
    </xf>
    <xf borderId="8" fillId="3" fontId="19" numFmtId="166" xfId="0" applyAlignment="1" applyBorder="1" applyFill="1" applyFont="1" applyNumberFormat="1">
      <alignment horizontal="center" shrinkToFit="0" vertical="center" wrapText="1"/>
    </xf>
    <xf borderId="6" fillId="8" fontId="11" numFmtId="166" xfId="0" applyAlignment="1" applyBorder="1" applyFill="1" applyFont="1" applyNumberFormat="1">
      <alignment horizontal="center" shrinkToFit="0" vertical="center" wrapText="1"/>
    </xf>
    <xf borderId="8" fillId="5" fontId="20" numFmtId="166" xfId="0" applyAlignment="1" applyBorder="1" applyFill="1" applyFont="1" applyNumberFormat="1">
      <alignment horizontal="left" shrinkToFit="0" vertical="center" wrapText="1"/>
    </xf>
    <xf borderId="8" fillId="3" fontId="18" numFmtId="1" xfId="0" applyAlignment="1" applyBorder="1" applyFill="1" applyFont="1" applyNumberFormat="1">
      <alignment horizontal="center" shrinkToFit="0" vertical="center" wrapText="1"/>
    </xf>
    <xf borderId="8" fillId="5" fontId="11" numFmtId="0" xfId="0" applyAlignment="1" applyBorder="1" applyFill="1" applyFont="1">
      <alignment horizontal="left" shrinkToFit="0" vertical="center" wrapText="1"/>
    </xf>
    <xf borderId="8" fillId="3" fontId="19" numFmtId="1" xfId="0" applyAlignment="1" applyBorder="1" applyFill="1" applyFont="1" applyNumberFormat="1">
      <alignment horizontal="center" shrinkToFit="0" vertical="center" wrapText="1"/>
    </xf>
    <xf borderId="8" fillId="3" fontId="21" numFmtId="0" xfId="0" applyAlignment="1" applyBorder="1" applyFill="1" applyFont="1">
      <alignment horizontal="center" shrinkToFit="0" vertical="center" wrapText="1"/>
    </xf>
    <xf borderId="8" fillId="2" fontId="8" numFmtId="0" xfId="0" applyAlignment="1" applyBorder="1" applyFill="1" applyFont="1">
      <alignment horizontal="center" shrinkToFit="0" vertical="center" wrapText="1"/>
    </xf>
    <xf borderId="8" fillId="5" fontId="11" numFmtId="166" xfId="0" applyAlignment="1" applyBorder="1" applyFill="1" applyFont="1" applyNumberFormat="1">
      <alignment horizontal="left" shrinkToFit="0" vertical="center" wrapText="1"/>
    </xf>
    <xf borderId="6" fillId="5" fontId="7" numFmtId="0" xfId="0" applyAlignment="1" applyBorder="1" applyFill="1" applyFont="1">
      <alignment horizontal="center" shrinkToFit="0" vertical="center" wrapText="1"/>
    </xf>
    <xf borderId="8" fillId="5" fontId="9" numFmtId="0" xfId="0" applyAlignment="1" applyBorder="1" applyFill="1" applyFont="1">
      <alignment horizontal="left" shrinkToFit="0" vertical="center" wrapText="1"/>
    </xf>
    <xf borderId="6" fillId="5" fontId="11" numFmtId="166" xfId="0" applyAlignment="1" applyBorder="1" applyFill="1" applyFont="1" applyNumberFormat="1">
      <alignment horizontal="center" shrinkToFit="0" vertical="center" wrapText="1"/>
    </xf>
    <xf borderId="8" fillId="5" fontId="9" numFmtId="0" xfId="0" applyAlignment="1" applyBorder="1" applyFill="1" applyFont="1">
      <alignment horizontal="center" shrinkToFit="0" vertical="center" wrapText="1"/>
    </xf>
    <xf borderId="8" fillId="5" fontId="9" numFmtId="0" xfId="0" applyAlignment="1" applyBorder="1" applyFill="1" applyFont="1">
      <alignment horizontal="left" shrinkToFit="0" vertical="top" wrapText="1"/>
    </xf>
    <xf borderId="8" fillId="4" fontId="10" numFmtId="0" xfId="0" applyAlignment="1" applyBorder="1" applyFill="1" applyFont="1">
      <alignment horizontal="center" shrinkToFit="0" vertical="center" wrapText="1"/>
    </xf>
    <xf borderId="0" fillId="0" fontId="22" numFmtId="0" xfId="0" applyAlignment="1" applyFont="1">
      <alignment horizontal="center" shrinkToFit="0" vertical="center" wrapText="1"/>
    </xf>
    <xf borderId="8" fillId="8" fontId="11" numFmtId="0" xfId="0" applyAlignment="1" applyBorder="1" applyFill="1" applyFont="1">
      <alignment horizontal="left" shrinkToFit="0" vertical="center" wrapText="1"/>
    </xf>
  </cellXfs>
  <cellStyles count="1">
    <cellStyle xfId="0" name="Normal" builtinId="0"/>
  </cellStyles>
  <dxfs count="9">
    <dxf>
      <font>
        <b/>
        <color rgb="FFFFFFFF"/>
        <name val="Inter Tight"/>
      </font>
      <fill>
        <patternFill patternType="solid">
          <fgColor rgb="FFF26A1B"/>
          <bgColor rgb="FFF26A1B"/>
        </patternFill>
      </fill>
      <border/>
    </dxf>
    <dxf>
      <font>
        <b/>
        <color rgb="FF404040"/>
        <name val="Inter Tight"/>
      </font>
      <fill>
        <patternFill patternType="solid">
          <fgColor rgb="FFE7E6E6"/>
          <bgColor rgb="FFE7E6E6"/>
        </patternFill>
      </fill>
      <border/>
    </dxf>
    <dxf>
      <font>
        <b/>
        <color rgb="FFC2410C"/>
        <name val="Inter Tight"/>
      </font>
      <fill>
        <patternFill patternType="solid">
          <fgColor rgb="FFFFD9B8"/>
          <bgColor rgb="FFFFD9B8"/>
        </patternFill>
      </fill>
      <border/>
    </dxf>
    <dxf>
      <font>
        <b/>
        <color rgb="FFFFFFFF"/>
        <name val="Inter Tight"/>
      </font>
      <fill>
        <patternFill patternType="solid">
          <fgColor rgb="FF404040"/>
          <bgColor rgb="FF404040"/>
        </patternFill>
      </fill>
      <border/>
    </dxf>
    <dxf>
      <font>
        <b/>
        <color rgb="FFC2410C"/>
        <name val="Inter Tight"/>
      </font>
      <fill>
        <patternFill patternType="none"/>
      </fill>
      <border/>
    </dxf>
    <dxf>
      <font>
        <b/>
        <i/>
        <color rgb="FF6B6B6B"/>
        <name val="Inter Tight"/>
      </font>
      <fill>
        <patternFill patternType="none"/>
      </fill>
      <border/>
    </dxf>
    <dxf>
      <font>
        <b/>
        <color rgb="FFC2410C"/>
        <name val="Inter Tight"/>
      </font>
      <fill>
        <patternFill patternType="solid">
          <fgColor rgb="FFFFF1E6"/>
          <bgColor rgb="FFFFF1E6"/>
        </patternFill>
      </fill>
      <border/>
    </dxf>
    <dxf>
      <font>
        <i/>
        <color rgb="FF9E9E9E"/>
        <name val="Inter Tight"/>
      </font>
      <fill>
        <patternFill patternType="none"/>
      </fill>
      <border/>
    </dxf>
    <dxf>
      <font/>
      <fill>
        <patternFill patternType="solid">
          <fgColor rgb="FFE7E6E6"/>
          <bgColor rgb="FFE7E6E6"/>
        </patternFill>
      </fill>
      <border/>
    </dxf>
  </dxf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10" Type="http://customschemas.google.com/relationships/workbookmetadata" Target="metadata"/><Relationship Id="rId9" Type="http://schemas.openxmlformats.org/officeDocument/2006/relationships/worksheet" Target="worksheets/sheet6.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charts/chart1.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800">
                <a:solidFill>
                  <a:srgbClr val="000000"/>
                </a:solidFill>
                <a:latin typeface="Calibri"/>
              </a:defRPr>
            </a:pPr>
            <a:r>
              <a:rPr b="1" i="0" sz="1800">
                <a:solidFill>
                  <a:srgbClr val="000000"/>
                </a:solidFill>
                <a:latin typeface="Calibri"/>
              </a:rPr>
              <a:t>Điểm tổng của Top 10 nhân viên</a:t>
            </a:r>
          </a:p>
        </c:rich>
      </c:tx>
      <c:overlay val="0"/>
    </c:title>
    <c:plotArea>
      <c:layout/>
      <c:barChart>
        <c:barDir val="bar"/>
        <c:varyColors val="0"/>
        <c:ser>
          <c:idx val="0"/>
          <c:order val="0"/>
          <c:tx>
            <c:v>Điểm (/100)</c:v>
          </c:tx>
          <c:spPr>
            <a:solidFill>
              <a:srgbClr val="F26A1B"/>
            </a:solidFill>
            <a:ln cmpd="sng">
              <a:noFill/>
            </a:ln>
          </c:spPr>
          <c:invertIfNegative val="0"/>
          <c:dLbls>
            <c:numFmt formatCode="General" sourceLinked="1"/>
            <c:txPr>
              <a:bodyPr/>
              <a:lstStyle/>
              <a:p>
                <a:pPr lvl="0">
                  <a:defRPr b="0" i="0" sz="1000">
                    <a:solidFill>
                      <a:srgbClr val="000000"/>
                    </a:solidFill>
                    <a:latin typeface="Calibri"/>
                  </a:defRPr>
                </a:pPr>
              </a:p>
            </c:txPr>
            <c:showLegendKey val="0"/>
            <c:showVal val="1"/>
            <c:showCatName val="0"/>
            <c:showSerName val="0"/>
            <c:showPercent val="0"/>
            <c:showBubbleSize val="0"/>
          </c:dLbls>
          <c:cat>
            <c:strRef>
              <c:f>'Tổng quan'!$C$13:$C$22</c:f>
            </c:strRef>
          </c:cat>
          <c:val>
            <c:numRef>
              <c:f>'Tổng quan'!$F$13:$F$22</c:f>
              <c:numCache/>
            </c:numRef>
          </c:val>
        </c:ser>
        <c:axId val="1152667577"/>
        <c:axId val="642217531"/>
      </c:barChart>
      <c:catAx>
        <c:axId val="1152667577"/>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1000">
                <a:solidFill>
                  <a:srgbClr val="000000"/>
                </a:solidFill>
                <a:latin typeface="Calibri"/>
              </a:defRPr>
            </a:pPr>
          </a:p>
        </c:txPr>
        <c:crossAx val="642217531"/>
      </c:catAx>
      <c:valAx>
        <c:axId val="642217531"/>
        <c:scaling>
          <c:orientation val="minMax"/>
          <c:max val="100.0"/>
          <c:min val="0.0"/>
        </c:scaling>
        <c:delete val="0"/>
        <c:axPos val="b"/>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i="0" sz="1000">
                <a:solidFill>
                  <a:srgbClr val="000000"/>
                </a:solidFill>
                <a:latin typeface="Calibri"/>
              </a:defRPr>
            </a:pPr>
          </a:p>
        </c:txPr>
        <c:crossAx val="1152667577"/>
        <c:crosses val="max"/>
      </c:valAx>
    </c:plotArea>
    <c:plotVisOnly val="1"/>
  </c:chart>
  <c:spPr>
    <a:solidFill>
      <a:srgbClr val="FFFFFF"/>
    </a:solidFill>
  </c:spPr>
</c:chartSpace>
</file>

<file path=xl/drawings/_rels/drawing6.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0</xdr:colOff>
      <xdr:row>23</xdr:row>
      <xdr:rowOff>0</xdr:rowOff>
    </xdr:from>
    <xdr:ext cx="6905625" cy="3400425"/>
    <xdr:graphicFrame>
      <xdr:nvGraphicFramePr>
        <xdr:cNvPr id="1515400440" name="Chart 1"/>
        <xdr:cNvGraphicFramePr/>
      </xdr:nvGraphicFramePr>
      <xdr:xfrm>
        <a:off x="0" y="0"/>
        <a:ext cx="0" cy="0"/>
      </xdr:xfrm>
      <a:graphic>
        <a:graphicData uri="http://schemas.openxmlformats.org/drawingml/2006/chart">
          <c:chart r:id="rId1"/>
        </a:graphicData>
      </a:graphic>
    </xdr:graphicFrame>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Inter Tight"/>
        <a:ea typeface="Inter Tight"/>
        <a:cs typeface="Inter Tight"/>
      </a:majorFont>
      <a:minorFont>
        <a:latin typeface="Inter Tight"/>
        <a:ea typeface="Inter Tight"/>
        <a:cs typeface="Inter Tight"/>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26A1B"/>
    <pageSetUpPr fitToPage="1"/>
  </sheetPr>
  <sheetViews>
    <sheetView showGridLines="0" workbookViewId="0"/>
  </sheetViews>
  <sheetFormatPr customHeight="1" defaultColWidth="14.43" defaultRowHeight="15.0"/>
  <cols>
    <col customWidth="1" min="1" max="1" width="3.0"/>
    <col customWidth="1" min="2" max="2" width="28.0"/>
    <col customWidth="1" min="3" max="3" width="100.0"/>
    <col customWidth="1" min="4" max="26" width="8.57"/>
  </cols>
  <sheetData>
    <row r="1" ht="43.5" customHeight="1">
      <c r="B1" s="1" t="s">
        <v>0</v>
      </c>
      <c r="C1" s="3"/>
    </row>
    <row r="2" ht="27.75" customHeight="1">
      <c r="B2" s="5" t="s">
        <v>4</v>
      </c>
    </row>
    <row r="4" ht="24.0" customHeight="1">
      <c r="B4" s="8" t="s">
        <v>7</v>
      </c>
      <c r="C4" s="9"/>
    </row>
    <row r="5" ht="42.0" customHeight="1">
      <c r="B5" s="11" t="s">
        <v>9</v>
      </c>
      <c r="C5" s="12" t="s">
        <v>16</v>
      </c>
    </row>
    <row r="6" ht="42.0" customHeight="1">
      <c r="B6" s="11" t="s">
        <v>18</v>
      </c>
      <c r="C6" s="12" t="s">
        <v>19</v>
      </c>
    </row>
    <row r="7" ht="42.0" customHeight="1">
      <c r="B7" s="11" t="s">
        <v>20</v>
      </c>
      <c r="C7" s="12" t="s">
        <v>21</v>
      </c>
    </row>
    <row r="8" ht="42.0" customHeight="1">
      <c r="B8" s="11" t="s">
        <v>22</v>
      </c>
      <c r="C8" s="12" t="s">
        <v>23</v>
      </c>
    </row>
    <row r="9" ht="25.5" customHeight="1">
      <c r="B9" s="11" t="s">
        <v>24</v>
      </c>
      <c r="C9" s="12" t="s">
        <v>25</v>
      </c>
    </row>
    <row r="10" ht="42.0" customHeight="1">
      <c r="B10" s="11" t="s">
        <v>26</v>
      </c>
      <c r="C10" s="12" t="s">
        <v>27</v>
      </c>
    </row>
    <row r="12" ht="24.0" customHeight="1">
      <c r="B12" s="8" t="s">
        <v>28</v>
      </c>
      <c r="C12" s="9"/>
    </row>
    <row r="13" ht="43.5" customHeight="1">
      <c r="B13" s="13" t="s">
        <v>29</v>
      </c>
    </row>
    <row r="15" ht="24.0" customHeight="1">
      <c r="B15" s="8" t="s">
        <v>30</v>
      </c>
      <c r="C15" s="9"/>
    </row>
    <row r="16" ht="25.5" customHeight="1">
      <c r="B16" s="16" t="s">
        <v>32</v>
      </c>
      <c r="C16" s="12" t="s">
        <v>33</v>
      </c>
    </row>
    <row r="17" ht="25.5" customHeight="1">
      <c r="B17" s="18" t="s">
        <v>34</v>
      </c>
      <c r="C17" s="12" t="s">
        <v>36</v>
      </c>
    </row>
    <row r="18" ht="25.5" customHeight="1">
      <c r="B18" s="20" t="s">
        <v>37</v>
      </c>
      <c r="C18" s="12" t="s">
        <v>38</v>
      </c>
    </row>
    <row r="19" ht="25.5" customHeight="1">
      <c r="B19" s="22" t="s">
        <v>40</v>
      </c>
      <c r="C19" s="12" t="s">
        <v>41</v>
      </c>
    </row>
    <row r="20" ht="25.5" customHeight="1">
      <c r="B20" s="25" t="s">
        <v>42</v>
      </c>
      <c r="C20" s="12" t="s">
        <v>44</v>
      </c>
    </row>
    <row r="21" ht="15.75" customHeight="1"/>
    <row r="22" ht="24.0" customHeight="1">
      <c r="B22" s="8" t="s">
        <v>46</v>
      </c>
      <c r="C22" s="9"/>
    </row>
    <row r="23" ht="39.75" customHeight="1">
      <c r="B23" s="13" t="s">
        <v>50</v>
      </c>
    </row>
    <row r="24" ht="22.5" customHeight="1">
      <c r="B24" s="13" t="s">
        <v>53</v>
      </c>
    </row>
    <row r="25" ht="22.5" customHeight="1">
      <c r="B25" s="13" t="s">
        <v>54</v>
      </c>
    </row>
    <row r="26" ht="39.75" customHeight="1">
      <c r="B26" s="13" t="s">
        <v>56</v>
      </c>
    </row>
    <row r="27" ht="22.5" customHeight="1">
      <c r="B27" s="13" t="s">
        <v>58</v>
      </c>
    </row>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2">
    <mergeCell ref="B23:C23"/>
    <mergeCell ref="B24:C24"/>
    <mergeCell ref="B25:C25"/>
    <mergeCell ref="B26:C26"/>
    <mergeCell ref="B27:C27"/>
    <mergeCell ref="B1:C1"/>
    <mergeCell ref="B2:C2"/>
    <mergeCell ref="B4:C4"/>
    <mergeCell ref="B12:C12"/>
    <mergeCell ref="B13:C13"/>
    <mergeCell ref="B15:C15"/>
    <mergeCell ref="B22:C22"/>
  </mergeCells>
  <printOptions/>
  <pageMargins bottom="1.0" footer="0.0" header="0.0" left="0.75" right="0.75" top="1.0"/>
  <pageSetup fitToHeight="0" orientation="portrait"/>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9E9E9E"/>
    <pageSetUpPr fitToPage="1"/>
  </sheetPr>
  <sheetViews>
    <sheetView showGridLines="0" workbookViewId="0"/>
  </sheetViews>
  <sheetFormatPr customHeight="1" defaultColWidth="14.43" defaultRowHeight="15.0"/>
  <cols>
    <col customWidth="1" min="1" max="1" width="3.0"/>
    <col customWidth="1" min="2" max="2" width="38.0"/>
    <col customWidth="1" min="3" max="3" width="18.0"/>
    <col customWidth="1" min="4" max="4" width="66.0"/>
    <col customWidth="1" min="5" max="26" width="8.57"/>
  </cols>
  <sheetData>
    <row r="1" ht="37.5" customHeight="1">
      <c r="B1" s="2" t="s">
        <v>1</v>
      </c>
      <c r="C1" s="4"/>
      <c r="D1" s="3"/>
    </row>
    <row r="2" ht="24.0" customHeight="1">
      <c r="B2" s="14" t="s">
        <v>5</v>
      </c>
    </row>
    <row r="4" ht="24.0" customHeight="1">
      <c r="B4" s="8" t="s">
        <v>31</v>
      </c>
      <c r="C4" s="17"/>
      <c r="D4" s="9"/>
    </row>
    <row r="5" ht="25.5" customHeight="1">
      <c r="B5" s="19" t="s">
        <v>35</v>
      </c>
      <c r="C5" s="23" t="s">
        <v>39</v>
      </c>
      <c r="D5" s="24"/>
    </row>
    <row r="6" ht="25.5" customHeight="1">
      <c r="B6" s="19" t="s">
        <v>45</v>
      </c>
      <c r="C6" s="23" t="s">
        <v>47</v>
      </c>
      <c r="D6" s="24"/>
    </row>
    <row r="7" ht="25.5" customHeight="1">
      <c r="B7" s="19" t="s">
        <v>51</v>
      </c>
      <c r="C7" s="23" t="s">
        <v>52</v>
      </c>
      <c r="D7" s="24"/>
    </row>
    <row r="8" ht="25.5" customHeight="1">
      <c r="B8" s="19" t="s">
        <v>55</v>
      </c>
      <c r="C8" s="30">
        <v>46325.0</v>
      </c>
      <c r="D8" s="24"/>
    </row>
    <row r="10" ht="24.0" customHeight="1">
      <c r="B10" s="8" t="s">
        <v>61</v>
      </c>
      <c r="C10" s="17"/>
      <c r="D10" s="9"/>
    </row>
    <row r="11" ht="30.0" customHeight="1">
      <c r="B11" s="10" t="s">
        <v>63</v>
      </c>
      <c r="C11" s="10" t="s">
        <v>64</v>
      </c>
      <c r="D11" s="10" t="s">
        <v>66</v>
      </c>
    </row>
    <row r="12" ht="25.5" customHeight="1">
      <c r="B12" s="27" t="s">
        <v>67</v>
      </c>
      <c r="C12" s="32">
        <v>0.2</v>
      </c>
      <c r="D12" s="27" t="s">
        <v>78</v>
      </c>
    </row>
    <row r="13" ht="25.5" customHeight="1">
      <c r="B13" s="27" t="s">
        <v>79</v>
      </c>
      <c r="C13" s="32">
        <v>0.2</v>
      </c>
      <c r="D13" s="27" t="s">
        <v>82</v>
      </c>
    </row>
    <row r="14" ht="25.5" customHeight="1">
      <c r="B14" s="27" t="s">
        <v>83</v>
      </c>
      <c r="C14" s="32">
        <v>0.15</v>
      </c>
      <c r="D14" s="27" t="s">
        <v>86</v>
      </c>
    </row>
    <row r="15" ht="25.5" customHeight="1">
      <c r="B15" s="27" t="s">
        <v>87</v>
      </c>
      <c r="C15" s="32">
        <v>0.15</v>
      </c>
      <c r="D15" s="27" t="s">
        <v>90</v>
      </c>
    </row>
    <row r="16" ht="25.5" customHeight="1">
      <c r="B16" s="27" t="s">
        <v>91</v>
      </c>
      <c r="C16" s="32">
        <v>0.1</v>
      </c>
      <c r="D16" s="27" t="s">
        <v>92</v>
      </c>
    </row>
    <row r="17" ht="25.5" customHeight="1">
      <c r="B17" s="27" t="s">
        <v>94</v>
      </c>
      <c r="C17" s="32">
        <v>0.1</v>
      </c>
      <c r="D17" s="27" t="s">
        <v>97</v>
      </c>
    </row>
    <row r="18" ht="25.5" customHeight="1">
      <c r="B18" s="27" t="s">
        <v>98</v>
      </c>
      <c r="C18" s="32">
        <v>0.05</v>
      </c>
      <c r="D18" s="27" t="s">
        <v>102</v>
      </c>
    </row>
    <row r="19" ht="25.5" customHeight="1">
      <c r="B19" s="27" t="s">
        <v>103</v>
      </c>
      <c r="C19" s="32">
        <v>0.05</v>
      </c>
      <c r="D19" s="27" t="s">
        <v>105</v>
      </c>
    </row>
    <row r="20" ht="25.5" customHeight="1">
      <c r="B20" s="33" t="s">
        <v>108</v>
      </c>
      <c r="C20" s="34">
        <f>SUM(C12:C19)</f>
        <v>1</v>
      </c>
      <c r="D20" s="33" t="str">
        <f>IF(ROUND(C20,4)=1,"Hợp lệ: tổng trọng số bằng 100%","Cảnh báo: tổng trọng số phải bằng 100%")</f>
        <v>Hợp lệ: tổng trọng số bằng 100%</v>
      </c>
    </row>
    <row r="21" ht="15.75" customHeight="1"/>
    <row r="22" ht="24.0" customHeight="1">
      <c r="B22" s="8" t="s">
        <v>114</v>
      </c>
      <c r="C22" s="17"/>
      <c r="D22" s="9"/>
    </row>
    <row r="23" ht="24.0" customHeight="1">
      <c r="B23" s="10" t="s">
        <v>115</v>
      </c>
      <c r="C23" s="10" t="s">
        <v>116</v>
      </c>
      <c r="D23" s="10" t="s">
        <v>117</v>
      </c>
    </row>
    <row r="24" ht="24.0" customHeight="1">
      <c r="B24" s="35">
        <v>5.0</v>
      </c>
      <c r="C24" s="35" t="s">
        <v>118</v>
      </c>
      <c r="D24" s="36" t="s">
        <v>119</v>
      </c>
    </row>
    <row r="25" ht="24.0" customHeight="1">
      <c r="B25" s="35">
        <v>4.0</v>
      </c>
      <c r="C25" s="35" t="s">
        <v>121</v>
      </c>
      <c r="D25" s="36" t="s">
        <v>123</v>
      </c>
    </row>
    <row r="26" ht="24.0" customHeight="1">
      <c r="B26" s="35">
        <v>3.0</v>
      </c>
      <c r="C26" s="35" t="s">
        <v>125</v>
      </c>
      <c r="D26" s="36" t="s">
        <v>127</v>
      </c>
    </row>
    <row r="27" ht="24.0" customHeight="1">
      <c r="B27" s="35">
        <v>2.0</v>
      </c>
      <c r="C27" s="35" t="s">
        <v>129</v>
      </c>
      <c r="D27" s="36" t="s">
        <v>131</v>
      </c>
    </row>
    <row r="28" ht="24.0" customHeight="1">
      <c r="B28" s="35">
        <v>1.0</v>
      </c>
      <c r="C28" s="35" t="s">
        <v>133</v>
      </c>
      <c r="D28" s="36" t="s">
        <v>135</v>
      </c>
    </row>
    <row r="29" ht="15.75" customHeight="1"/>
    <row r="30" ht="24.0" customHeight="1">
      <c r="B30" s="8" t="s">
        <v>137</v>
      </c>
      <c r="C30" s="17"/>
      <c r="D30" s="9"/>
    </row>
    <row r="31" ht="30.0" customHeight="1">
      <c r="B31" s="10" t="s">
        <v>122</v>
      </c>
      <c r="C31" s="10" t="s">
        <v>139</v>
      </c>
      <c r="D31" s="10" t="s">
        <v>134</v>
      </c>
    </row>
    <row r="32" ht="25.5" customHeight="1">
      <c r="B32" s="27" t="s">
        <v>140</v>
      </c>
      <c r="C32" s="26">
        <v>0.0</v>
      </c>
      <c r="D32" s="27" t="s">
        <v>141</v>
      </c>
    </row>
    <row r="33" ht="25.5" customHeight="1">
      <c r="B33" s="27" t="s">
        <v>142</v>
      </c>
      <c r="C33" s="26">
        <v>55.0</v>
      </c>
      <c r="D33" s="27" t="s">
        <v>143</v>
      </c>
    </row>
    <row r="34" ht="25.5" customHeight="1">
      <c r="B34" s="27" t="s">
        <v>144</v>
      </c>
      <c r="C34" s="26">
        <v>70.0</v>
      </c>
      <c r="D34" s="27" t="s">
        <v>145</v>
      </c>
    </row>
    <row r="35" ht="25.5" customHeight="1">
      <c r="B35" s="27" t="s">
        <v>146</v>
      </c>
      <c r="C35" s="26">
        <v>85.0</v>
      </c>
      <c r="D35" s="27" t="s">
        <v>147</v>
      </c>
    </row>
    <row r="36" ht="21.75" customHeight="1">
      <c r="B36" s="14" t="s">
        <v>148</v>
      </c>
    </row>
    <row r="37" ht="15.75" customHeight="1"/>
    <row r="38" ht="24.0" customHeight="1">
      <c r="B38" s="8" t="s">
        <v>149</v>
      </c>
      <c r="C38" s="17"/>
      <c r="D38" s="9"/>
    </row>
    <row r="39" ht="24.0" customHeight="1">
      <c r="B39" s="10" t="s">
        <v>12</v>
      </c>
    </row>
    <row r="40" ht="15.75" customHeight="1">
      <c r="B40" s="27" t="s">
        <v>57</v>
      </c>
    </row>
    <row r="41" ht="15.75" customHeight="1">
      <c r="B41" s="27" t="s">
        <v>71</v>
      </c>
    </row>
    <row r="42" ht="15.75" customHeight="1">
      <c r="B42" s="27" t="s">
        <v>77</v>
      </c>
    </row>
    <row r="43" ht="15.75" customHeight="1">
      <c r="B43" s="27" t="s">
        <v>88</v>
      </c>
    </row>
    <row r="44" ht="15.75" customHeight="1">
      <c r="B44" s="27" t="s">
        <v>107</v>
      </c>
    </row>
    <row r="45" ht="15.75" customHeight="1">
      <c r="B45" s="27" t="s">
        <v>96</v>
      </c>
    </row>
    <row r="46" ht="15.75" customHeight="1">
      <c r="B46" s="27" t="s">
        <v>150</v>
      </c>
    </row>
    <row r="47" ht="15.75" customHeight="1">
      <c r="B47" s="27" t="s">
        <v>151</v>
      </c>
    </row>
    <row r="48" ht="15.75" customHeight="1"/>
    <row r="49" ht="24.0" customHeight="1">
      <c r="B49" s="8" t="s">
        <v>152</v>
      </c>
      <c r="C49" s="17"/>
      <c r="D49" s="9"/>
    </row>
    <row r="50" ht="24.0" customHeight="1">
      <c r="B50" s="10" t="s">
        <v>13</v>
      </c>
    </row>
    <row r="51" ht="15.75" customHeight="1">
      <c r="B51" s="27" t="s">
        <v>153</v>
      </c>
    </row>
    <row r="52" ht="15.75" customHeight="1">
      <c r="B52" s="27" t="s">
        <v>99</v>
      </c>
    </row>
    <row r="53" ht="15.75" customHeight="1">
      <c r="B53" s="27" t="s">
        <v>72</v>
      </c>
    </row>
    <row r="54" ht="15.75" customHeight="1">
      <c r="B54" s="27" t="s">
        <v>59</v>
      </c>
    </row>
    <row r="55" ht="15.75" customHeight="1">
      <c r="B55" s="27" t="s">
        <v>154</v>
      </c>
    </row>
    <row r="56" ht="15.75" customHeight="1">
      <c r="B56" s="27"/>
    </row>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3">
    <mergeCell ref="B10:D10"/>
    <mergeCell ref="B22:D22"/>
    <mergeCell ref="B30:D30"/>
    <mergeCell ref="B36:D36"/>
    <mergeCell ref="B38:D38"/>
    <mergeCell ref="B49:D49"/>
    <mergeCell ref="B1:D1"/>
    <mergeCell ref="B2:D2"/>
    <mergeCell ref="B4:D4"/>
    <mergeCell ref="C5:D5"/>
    <mergeCell ref="C6:D6"/>
    <mergeCell ref="C7:D7"/>
    <mergeCell ref="C8:D8"/>
  </mergeCells>
  <conditionalFormatting sqref="C20:D20">
    <cfRule type="expression" dxfId="0" priority="1">
      <formula>ROUND($C$20,4)&lt;&gt;1</formula>
    </cfRule>
  </conditionalFormatting>
  <dataValidations>
    <dataValidation type="decimal" allowBlank="1" showInputMessage="1" showErrorMessage="1" prompt="Giá trị không hợp lệ - Nhập điểm từ 0 đến 100." sqref="C32:C35">
      <formula1>0.0</formula1>
      <formula2>100.0</formula2>
    </dataValidation>
    <dataValidation type="decimal" allowBlank="1" showInputMessage="1" showErrorMessage="1" prompt="Giá trị không hợp lệ - Nhập trọng số từ 0% đến 100%." sqref="C12:C19">
      <formula1>0.0</formula1>
      <formula2>1.0</formula2>
    </dataValidation>
  </dataValidations>
  <printOptions/>
  <pageMargins bottom="1.0" footer="0.0" header="0.0" left="0.75" right="0.75" top="1.0"/>
  <pageSetup fitToHeight="0" orientation="portrait"/>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26A1B"/>
    <pageSetUpPr fitToPage="1"/>
  </sheetPr>
  <sheetViews>
    <sheetView showGridLines="0" workbookViewId="0">
      <pane xSplit="3.0" ySplit="4.0" topLeftCell="D5" activePane="bottomRight" state="frozen"/>
      <selection activeCell="D1" sqref="D1" pane="topRight"/>
      <selection activeCell="A5" sqref="A5" pane="bottomLeft"/>
      <selection activeCell="D5" sqref="D5" pane="bottomRight"/>
    </sheetView>
  </sheetViews>
  <sheetFormatPr customHeight="1" defaultColWidth="14.43" defaultRowHeight="15.0"/>
  <cols>
    <col customWidth="1" min="1" max="1" width="6.0"/>
    <col customWidth="1" min="2" max="2" width="11.0"/>
    <col customWidth="1" min="3" max="3" width="28.0"/>
    <col customWidth="1" min="4" max="4" width="24.0"/>
    <col customWidth="1" min="5" max="5" width="16.0"/>
    <col customWidth="1" min="6" max="6" width="22.0"/>
    <col customWidth="1" min="7" max="7" width="24.0"/>
    <col customWidth="1" min="8" max="8" width="15.0"/>
    <col customWidth="1" min="9" max="26" width="8.57"/>
  </cols>
  <sheetData>
    <row r="1" ht="37.5" customHeight="1">
      <c r="A1" s="2" t="s">
        <v>2</v>
      </c>
      <c r="B1" s="4"/>
      <c r="C1" s="4"/>
      <c r="D1" s="4"/>
      <c r="E1" s="4"/>
      <c r="F1" s="4"/>
      <c r="G1" s="4"/>
      <c r="H1" s="3"/>
    </row>
    <row r="2" ht="21.75" customHeight="1">
      <c r="A2" s="7" t="s">
        <v>6</v>
      </c>
    </row>
    <row r="4" ht="30.0" customHeight="1">
      <c r="A4" s="10" t="s">
        <v>8</v>
      </c>
      <c r="B4" s="10" t="s">
        <v>10</v>
      </c>
      <c r="C4" s="10" t="s">
        <v>11</v>
      </c>
      <c r="D4" s="10" t="s">
        <v>12</v>
      </c>
      <c r="E4" s="10" t="s">
        <v>13</v>
      </c>
      <c r="F4" s="10" t="s">
        <v>14</v>
      </c>
      <c r="G4" s="10" t="s">
        <v>15</v>
      </c>
      <c r="H4" s="10" t="s">
        <v>17</v>
      </c>
    </row>
    <row r="5" ht="27.75" customHeight="1">
      <c r="A5" s="15">
        <f t="shared" ref="A5:A34" si="1">IF($C5="","",ROW()-4)</f>
        <v>1</v>
      </c>
      <c r="B5" s="26" t="s">
        <v>43</v>
      </c>
      <c r="C5" s="27" t="s">
        <v>48</v>
      </c>
      <c r="D5" s="27" t="s">
        <v>57</v>
      </c>
      <c r="E5" s="26" t="s">
        <v>59</v>
      </c>
      <c r="F5" s="27" t="s">
        <v>60</v>
      </c>
      <c r="G5" s="27" t="s">
        <v>52</v>
      </c>
      <c r="H5" s="31">
        <v>43892.0</v>
      </c>
    </row>
    <row r="6" ht="27.75" customHeight="1">
      <c r="A6" s="15">
        <f t="shared" si="1"/>
        <v>2</v>
      </c>
      <c r="B6" s="26" t="s">
        <v>69</v>
      </c>
      <c r="C6" s="27" t="s">
        <v>70</v>
      </c>
      <c r="D6" s="27" t="s">
        <v>71</v>
      </c>
      <c r="E6" s="26" t="s">
        <v>72</v>
      </c>
      <c r="F6" s="27" t="s">
        <v>74</v>
      </c>
      <c r="G6" s="27" t="s">
        <v>52</v>
      </c>
      <c r="H6" s="31">
        <v>44727.0</v>
      </c>
    </row>
    <row r="7" ht="27.75" customHeight="1">
      <c r="A7" s="15">
        <f t="shared" si="1"/>
        <v>3</v>
      </c>
      <c r="B7" s="26" t="s">
        <v>75</v>
      </c>
      <c r="C7" s="27" t="s">
        <v>76</v>
      </c>
      <c r="D7" s="27" t="s">
        <v>77</v>
      </c>
      <c r="E7" s="26" t="s">
        <v>59</v>
      </c>
      <c r="F7" s="27" t="s">
        <v>80</v>
      </c>
      <c r="G7" s="27" t="s">
        <v>81</v>
      </c>
      <c r="H7" s="31">
        <v>43709.0</v>
      </c>
    </row>
    <row r="8" ht="27.75" customHeight="1">
      <c r="A8" s="15">
        <f t="shared" si="1"/>
        <v>4</v>
      </c>
      <c r="B8" s="26" t="s">
        <v>84</v>
      </c>
      <c r="C8" s="27" t="s">
        <v>85</v>
      </c>
      <c r="D8" s="27" t="s">
        <v>88</v>
      </c>
      <c r="E8" s="26" t="s">
        <v>72</v>
      </c>
      <c r="F8" s="27" t="s">
        <v>89</v>
      </c>
      <c r="G8" s="27" t="s">
        <v>81</v>
      </c>
      <c r="H8" s="31">
        <v>44571.0</v>
      </c>
    </row>
    <row r="9" ht="27.75" customHeight="1">
      <c r="A9" s="15">
        <f t="shared" si="1"/>
        <v>5</v>
      </c>
      <c r="B9" s="26" t="s">
        <v>93</v>
      </c>
      <c r="C9" s="27" t="s">
        <v>95</v>
      </c>
      <c r="D9" s="27" t="s">
        <v>96</v>
      </c>
      <c r="E9" s="26" t="s">
        <v>99</v>
      </c>
      <c r="F9" s="27" t="s">
        <v>100</v>
      </c>
      <c r="G9" s="27" t="s">
        <v>101</v>
      </c>
      <c r="H9" s="31">
        <v>45390.0</v>
      </c>
    </row>
    <row r="10" ht="27.75" customHeight="1">
      <c r="A10" s="15">
        <f t="shared" si="1"/>
        <v>6</v>
      </c>
      <c r="B10" s="26" t="s">
        <v>104</v>
      </c>
      <c r="C10" s="27" t="s">
        <v>106</v>
      </c>
      <c r="D10" s="27" t="s">
        <v>107</v>
      </c>
      <c r="E10" s="26" t="s">
        <v>72</v>
      </c>
      <c r="F10" s="27" t="s">
        <v>109</v>
      </c>
      <c r="G10" s="27" t="s">
        <v>101</v>
      </c>
      <c r="H10" s="31">
        <v>44977.0</v>
      </c>
    </row>
    <row r="11" ht="27.75" customHeight="1">
      <c r="A11" s="15">
        <f t="shared" si="1"/>
        <v>7</v>
      </c>
      <c r="B11" s="26" t="s">
        <v>110</v>
      </c>
      <c r="C11" s="27" t="s">
        <v>111</v>
      </c>
      <c r="D11" s="27" t="s">
        <v>57</v>
      </c>
      <c r="E11" s="26" t="s">
        <v>99</v>
      </c>
      <c r="F11" s="27" t="s">
        <v>60</v>
      </c>
      <c r="G11" s="27" t="s">
        <v>52</v>
      </c>
      <c r="H11" s="31">
        <v>45845.0</v>
      </c>
    </row>
    <row r="12" ht="27.75" customHeight="1">
      <c r="A12" s="15">
        <f t="shared" si="1"/>
        <v>8</v>
      </c>
      <c r="B12" s="26" t="s">
        <v>112</v>
      </c>
      <c r="C12" s="27" t="s">
        <v>113</v>
      </c>
      <c r="D12" s="27" t="s">
        <v>88</v>
      </c>
      <c r="E12" s="26" t="s">
        <v>99</v>
      </c>
      <c r="F12" s="27" t="s">
        <v>89</v>
      </c>
      <c r="G12" s="27" t="s">
        <v>81</v>
      </c>
      <c r="H12" s="31">
        <v>45733.0</v>
      </c>
    </row>
    <row r="13" ht="27.75" customHeight="1">
      <c r="A13" s="15" t="str">
        <f t="shared" si="1"/>
        <v/>
      </c>
      <c r="B13" s="26"/>
      <c r="C13" s="27"/>
      <c r="D13" s="27"/>
      <c r="E13" s="26"/>
      <c r="F13" s="27"/>
      <c r="G13" s="27"/>
      <c r="H13" s="31"/>
    </row>
    <row r="14" ht="27.75" customHeight="1">
      <c r="A14" s="15" t="str">
        <f t="shared" si="1"/>
        <v/>
      </c>
      <c r="B14" s="26"/>
      <c r="C14" s="27"/>
      <c r="D14" s="27"/>
      <c r="E14" s="26"/>
      <c r="F14" s="27"/>
      <c r="G14" s="27"/>
      <c r="H14" s="31"/>
    </row>
    <row r="15" ht="27.75" customHeight="1">
      <c r="A15" s="15" t="str">
        <f t="shared" si="1"/>
        <v/>
      </c>
      <c r="B15" s="26"/>
      <c r="C15" s="27"/>
      <c r="D15" s="27"/>
      <c r="E15" s="26"/>
      <c r="F15" s="27"/>
      <c r="G15" s="27"/>
      <c r="H15" s="31"/>
    </row>
    <row r="16" ht="27.75" customHeight="1">
      <c r="A16" s="15" t="str">
        <f t="shared" si="1"/>
        <v/>
      </c>
      <c r="B16" s="26"/>
      <c r="C16" s="27"/>
      <c r="D16" s="27"/>
      <c r="E16" s="26"/>
      <c r="F16" s="27"/>
      <c r="G16" s="27"/>
      <c r="H16" s="31"/>
    </row>
    <row r="17" ht="27.75" customHeight="1">
      <c r="A17" s="15" t="str">
        <f t="shared" si="1"/>
        <v/>
      </c>
      <c r="B17" s="26"/>
      <c r="C17" s="27"/>
      <c r="D17" s="27"/>
      <c r="E17" s="26"/>
      <c r="F17" s="27"/>
      <c r="G17" s="27"/>
      <c r="H17" s="31"/>
    </row>
    <row r="18" ht="27.75" customHeight="1">
      <c r="A18" s="15" t="str">
        <f t="shared" si="1"/>
        <v/>
      </c>
      <c r="B18" s="26"/>
      <c r="C18" s="27"/>
      <c r="D18" s="27"/>
      <c r="E18" s="26"/>
      <c r="F18" s="27"/>
      <c r="G18" s="27"/>
      <c r="H18" s="31"/>
    </row>
    <row r="19" ht="27.75" customHeight="1">
      <c r="A19" s="15" t="str">
        <f t="shared" si="1"/>
        <v/>
      </c>
      <c r="B19" s="26"/>
      <c r="C19" s="27"/>
      <c r="D19" s="27"/>
      <c r="E19" s="26"/>
      <c r="F19" s="27"/>
      <c r="G19" s="27"/>
      <c r="H19" s="31"/>
    </row>
    <row r="20" ht="27.75" customHeight="1">
      <c r="A20" s="15" t="str">
        <f t="shared" si="1"/>
        <v/>
      </c>
      <c r="B20" s="26"/>
      <c r="C20" s="27"/>
      <c r="D20" s="27"/>
      <c r="E20" s="26"/>
      <c r="F20" s="27"/>
      <c r="G20" s="27"/>
      <c r="H20" s="31"/>
    </row>
    <row r="21" ht="27.75" customHeight="1">
      <c r="A21" s="15" t="str">
        <f t="shared" si="1"/>
        <v/>
      </c>
      <c r="B21" s="26"/>
      <c r="C21" s="27"/>
      <c r="D21" s="27"/>
      <c r="E21" s="26"/>
      <c r="F21" s="27"/>
      <c r="G21" s="27"/>
      <c r="H21" s="31"/>
    </row>
    <row r="22" ht="27.75" customHeight="1">
      <c r="A22" s="15" t="str">
        <f t="shared" si="1"/>
        <v/>
      </c>
      <c r="B22" s="26"/>
      <c r="C22" s="27"/>
      <c r="D22" s="27"/>
      <c r="E22" s="26"/>
      <c r="F22" s="27"/>
      <c r="G22" s="27"/>
      <c r="H22" s="31"/>
    </row>
    <row r="23" ht="27.75" customHeight="1">
      <c r="A23" s="15" t="str">
        <f t="shared" si="1"/>
        <v/>
      </c>
      <c r="B23" s="26"/>
      <c r="C23" s="27"/>
      <c r="D23" s="27"/>
      <c r="E23" s="26"/>
      <c r="F23" s="27"/>
      <c r="G23" s="27"/>
      <c r="H23" s="31"/>
    </row>
    <row r="24" ht="27.75" customHeight="1">
      <c r="A24" s="15" t="str">
        <f t="shared" si="1"/>
        <v/>
      </c>
      <c r="B24" s="26"/>
      <c r="C24" s="27"/>
      <c r="D24" s="27"/>
      <c r="E24" s="26"/>
      <c r="F24" s="27"/>
      <c r="G24" s="27"/>
      <c r="H24" s="31"/>
    </row>
    <row r="25" ht="27.75" customHeight="1">
      <c r="A25" s="15" t="str">
        <f t="shared" si="1"/>
        <v/>
      </c>
      <c r="B25" s="26"/>
      <c r="C25" s="27"/>
      <c r="D25" s="27"/>
      <c r="E25" s="26"/>
      <c r="F25" s="27"/>
      <c r="G25" s="27"/>
      <c r="H25" s="31"/>
    </row>
    <row r="26" ht="27.75" customHeight="1">
      <c r="A26" s="15" t="str">
        <f t="shared" si="1"/>
        <v/>
      </c>
      <c r="B26" s="26"/>
      <c r="C26" s="27"/>
      <c r="D26" s="27"/>
      <c r="E26" s="26"/>
      <c r="F26" s="27"/>
      <c r="G26" s="27"/>
      <c r="H26" s="31"/>
    </row>
    <row r="27" ht="27.75" customHeight="1">
      <c r="A27" s="15" t="str">
        <f t="shared" si="1"/>
        <v/>
      </c>
      <c r="B27" s="26"/>
      <c r="C27" s="27"/>
      <c r="D27" s="27"/>
      <c r="E27" s="26"/>
      <c r="F27" s="27"/>
      <c r="G27" s="27"/>
      <c r="H27" s="31"/>
    </row>
    <row r="28" ht="27.75" customHeight="1">
      <c r="A28" s="15" t="str">
        <f t="shared" si="1"/>
        <v/>
      </c>
      <c r="B28" s="26"/>
      <c r="C28" s="27"/>
      <c r="D28" s="27"/>
      <c r="E28" s="26"/>
      <c r="F28" s="27"/>
      <c r="G28" s="27"/>
      <c r="H28" s="31"/>
    </row>
    <row r="29" ht="27.75" customHeight="1">
      <c r="A29" s="15" t="str">
        <f t="shared" si="1"/>
        <v/>
      </c>
      <c r="B29" s="26"/>
      <c r="C29" s="27"/>
      <c r="D29" s="27"/>
      <c r="E29" s="26"/>
      <c r="F29" s="27"/>
      <c r="G29" s="27"/>
      <c r="H29" s="31"/>
    </row>
    <row r="30" ht="27.75" customHeight="1">
      <c r="A30" s="15" t="str">
        <f t="shared" si="1"/>
        <v/>
      </c>
      <c r="B30" s="26"/>
      <c r="C30" s="27"/>
      <c r="D30" s="27"/>
      <c r="E30" s="26"/>
      <c r="F30" s="27"/>
      <c r="G30" s="27"/>
      <c r="H30" s="31"/>
    </row>
    <row r="31" ht="27.75" customHeight="1">
      <c r="A31" s="15" t="str">
        <f t="shared" si="1"/>
        <v/>
      </c>
      <c r="B31" s="26"/>
      <c r="C31" s="27"/>
      <c r="D31" s="27"/>
      <c r="E31" s="26"/>
      <c r="F31" s="27"/>
      <c r="G31" s="27"/>
      <c r="H31" s="31"/>
    </row>
    <row r="32" ht="27.75" customHeight="1">
      <c r="A32" s="15" t="str">
        <f t="shared" si="1"/>
        <v/>
      </c>
      <c r="B32" s="26"/>
      <c r="C32" s="27"/>
      <c r="D32" s="27"/>
      <c r="E32" s="26"/>
      <c r="F32" s="27"/>
      <c r="G32" s="27"/>
      <c r="H32" s="31"/>
    </row>
    <row r="33" ht="27.75" customHeight="1">
      <c r="A33" s="15" t="str">
        <f t="shared" si="1"/>
        <v/>
      </c>
      <c r="B33" s="26"/>
      <c r="C33" s="27"/>
      <c r="D33" s="27"/>
      <c r="E33" s="26"/>
      <c r="F33" s="27"/>
      <c r="G33" s="27"/>
      <c r="H33" s="31"/>
    </row>
    <row r="34" ht="27.75" customHeight="1">
      <c r="A34" s="15" t="str">
        <f t="shared" si="1"/>
        <v/>
      </c>
      <c r="B34" s="26"/>
      <c r="C34" s="27"/>
      <c r="D34" s="27"/>
      <c r="E34" s="26"/>
      <c r="F34" s="27"/>
      <c r="G34" s="27"/>
      <c r="H34" s="31"/>
    </row>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
    <mergeCell ref="A1:H1"/>
    <mergeCell ref="A2:H2"/>
  </mergeCells>
  <dataValidations>
    <dataValidation type="list" allowBlank="1" showInputMessage="1" showErrorMessage="1" prompt="Giá trị không hợp lệ - Vui lòng chọn cấp bậc trong danh sách (sheet Cấu hình)." sqref="E5:E34">
      <formula1>'Cấu hình'!$B$51:$B$56</formula1>
    </dataValidation>
    <dataValidation type="list" allowBlank="1" showInputMessage="1" showErrorMessage="1" prompt="Giá trị không hợp lệ - Vui lòng chọn vị trí trong danh sách (sheet Cấu hình)." sqref="D5:D34">
      <formula1>'Cấu hình'!$B$40:$B$47</formula1>
    </dataValidation>
    <dataValidation type="date" operator="greaterThan" allowBlank="1" showInputMessage="1" showErrorMessage="1" prompt="Giá trị không hợp lệ - Vui lòng nhập ngày hợp lệ (dd/mm/yyyy)." sqref="H5:H34">
      <formula1>36526.0</formula1>
    </dataValidation>
    <dataValidation type="custom" allowBlank="1" showInputMessage="1" showErrorMessage="1" prompt="Mã trùng - Mã nhân viên bị trùng. Vui lòng nhập mã khác." sqref="B5:B34">
      <formula1>COUNTIF($B$5:$B$34,B5)&lt;=1</formula1>
    </dataValidation>
  </dataValidations>
  <printOptions/>
  <pageMargins bottom="1.0" footer="0.0" header="0.0" left="0.75" right="0.75" top="1.0"/>
  <pageSetup fitToHeight="0" orientation="landscape"/>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26A1B"/>
    <pageSetUpPr fitToPage="1"/>
  </sheetPr>
  <sheetViews>
    <sheetView showGridLines="0" workbookViewId="0">
      <pane xSplit="3.0" ySplit="5.0" topLeftCell="D6" activePane="bottomRight" state="frozen"/>
      <selection activeCell="D1" sqref="D1" pane="topRight"/>
      <selection activeCell="A6" sqref="A6" pane="bottomLeft"/>
      <selection activeCell="D6" sqref="D6" pane="bottomRight"/>
    </sheetView>
  </sheetViews>
  <sheetFormatPr customHeight="1" defaultColWidth="14.43" defaultRowHeight="15.0"/>
  <cols>
    <col customWidth="1" min="1" max="1" width="6.0"/>
    <col customWidth="1" min="2" max="2" width="11.0"/>
    <col customWidth="1" min="3" max="3" width="26.0"/>
    <col customWidth="1" min="4" max="4" width="22.0"/>
    <col customWidth="1" min="5" max="13" width="14.0"/>
    <col customWidth="1" min="14" max="14" width="12.0"/>
    <col customWidth="1" min="15" max="15" width="18.0"/>
    <col customWidth="1" min="16" max="16" width="10.0"/>
    <col customWidth="1" min="17" max="18" width="12.0"/>
    <col customWidth="1" min="19" max="20" width="28.0"/>
    <col customWidth="1" min="21" max="21" width="44.0"/>
    <col customWidth="1" min="22" max="22" width="30.0"/>
    <col customWidth="1" min="23" max="26" width="8.57"/>
  </cols>
  <sheetData>
    <row r="1" ht="39.75" customHeight="1">
      <c r="A1" s="6" t="s">
        <v>3</v>
      </c>
      <c r="B1" s="4"/>
      <c r="C1" s="4"/>
      <c r="D1" s="4"/>
      <c r="E1" s="4"/>
      <c r="F1" s="4"/>
      <c r="G1" s="4"/>
      <c r="H1" s="4"/>
      <c r="I1" s="4"/>
      <c r="J1" s="4"/>
      <c r="K1" s="4"/>
      <c r="L1" s="4"/>
      <c r="M1" s="4"/>
      <c r="N1" s="4"/>
      <c r="O1" s="4"/>
      <c r="P1" s="4"/>
      <c r="Q1" s="4"/>
      <c r="R1" s="4"/>
      <c r="S1" s="4"/>
      <c r="T1" s="4"/>
      <c r="U1" s="4"/>
      <c r="V1" s="3"/>
    </row>
    <row r="2" ht="25.5" customHeight="1">
      <c r="A2" s="21" t="str">
        <f>"Kỳ đánh giá: "&amp;'Cấu hình'!C5&amp;"   |   Khối / Bộ phận: "&amp;'Cấu hình'!C6&amp;"   |   Người đánh giá: "&amp;'Cấu hình'!C7&amp;"   |   Ngày đánh giá: "&amp;TEXT('Cấu hình'!C8,"dd/mm/yyyy")</f>
        <v>Kỳ đánh giá: Quý 4/2026   |   Khối / Bộ phận: Khối Công nghệ   |   Người đánh giá: Trần Quốc Việt   |   Ngày đánh giá: 30/10/2026</v>
      </c>
      <c r="B2" s="4"/>
      <c r="C2" s="4"/>
      <c r="D2" s="4"/>
      <c r="E2" s="4"/>
      <c r="F2" s="4"/>
      <c r="G2" s="4"/>
      <c r="H2" s="4"/>
      <c r="I2" s="4"/>
      <c r="J2" s="4"/>
      <c r="K2" s="4"/>
      <c r="L2" s="4"/>
      <c r="M2" s="4"/>
      <c r="N2" s="4"/>
      <c r="O2" s="4"/>
      <c r="P2" s="4"/>
      <c r="Q2" s="4"/>
      <c r="R2" s="4"/>
      <c r="S2" s="4"/>
      <c r="T2" s="4"/>
      <c r="U2" s="4"/>
      <c r="V2" s="3"/>
    </row>
    <row r="3" ht="21.75" customHeight="1">
      <c r="A3" s="28" t="s">
        <v>49</v>
      </c>
      <c r="B3" s="29"/>
      <c r="C3" s="29"/>
      <c r="D3" s="29"/>
      <c r="E3" s="24"/>
      <c r="F3" s="28" t="s">
        <v>62</v>
      </c>
      <c r="G3" s="29"/>
      <c r="H3" s="29"/>
      <c r="I3" s="29"/>
      <c r="J3" s="29"/>
      <c r="K3" s="29"/>
      <c r="L3" s="29"/>
      <c r="M3" s="24"/>
      <c r="N3" s="28" t="s">
        <v>65</v>
      </c>
      <c r="O3" s="29"/>
      <c r="P3" s="24"/>
      <c r="Q3" s="28" t="s">
        <v>68</v>
      </c>
      <c r="R3" s="24"/>
      <c r="S3" s="28" t="s">
        <v>73</v>
      </c>
      <c r="T3" s="29"/>
      <c r="U3" s="29"/>
      <c r="V3" s="24"/>
    </row>
    <row r="4" ht="63.75" customHeight="1">
      <c r="A4" s="10" t="s">
        <v>8</v>
      </c>
      <c r="B4" s="10" t="s">
        <v>10</v>
      </c>
      <c r="C4" s="10" t="s">
        <v>11</v>
      </c>
      <c r="D4" s="10" t="s">
        <v>12</v>
      </c>
      <c r="E4" s="10" t="s">
        <v>13</v>
      </c>
      <c r="F4" s="10" t="str">
        <f>IF('Cấu hình'!$B$12="","",'Cấu hình'!$B$12)</f>
        <v>Chuyên môn kỹ thuật</v>
      </c>
      <c r="G4" s="10" t="str">
        <f>IF('Cấu hình'!$B$13="","",'Cấu hình'!$B$13)</f>
        <v>Chất lượng công việc</v>
      </c>
      <c r="H4" s="10" t="str">
        <f>IF('Cấu hình'!$B$14="","",'Cấu hình'!$B$14)</f>
        <v>Tiến độ và hiệu suất</v>
      </c>
      <c r="I4" s="10" t="str">
        <f>IF('Cấu hình'!$B$15="","",'Cấu hình'!$B$15)</f>
        <v>Giải quyết vấn đề, xử lý sự cố</v>
      </c>
      <c r="J4" s="10" t="str">
        <f>IF('Cấu hình'!$B$16="","",'Cấu hình'!$B$16)</f>
        <v>Học hỏi và cải tiến</v>
      </c>
      <c r="K4" s="10" t="str">
        <f>IF('Cấu hình'!$B$17="","",'Cấu hình'!$B$17)</f>
        <v>Làm việc nhóm và giao tiếp</v>
      </c>
      <c r="L4" s="10" t="str">
        <f>IF('Cấu hình'!$B$18="","",'Cấu hình'!$B$18)</f>
        <v>Tuân thủ quy trình, bảo mật</v>
      </c>
      <c r="M4" s="10" t="str">
        <f>IF('Cấu hình'!$B$19="","",'Cấu hình'!$B$19)</f>
        <v>Tài liệu và chia sẻ kiến thức</v>
      </c>
      <c r="N4" s="10" t="s">
        <v>120</v>
      </c>
      <c r="O4" s="10" t="s">
        <v>122</v>
      </c>
      <c r="P4" s="10" t="s">
        <v>124</v>
      </c>
      <c r="Q4" s="10" t="s">
        <v>126</v>
      </c>
      <c r="R4" s="10" t="s">
        <v>128</v>
      </c>
      <c r="S4" s="10" t="s">
        <v>130</v>
      </c>
      <c r="T4" s="10" t="s">
        <v>132</v>
      </c>
      <c r="U4" s="10" t="s">
        <v>134</v>
      </c>
      <c r="V4" s="10" t="s">
        <v>136</v>
      </c>
    </row>
    <row r="5" ht="24.0" customHeight="1">
      <c r="A5" s="37" t="s">
        <v>138</v>
      </c>
      <c r="B5" s="29"/>
      <c r="C5" s="29"/>
      <c r="D5" s="29"/>
      <c r="E5" s="24"/>
      <c r="F5" s="38">
        <f>IF('Cấu hình'!$B$12="",0,N('Cấu hình'!$C$12))</f>
        <v>0.2</v>
      </c>
      <c r="G5" s="38">
        <f>IF('Cấu hình'!$B$13="",0,N('Cấu hình'!$C$13))</f>
        <v>0.2</v>
      </c>
      <c r="H5" s="38">
        <f>IF('Cấu hình'!$B$14="",0,N('Cấu hình'!$C$14))</f>
        <v>0.15</v>
      </c>
      <c r="I5" s="38">
        <f>IF('Cấu hình'!$B$15="",0,N('Cấu hình'!$C$15))</f>
        <v>0.15</v>
      </c>
      <c r="J5" s="38">
        <f>IF('Cấu hình'!$B$16="",0,N('Cấu hình'!$C$16))</f>
        <v>0.1</v>
      </c>
      <c r="K5" s="38">
        <f>IF('Cấu hình'!$B$17="",0,N('Cấu hình'!$C$17))</f>
        <v>0.1</v>
      </c>
      <c r="L5" s="38">
        <f>IF('Cấu hình'!$B$18="",0,N('Cấu hình'!$C$18))</f>
        <v>0.05</v>
      </c>
      <c r="M5" s="38">
        <f>IF('Cấu hình'!$B$19="",0,N('Cấu hình'!$C$19))</f>
        <v>0.05</v>
      </c>
      <c r="N5" s="38">
        <f>SUM(F5:M5)</f>
        <v>1</v>
      </c>
      <c r="O5" s="40"/>
      <c r="P5" s="40"/>
      <c r="Q5" s="40"/>
      <c r="R5" s="40"/>
      <c r="S5" s="40"/>
      <c r="T5" s="40"/>
      <c r="U5" s="40"/>
      <c r="V5" s="40"/>
    </row>
    <row r="6" ht="30.0" customHeight="1">
      <c r="A6" s="15">
        <f t="shared" ref="A6:A35" si="1">IF($B6="","",ROW()-5)</f>
        <v>1</v>
      </c>
      <c r="B6" s="26" t="s">
        <v>43</v>
      </c>
      <c r="C6" s="36" t="str">
        <f t="array" ref="C6">IF($B6="","",IFERROR(INDEX('Danh sách nhân viên'!$C$5:$C$34,MATCH($B6,'Danh sách nhân viên'!$B$5:$B$34,0)),"Không tìm thấy mã"))</f>
        <v>Nguyễn Hoàng Long</v>
      </c>
      <c r="D6" s="36" t="str">
        <f t="array" ref="D6">IF($B6="","",IFERROR(INDEX('Danh sách nhân viên'!$D$5:$D$34,MATCH($B6,'Danh sách nhân viên'!$B$5:$B$34,0)),""))</f>
        <v>Backend Developer</v>
      </c>
      <c r="E6" s="35" t="str">
        <f t="array" ref="E6">IF($B6="","",IFERROR(INDEX('Danh sách nhân viên'!$E$5:$E$34,MATCH($B6,'Danh sách nhân viên'!$B$5:$B$34,0)),""))</f>
        <v>Senior</v>
      </c>
      <c r="F6" s="26">
        <v>5.0</v>
      </c>
      <c r="G6" s="26">
        <v>5.0</v>
      </c>
      <c r="H6" s="26">
        <v>4.0</v>
      </c>
      <c r="I6" s="26">
        <v>5.0</v>
      </c>
      <c r="J6" s="26">
        <v>4.0</v>
      </c>
      <c r="K6" s="26">
        <v>4.0</v>
      </c>
      <c r="L6" s="26">
        <v>5.0</v>
      </c>
      <c r="M6" s="26">
        <v>4.0</v>
      </c>
      <c r="N6" s="45">
        <f t="shared" ref="N6:N35" si="2">IF($B6="","",IFERROR(IF(SUMPRODUCT(($F$5:$M$5&gt;0)*ISNUMBER($F6:$M6))&lt;COUNTIF($F$5:$M$5,"&gt;0"),"",ROUND(SUMPRODUCT($F6:$M6,$F$5:$M$5)/(5*SUM($F$5:$M$5))*100,1)),""))</f>
        <v>92</v>
      </c>
      <c r="O6" s="46" t="str">
        <f t="array" ref="O6">IF($N6="","",INDEX('Cấu hình'!$B$32:$B$35,MATCH($N6,'Cấu hình'!$C$32:$C$35,1)))</f>
        <v>A - Xuất sắc</v>
      </c>
      <c r="P6" s="46">
        <f t="shared" ref="P6:P35" si="3">IF($N6="","",RANK($N6,$N$6:$N$35,0)+COUNTIF($N$6:$N6,$N6)-1)</f>
        <v>1</v>
      </c>
      <c r="Q6" s="47">
        <v>88.0</v>
      </c>
      <c r="R6" s="35" t="str">
        <f t="shared" ref="R6:R35" si="4">IF(OR($N6="",$Q6=""),"",IF($N6-$Q6&gt;=1,"Tăng",IF($Q6-$N6&gt;=1,"Giảm","Ổn định")))</f>
        <v>Tăng</v>
      </c>
      <c r="S6" s="36" t="str">
        <f t="shared" ref="S6:S35" si="5">IF($N6="","",INDEX($F$4:$M$4,MATCH(MAX($F6:$M6),$F6:$M6,0)))</f>
        <v>Chuyên môn kỹ thuật</v>
      </c>
      <c r="T6" s="36" t="str">
        <f t="shared" ref="T6:T35" si="6">IF($N6="","",INDEX($F$4:$M$4,MATCH(MIN($F6:$M6),$F6:$M6,0)))</f>
        <v>Tiến độ và hiệu suất</v>
      </c>
      <c r="U6" s="36" t="str">
        <f t="array" ref="U6">IF($B6="","",IF($N6="","Chưa đủ điểm đánh giá",INDEX('Cấu hình'!$D$32:$D$35,MATCH($N6,'Cấu hình'!$C$32:$C$35,1))))</f>
        <v>Xem xét khen thưởng, thăng cấp, giao dự án trọng điểm</v>
      </c>
      <c r="V6" s="27" t="s">
        <v>162</v>
      </c>
    </row>
    <row r="7" ht="30.0" customHeight="1">
      <c r="A7" s="15">
        <f t="shared" si="1"/>
        <v>2</v>
      </c>
      <c r="B7" s="26" t="s">
        <v>69</v>
      </c>
      <c r="C7" s="36" t="str">
        <f t="array" ref="C7">IF($B7="","",IFERROR(INDEX('Danh sách nhân viên'!$C$5:$C$34,MATCH($B7,'Danh sách nhân viên'!$B$5:$B$34,0)),"Không tìm thấy mã"))</f>
        <v>Lê Thu Trang</v>
      </c>
      <c r="D7" s="36" t="str">
        <f t="array" ref="D7">IF($B7="","",IFERROR(INDEX('Danh sách nhân viên'!$D$5:$D$34,MATCH($B7,'Danh sách nhân viên'!$B$5:$B$34,0)),""))</f>
        <v>Frontend Developer</v>
      </c>
      <c r="E7" s="35" t="str">
        <f t="array" ref="E7">IF($B7="","",IFERROR(INDEX('Danh sách nhân viên'!$E$5:$E$34,MATCH($B7,'Danh sách nhân viên'!$B$5:$B$34,0)),""))</f>
        <v>Middle</v>
      </c>
      <c r="F7" s="26">
        <v>4.0</v>
      </c>
      <c r="G7" s="26">
        <v>4.0</v>
      </c>
      <c r="H7" s="26">
        <v>4.0</v>
      </c>
      <c r="I7" s="26">
        <v>3.0</v>
      </c>
      <c r="J7" s="26">
        <v>4.0</v>
      </c>
      <c r="K7" s="26">
        <v>4.0</v>
      </c>
      <c r="L7" s="26">
        <v>4.0</v>
      </c>
      <c r="M7" s="26">
        <v>3.0</v>
      </c>
      <c r="N7" s="45">
        <f t="shared" si="2"/>
        <v>76</v>
      </c>
      <c r="O7" s="46" t="str">
        <f t="array" ref="O7">IF($N7="","",INDEX('Cấu hình'!$B$32:$B$35,MATCH($N7,'Cấu hình'!$C$32:$C$35,1)))</f>
        <v>B - Tốt</v>
      </c>
      <c r="P7" s="46">
        <f t="shared" si="3"/>
        <v>3</v>
      </c>
      <c r="Q7" s="47">
        <v>74.0</v>
      </c>
      <c r="R7" s="35" t="str">
        <f t="shared" si="4"/>
        <v>Tăng</v>
      </c>
      <c r="S7" s="36" t="str">
        <f t="shared" si="5"/>
        <v>Chuyên môn kỹ thuật</v>
      </c>
      <c r="T7" s="36" t="str">
        <f t="shared" si="6"/>
        <v>Giải quyết vấn đề, xử lý sự cố</v>
      </c>
      <c r="U7" s="36" t="str">
        <f t="array" ref="U7">IF($B7="","",IF($N7="","Chưa đủ điểm đánh giá",INDEX('Cấu hình'!$D$32:$D$35,MATCH($N7,'Cấu hình'!$C$32:$C$35,1))))</f>
        <v>Tiếp tục phát triển, đào tạo nâng cao</v>
      </c>
      <c r="V7" s="27"/>
    </row>
    <row r="8" ht="30.0" customHeight="1">
      <c r="A8" s="15">
        <f t="shared" si="1"/>
        <v>3</v>
      </c>
      <c r="B8" s="26" t="s">
        <v>75</v>
      </c>
      <c r="C8" s="36" t="str">
        <f t="array" ref="C8">IF($B8="","",IFERROR(INDEX('Danh sách nhân viên'!$C$5:$C$34,MATCH($B8,'Danh sách nhân viên'!$B$5:$B$34,0)),"Không tìm thấy mã"))</f>
        <v>Phạm Đức Minh</v>
      </c>
      <c r="D8" s="36" t="str">
        <f t="array" ref="D8">IF($B8="","",IFERROR(INDEX('Danh sách nhân viên'!$D$5:$D$34,MATCH($B8,'Danh sách nhân viên'!$B$5:$B$34,0)),""))</f>
        <v>DevOps Engineer</v>
      </c>
      <c r="E8" s="35" t="str">
        <f t="array" ref="E8">IF($B8="","",IFERROR(INDEX('Danh sách nhân viên'!$E$5:$E$34,MATCH($B8,'Danh sách nhân viên'!$B$5:$B$34,0)),""))</f>
        <v>Senior</v>
      </c>
      <c r="F8" s="26">
        <v>5.0</v>
      </c>
      <c r="G8" s="26">
        <v>4.0</v>
      </c>
      <c r="H8" s="26">
        <v>4.0</v>
      </c>
      <c r="I8" s="26">
        <v>5.0</v>
      </c>
      <c r="J8" s="26">
        <v>4.0</v>
      </c>
      <c r="K8" s="26">
        <v>3.0</v>
      </c>
      <c r="L8" s="26">
        <v>5.0</v>
      </c>
      <c r="M8" s="26">
        <v>4.0</v>
      </c>
      <c r="N8" s="45">
        <f t="shared" si="2"/>
        <v>86</v>
      </c>
      <c r="O8" s="46" t="str">
        <f t="array" ref="O8">IF($N8="","",INDEX('Cấu hình'!$B$32:$B$35,MATCH($N8,'Cấu hình'!$C$32:$C$35,1)))</f>
        <v>A - Xuất sắc</v>
      </c>
      <c r="P8" s="46">
        <f t="shared" si="3"/>
        <v>2</v>
      </c>
      <c r="Q8" s="47">
        <v>82.0</v>
      </c>
      <c r="R8" s="35" t="str">
        <f t="shared" si="4"/>
        <v>Tăng</v>
      </c>
      <c r="S8" s="36" t="str">
        <f t="shared" si="5"/>
        <v>Chuyên môn kỹ thuật</v>
      </c>
      <c r="T8" s="36" t="str">
        <f t="shared" si="6"/>
        <v>Làm việc nhóm và giao tiếp</v>
      </c>
      <c r="U8" s="36" t="str">
        <f t="array" ref="U8">IF($B8="","",IF($N8="","Chưa đủ điểm đánh giá",INDEX('Cấu hình'!$D$32:$D$35,MATCH($N8,'Cấu hình'!$C$32:$C$35,1))))</f>
        <v>Xem xét khen thưởng, thăng cấp, giao dự án trọng điểm</v>
      </c>
      <c r="V8" s="27" t="s">
        <v>163</v>
      </c>
    </row>
    <row r="9" ht="30.0" customHeight="1">
      <c r="A9" s="15">
        <f t="shared" si="1"/>
        <v>4</v>
      </c>
      <c r="B9" s="26" t="s">
        <v>84</v>
      </c>
      <c r="C9" s="36" t="str">
        <f t="array" ref="C9">IF($B9="","",IFERROR(INDEX('Danh sách nhân viên'!$C$5:$C$34,MATCH($B9,'Danh sách nhân viên'!$B$5:$B$34,0)),"Không tìm thấy mã"))</f>
        <v>Vũ Ngọc Anh</v>
      </c>
      <c r="D9" s="36" t="str">
        <f t="array" ref="D9">IF($B9="","",IFERROR(INDEX('Danh sách nhân viên'!$D$5:$D$34,MATCH($B9,'Danh sách nhân viên'!$B$5:$B$34,0)),""))</f>
        <v>QA / Tester</v>
      </c>
      <c r="E9" s="35" t="str">
        <f t="array" ref="E9">IF($B9="","",IFERROR(INDEX('Danh sách nhân viên'!$E$5:$E$34,MATCH($B9,'Danh sách nhân viên'!$B$5:$B$34,0)),""))</f>
        <v>Middle</v>
      </c>
      <c r="F9" s="26">
        <v>4.0</v>
      </c>
      <c r="G9" s="26">
        <v>4.0</v>
      </c>
      <c r="H9" s="26">
        <v>3.0</v>
      </c>
      <c r="I9" s="26">
        <v>4.0</v>
      </c>
      <c r="J9" s="26">
        <v>3.0</v>
      </c>
      <c r="K9" s="26">
        <v>4.0</v>
      </c>
      <c r="L9" s="26">
        <v>4.0</v>
      </c>
      <c r="M9" s="26">
        <v>5.0</v>
      </c>
      <c r="N9" s="45">
        <f t="shared" si="2"/>
        <v>76</v>
      </c>
      <c r="O9" s="46" t="str">
        <f t="array" ref="O9">IF($N9="","",INDEX('Cấu hình'!$B$32:$B$35,MATCH($N9,'Cấu hình'!$C$32:$C$35,1)))</f>
        <v>B - Tốt</v>
      </c>
      <c r="P9" s="46">
        <f t="shared" si="3"/>
        <v>4</v>
      </c>
      <c r="Q9" s="47">
        <v>78.0</v>
      </c>
      <c r="R9" s="35" t="str">
        <f t="shared" si="4"/>
        <v>Giảm</v>
      </c>
      <c r="S9" s="36" t="str">
        <f t="shared" si="5"/>
        <v>Tài liệu và chia sẻ kiến thức</v>
      </c>
      <c r="T9" s="36" t="str">
        <f t="shared" si="6"/>
        <v>Tiến độ và hiệu suất</v>
      </c>
      <c r="U9" s="36" t="str">
        <f t="array" ref="U9">IF($B9="","",IF($N9="","Chưa đủ điểm đánh giá",INDEX('Cấu hình'!$D$32:$D$35,MATCH($N9,'Cấu hình'!$C$32:$C$35,1))))</f>
        <v>Tiếp tục phát triển, đào tạo nâng cao</v>
      </c>
      <c r="V9" s="27" t="s">
        <v>165</v>
      </c>
    </row>
    <row r="10" ht="30.0" customHeight="1">
      <c r="A10" s="15">
        <f t="shared" si="1"/>
        <v>5</v>
      </c>
      <c r="B10" s="26" t="s">
        <v>93</v>
      </c>
      <c r="C10" s="36" t="str">
        <f t="array" ref="C10">IF($B10="","",IFERROR(INDEX('Danh sách nhân viên'!$C$5:$C$34,MATCH($B10,'Danh sách nhân viên'!$B$5:$B$34,0)),"Không tìm thấy mã"))</f>
        <v>Đỗ Thanh Tùng</v>
      </c>
      <c r="D10" s="36" t="str">
        <f t="array" ref="D10">IF($B10="","",IFERROR(INDEX('Danh sách nhân viên'!$D$5:$D$34,MATCH($B10,'Danh sách nhân viên'!$B$5:$B$34,0)),""))</f>
        <v>Support kỹ thuật</v>
      </c>
      <c r="E10" s="35" t="str">
        <f t="array" ref="E10">IF($B10="","",IFERROR(INDEX('Danh sách nhân viên'!$E$5:$E$34,MATCH($B10,'Danh sách nhân viên'!$B$5:$B$34,0)),""))</f>
        <v>Junior</v>
      </c>
      <c r="F10" s="26">
        <v>3.0</v>
      </c>
      <c r="G10" s="26">
        <v>3.0</v>
      </c>
      <c r="H10" s="26">
        <v>4.0</v>
      </c>
      <c r="I10" s="26">
        <v>3.0</v>
      </c>
      <c r="J10" s="26">
        <v>3.0</v>
      </c>
      <c r="K10" s="26">
        <v>4.0</v>
      </c>
      <c r="L10" s="26">
        <v>3.0</v>
      </c>
      <c r="M10" s="26">
        <v>2.0</v>
      </c>
      <c r="N10" s="45">
        <f t="shared" si="2"/>
        <v>64</v>
      </c>
      <c r="O10" s="46" t="str">
        <f t="array" ref="O10">IF($N10="","",INDEX('Cấu hình'!$B$32:$B$35,MATCH($N10,'Cấu hình'!$C$32:$C$35,1)))</f>
        <v>C - Đạt yêu cầu</v>
      </c>
      <c r="P10" s="46">
        <f t="shared" si="3"/>
        <v>6</v>
      </c>
      <c r="Q10" s="47">
        <v>60.0</v>
      </c>
      <c r="R10" s="35" t="str">
        <f t="shared" si="4"/>
        <v>Tăng</v>
      </c>
      <c r="S10" s="36" t="str">
        <f t="shared" si="5"/>
        <v>Tiến độ và hiệu suất</v>
      </c>
      <c r="T10" s="36" t="str">
        <f t="shared" si="6"/>
        <v>Tài liệu và chia sẻ kiến thức</v>
      </c>
      <c r="U10" s="36" t="str">
        <f t="array" ref="U10">IF($B10="","",IF($N10="","Chưa đủ điểm đánh giá",INDEX('Cấu hình'!$D$32:$D$35,MATCH($N10,'Cấu hình'!$C$32:$C$35,1))))</f>
        <v>Duy trì, bổ sung kỹ năng còn thiếu</v>
      </c>
      <c r="V10" s="27" t="s">
        <v>172</v>
      </c>
    </row>
    <row r="11" ht="30.0" customHeight="1">
      <c r="A11" s="15">
        <f t="shared" si="1"/>
        <v>6</v>
      </c>
      <c r="B11" s="26" t="s">
        <v>104</v>
      </c>
      <c r="C11" s="36" t="str">
        <f t="array" ref="C11">IF($B11="","",IFERROR(INDEX('Danh sách nhân viên'!$C$5:$C$34,MATCH($B11,'Danh sách nhân viên'!$B$5:$B$34,0)),"Không tìm thấy mã"))</f>
        <v>Bùi Khánh Linh</v>
      </c>
      <c r="D11" s="36" t="str">
        <f t="array" ref="D11">IF($B11="","",IFERROR(INDEX('Danh sách nhân viên'!$D$5:$D$34,MATCH($B11,'Danh sách nhân viên'!$B$5:$B$34,0)),""))</f>
        <v>Data Engineer</v>
      </c>
      <c r="E11" s="35" t="str">
        <f t="array" ref="E11">IF($B11="","",IFERROR(INDEX('Danh sách nhân viên'!$E$5:$E$34,MATCH($B11,'Danh sách nhân viên'!$B$5:$B$34,0)),""))</f>
        <v>Middle</v>
      </c>
      <c r="F11" s="26">
        <v>4.0</v>
      </c>
      <c r="G11" s="26">
        <v>3.0</v>
      </c>
      <c r="H11" s="26">
        <v>3.0</v>
      </c>
      <c r="I11" s="26">
        <v>4.0</v>
      </c>
      <c r="J11" s="26">
        <v>5.0</v>
      </c>
      <c r="K11" s="26">
        <v>3.0</v>
      </c>
      <c r="L11" s="26">
        <v>4.0</v>
      </c>
      <c r="M11" s="26">
        <v>3.0</v>
      </c>
      <c r="N11" s="45">
        <f t="shared" si="2"/>
        <v>72</v>
      </c>
      <c r="O11" s="46" t="str">
        <f t="array" ref="O11">IF($N11="","",INDEX('Cấu hình'!$B$32:$B$35,MATCH($N11,'Cấu hình'!$C$32:$C$35,1)))</f>
        <v>B - Tốt</v>
      </c>
      <c r="P11" s="46">
        <f t="shared" si="3"/>
        <v>5</v>
      </c>
      <c r="Q11" s="47"/>
      <c r="R11" s="35" t="str">
        <f t="shared" si="4"/>
        <v/>
      </c>
      <c r="S11" s="36" t="str">
        <f t="shared" si="5"/>
        <v>Học hỏi và cải tiến</v>
      </c>
      <c r="T11" s="36" t="str">
        <f t="shared" si="6"/>
        <v>Chất lượng công việc</v>
      </c>
      <c r="U11" s="36" t="str">
        <f t="array" ref="U11">IF($B11="","",IF($N11="","Chưa đủ điểm đánh giá",INDEX('Cấu hình'!$D$32:$D$35,MATCH($N11,'Cấu hình'!$C$32:$C$35,1))))</f>
        <v>Tiếp tục phát triển, đào tạo nâng cao</v>
      </c>
      <c r="V11" s="27" t="s">
        <v>179</v>
      </c>
    </row>
    <row r="12" ht="30.0" customHeight="1">
      <c r="A12" s="15">
        <f t="shared" si="1"/>
        <v>7</v>
      </c>
      <c r="B12" s="26" t="s">
        <v>110</v>
      </c>
      <c r="C12" s="36" t="str">
        <f t="array" ref="C12">IF($B12="","",IFERROR(INDEX('Danh sách nhân viên'!$C$5:$C$34,MATCH($B12,'Danh sách nhân viên'!$B$5:$B$34,0)),"Không tìm thấy mã"))</f>
        <v>Hoàng Gia Bảo</v>
      </c>
      <c r="D12" s="36" t="str">
        <f t="array" ref="D12">IF($B12="","",IFERROR(INDEX('Danh sách nhân viên'!$D$5:$D$34,MATCH($B12,'Danh sách nhân viên'!$B$5:$B$34,0)),""))</f>
        <v>Backend Developer</v>
      </c>
      <c r="E12" s="35" t="str">
        <f t="array" ref="E12">IF($B12="","",IFERROR(INDEX('Danh sách nhân viên'!$E$5:$E$34,MATCH($B12,'Danh sách nhân viên'!$B$5:$B$34,0)),""))</f>
        <v>Junior</v>
      </c>
      <c r="F12" s="26">
        <v>2.0</v>
      </c>
      <c r="G12" s="26">
        <v>3.0</v>
      </c>
      <c r="H12" s="26">
        <v>2.0</v>
      </c>
      <c r="I12" s="26">
        <v>2.0</v>
      </c>
      <c r="J12" s="26">
        <v>3.0</v>
      </c>
      <c r="K12" s="26">
        <v>3.0</v>
      </c>
      <c r="L12" s="26">
        <v>3.0</v>
      </c>
      <c r="M12" s="26">
        <v>2.0</v>
      </c>
      <c r="N12" s="45">
        <f t="shared" si="2"/>
        <v>49</v>
      </c>
      <c r="O12" s="46" t="str">
        <f t="array" ref="O12">IF($N12="","",INDEX('Cấu hình'!$B$32:$B$35,MATCH($N12,'Cấu hình'!$C$32:$C$35,1)))</f>
        <v>D - Cần cải thiện</v>
      </c>
      <c r="P12" s="46">
        <f t="shared" si="3"/>
        <v>8</v>
      </c>
      <c r="Q12" s="47">
        <v>55.0</v>
      </c>
      <c r="R12" s="35" t="str">
        <f t="shared" si="4"/>
        <v>Giảm</v>
      </c>
      <c r="S12" s="36" t="str">
        <f t="shared" si="5"/>
        <v>Chất lượng công việc</v>
      </c>
      <c r="T12" s="36" t="str">
        <f t="shared" si="6"/>
        <v>Chuyên môn kỹ thuật</v>
      </c>
      <c r="U12" s="36" t="str">
        <f t="array" ref="U12">IF($B12="","",IF($N12="","Chưa đủ điểm đánh giá",INDEX('Cấu hình'!$D$32:$D$35,MATCH($N12,'Cấu hình'!$C$32:$C$35,1))))</f>
        <v>Lập kế hoạch cải thiện 3 tháng, bố trí người kèm cặp</v>
      </c>
      <c r="V12" s="27" t="s">
        <v>184</v>
      </c>
    </row>
    <row r="13" ht="30.0" customHeight="1">
      <c r="A13" s="15">
        <f t="shared" si="1"/>
        <v>8</v>
      </c>
      <c r="B13" s="26" t="s">
        <v>112</v>
      </c>
      <c r="C13" s="36" t="str">
        <f t="array" ref="C13">IF($B13="","",IFERROR(INDEX('Danh sách nhân viên'!$C$5:$C$34,MATCH($B13,'Danh sách nhân viên'!$B$5:$B$34,0)),"Không tìm thấy mã"))</f>
        <v>Ngô Mai Phương</v>
      </c>
      <c r="D13" s="36" t="str">
        <f t="array" ref="D13">IF($B13="","",IFERROR(INDEX('Danh sách nhân viên'!$D$5:$D$34,MATCH($B13,'Danh sách nhân viên'!$B$5:$B$34,0)),""))</f>
        <v>QA / Tester</v>
      </c>
      <c r="E13" s="35" t="str">
        <f t="array" ref="E13">IF($B13="","",IFERROR(INDEX('Danh sách nhân viên'!$E$5:$E$34,MATCH($B13,'Danh sách nhân viên'!$B$5:$B$34,0)),""))</f>
        <v>Junior</v>
      </c>
      <c r="F13" s="26">
        <v>3.0</v>
      </c>
      <c r="G13" s="26">
        <v>3.0</v>
      </c>
      <c r="H13" s="26">
        <v>3.0</v>
      </c>
      <c r="I13" s="26">
        <v>2.0</v>
      </c>
      <c r="J13" s="26">
        <v>4.0</v>
      </c>
      <c r="K13" s="26">
        <v>4.0</v>
      </c>
      <c r="L13" s="26">
        <v>3.0</v>
      </c>
      <c r="M13" s="26">
        <v>3.0</v>
      </c>
      <c r="N13" s="45">
        <f t="shared" si="2"/>
        <v>61</v>
      </c>
      <c r="O13" s="46" t="str">
        <f t="array" ref="O13">IF($N13="","",INDEX('Cấu hình'!$B$32:$B$35,MATCH($N13,'Cấu hình'!$C$32:$C$35,1)))</f>
        <v>C - Đạt yêu cầu</v>
      </c>
      <c r="P13" s="46">
        <f t="shared" si="3"/>
        <v>7</v>
      </c>
      <c r="Q13" s="47">
        <v>58.0</v>
      </c>
      <c r="R13" s="35" t="str">
        <f t="shared" si="4"/>
        <v>Tăng</v>
      </c>
      <c r="S13" s="36" t="str">
        <f t="shared" si="5"/>
        <v>Học hỏi và cải tiến</v>
      </c>
      <c r="T13" s="36" t="str">
        <f t="shared" si="6"/>
        <v>Giải quyết vấn đề, xử lý sự cố</v>
      </c>
      <c r="U13" s="36" t="str">
        <f t="array" ref="U13">IF($B13="","",IF($N13="","Chưa đủ điểm đánh giá",INDEX('Cấu hình'!$D$32:$D$35,MATCH($N13,'Cấu hình'!$C$32:$C$35,1))))</f>
        <v>Duy trì, bổ sung kỹ năng còn thiếu</v>
      </c>
      <c r="V13" s="27"/>
    </row>
    <row r="14" ht="30.0" customHeight="1">
      <c r="A14" s="15" t="str">
        <f t="shared" si="1"/>
        <v/>
      </c>
      <c r="B14" s="26"/>
      <c r="C14" s="36" t="str">
        <f t="array" ref="C14">IF($B14="","",IFERROR(INDEX('Danh sách nhân viên'!$C$5:$C$34,MATCH($B14,'Danh sách nhân viên'!$B$5:$B$34,0)),"Không tìm thấy mã"))</f>
        <v/>
      </c>
      <c r="D14" s="36" t="str">
        <f t="array" ref="D14">IF($B14="","",IFERROR(INDEX('Danh sách nhân viên'!$D$5:$D$34,MATCH($B14,'Danh sách nhân viên'!$B$5:$B$34,0)),""))</f>
        <v/>
      </c>
      <c r="E14" s="35" t="str">
        <f t="array" ref="E14">IF($B14="","",IFERROR(INDEX('Danh sách nhân viên'!$E$5:$E$34,MATCH($B14,'Danh sách nhân viên'!$B$5:$B$34,0)),""))</f>
        <v/>
      </c>
      <c r="F14" s="26"/>
      <c r="G14" s="26"/>
      <c r="H14" s="26"/>
      <c r="I14" s="26"/>
      <c r="J14" s="26"/>
      <c r="K14" s="26"/>
      <c r="L14" s="26"/>
      <c r="M14" s="26"/>
      <c r="N14" s="45" t="str">
        <f t="shared" si="2"/>
        <v/>
      </c>
      <c r="O14" s="46" t="str">
        <f t="array" ref="O14">IF($N14="","",INDEX('Cấu hình'!$B$32:$B$35,MATCH($N14,'Cấu hình'!$C$32:$C$35,1)))</f>
        <v/>
      </c>
      <c r="P14" s="46" t="str">
        <f t="shared" si="3"/>
        <v/>
      </c>
      <c r="Q14" s="47"/>
      <c r="R14" s="35" t="str">
        <f t="shared" si="4"/>
        <v/>
      </c>
      <c r="S14" s="36" t="str">
        <f t="shared" si="5"/>
        <v/>
      </c>
      <c r="T14" s="36" t="str">
        <f t="shared" si="6"/>
        <v/>
      </c>
      <c r="U14" s="36" t="str">
        <f t="array" ref="U14">IF($B14="","",IF($N14="","Chưa đủ điểm đánh giá",INDEX('Cấu hình'!$D$32:$D$35,MATCH($N14,'Cấu hình'!$C$32:$C$35,1))))</f>
        <v/>
      </c>
      <c r="V14" s="27"/>
    </row>
    <row r="15" ht="30.0" customHeight="1">
      <c r="A15" s="15" t="str">
        <f t="shared" si="1"/>
        <v/>
      </c>
      <c r="B15" s="26"/>
      <c r="C15" s="36" t="str">
        <f t="array" ref="C15">IF($B15="","",IFERROR(INDEX('Danh sách nhân viên'!$C$5:$C$34,MATCH($B15,'Danh sách nhân viên'!$B$5:$B$34,0)),"Không tìm thấy mã"))</f>
        <v/>
      </c>
      <c r="D15" s="36" t="str">
        <f t="array" ref="D15">IF($B15="","",IFERROR(INDEX('Danh sách nhân viên'!$D$5:$D$34,MATCH($B15,'Danh sách nhân viên'!$B$5:$B$34,0)),""))</f>
        <v/>
      </c>
      <c r="E15" s="35" t="str">
        <f t="array" ref="E15">IF($B15="","",IFERROR(INDEX('Danh sách nhân viên'!$E$5:$E$34,MATCH($B15,'Danh sách nhân viên'!$B$5:$B$34,0)),""))</f>
        <v/>
      </c>
      <c r="F15" s="26"/>
      <c r="G15" s="26"/>
      <c r="H15" s="26"/>
      <c r="I15" s="26"/>
      <c r="J15" s="26"/>
      <c r="K15" s="26"/>
      <c r="L15" s="26"/>
      <c r="M15" s="26"/>
      <c r="N15" s="45" t="str">
        <f t="shared" si="2"/>
        <v/>
      </c>
      <c r="O15" s="46" t="str">
        <f t="array" ref="O15">IF($N15="","",INDEX('Cấu hình'!$B$32:$B$35,MATCH($N15,'Cấu hình'!$C$32:$C$35,1)))</f>
        <v/>
      </c>
      <c r="P15" s="46" t="str">
        <f t="shared" si="3"/>
        <v/>
      </c>
      <c r="Q15" s="47"/>
      <c r="R15" s="35" t="str">
        <f t="shared" si="4"/>
        <v/>
      </c>
      <c r="S15" s="36" t="str">
        <f t="shared" si="5"/>
        <v/>
      </c>
      <c r="T15" s="36" t="str">
        <f t="shared" si="6"/>
        <v/>
      </c>
      <c r="U15" s="36" t="str">
        <f t="array" ref="U15">IF($B15="","",IF($N15="","Chưa đủ điểm đánh giá",INDEX('Cấu hình'!$D$32:$D$35,MATCH($N15,'Cấu hình'!$C$32:$C$35,1))))</f>
        <v/>
      </c>
      <c r="V15" s="27"/>
    </row>
    <row r="16" ht="30.0" customHeight="1">
      <c r="A16" s="15" t="str">
        <f t="shared" si="1"/>
        <v/>
      </c>
      <c r="B16" s="26"/>
      <c r="C16" s="36" t="str">
        <f t="array" ref="C16">IF($B16="","",IFERROR(INDEX('Danh sách nhân viên'!$C$5:$C$34,MATCH($B16,'Danh sách nhân viên'!$B$5:$B$34,0)),"Không tìm thấy mã"))</f>
        <v/>
      </c>
      <c r="D16" s="36" t="str">
        <f t="array" ref="D16">IF($B16="","",IFERROR(INDEX('Danh sách nhân viên'!$D$5:$D$34,MATCH($B16,'Danh sách nhân viên'!$B$5:$B$34,0)),""))</f>
        <v/>
      </c>
      <c r="E16" s="35" t="str">
        <f t="array" ref="E16">IF($B16="","",IFERROR(INDEX('Danh sách nhân viên'!$E$5:$E$34,MATCH($B16,'Danh sách nhân viên'!$B$5:$B$34,0)),""))</f>
        <v/>
      </c>
      <c r="F16" s="26"/>
      <c r="G16" s="26"/>
      <c r="H16" s="26"/>
      <c r="I16" s="26"/>
      <c r="J16" s="26"/>
      <c r="K16" s="26"/>
      <c r="L16" s="26"/>
      <c r="M16" s="26"/>
      <c r="N16" s="45" t="str">
        <f t="shared" si="2"/>
        <v/>
      </c>
      <c r="O16" s="46" t="str">
        <f t="array" ref="O16">IF($N16="","",INDEX('Cấu hình'!$B$32:$B$35,MATCH($N16,'Cấu hình'!$C$32:$C$35,1)))</f>
        <v/>
      </c>
      <c r="P16" s="46" t="str">
        <f t="shared" si="3"/>
        <v/>
      </c>
      <c r="Q16" s="47"/>
      <c r="R16" s="35" t="str">
        <f t="shared" si="4"/>
        <v/>
      </c>
      <c r="S16" s="36" t="str">
        <f t="shared" si="5"/>
        <v/>
      </c>
      <c r="T16" s="36" t="str">
        <f t="shared" si="6"/>
        <v/>
      </c>
      <c r="U16" s="36" t="str">
        <f t="array" ref="U16">IF($B16="","",IF($N16="","Chưa đủ điểm đánh giá",INDEX('Cấu hình'!$D$32:$D$35,MATCH($N16,'Cấu hình'!$C$32:$C$35,1))))</f>
        <v/>
      </c>
      <c r="V16" s="27"/>
    </row>
    <row r="17" ht="30.0" customHeight="1">
      <c r="A17" s="15" t="str">
        <f t="shared" si="1"/>
        <v/>
      </c>
      <c r="B17" s="26"/>
      <c r="C17" s="36" t="str">
        <f t="array" ref="C17">IF($B17="","",IFERROR(INDEX('Danh sách nhân viên'!$C$5:$C$34,MATCH($B17,'Danh sách nhân viên'!$B$5:$B$34,0)),"Không tìm thấy mã"))</f>
        <v/>
      </c>
      <c r="D17" s="36" t="str">
        <f t="array" ref="D17">IF($B17="","",IFERROR(INDEX('Danh sách nhân viên'!$D$5:$D$34,MATCH($B17,'Danh sách nhân viên'!$B$5:$B$34,0)),""))</f>
        <v/>
      </c>
      <c r="E17" s="35" t="str">
        <f t="array" ref="E17">IF($B17="","",IFERROR(INDEX('Danh sách nhân viên'!$E$5:$E$34,MATCH($B17,'Danh sách nhân viên'!$B$5:$B$34,0)),""))</f>
        <v/>
      </c>
      <c r="F17" s="26"/>
      <c r="G17" s="26"/>
      <c r="H17" s="26"/>
      <c r="I17" s="26"/>
      <c r="J17" s="26"/>
      <c r="K17" s="26"/>
      <c r="L17" s="26"/>
      <c r="M17" s="26"/>
      <c r="N17" s="45" t="str">
        <f t="shared" si="2"/>
        <v/>
      </c>
      <c r="O17" s="46" t="str">
        <f t="array" ref="O17">IF($N17="","",INDEX('Cấu hình'!$B$32:$B$35,MATCH($N17,'Cấu hình'!$C$32:$C$35,1)))</f>
        <v/>
      </c>
      <c r="P17" s="46" t="str">
        <f t="shared" si="3"/>
        <v/>
      </c>
      <c r="Q17" s="47"/>
      <c r="R17" s="35" t="str">
        <f t="shared" si="4"/>
        <v/>
      </c>
      <c r="S17" s="36" t="str">
        <f t="shared" si="5"/>
        <v/>
      </c>
      <c r="T17" s="36" t="str">
        <f t="shared" si="6"/>
        <v/>
      </c>
      <c r="U17" s="36" t="str">
        <f t="array" ref="U17">IF($B17="","",IF($N17="","Chưa đủ điểm đánh giá",INDEX('Cấu hình'!$D$32:$D$35,MATCH($N17,'Cấu hình'!$C$32:$C$35,1))))</f>
        <v/>
      </c>
      <c r="V17" s="27"/>
    </row>
    <row r="18" ht="30.0" customHeight="1">
      <c r="A18" s="15" t="str">
        <f t="shared" si="1"/>
        <v/>
      </c>
      <c r="B18" s="26"/>
      <c r="C18" s="36" t="str">
        <f t="array" ref="C18">IF($B18="","",IFERROR(INDEX('Danh sách nhân viên'!$C$5:$C$34,MATCH($B18,'Danh sách nhân viên'!$B$5:$B$34,0)),"Không tìm thấy mã"))</f>
        <v/>
      </c>
      <c r="D18" s="36" t="str">
        <f t="array" ref="D18">IF($B18="","",IFERROR(INDEX('Danh sách nhân viên'!$D$5:$D$34,MATCH($B18,'Danh sách nhân viên'!$B$5:$B$34,0)),""))</f>
        <v/>
      </c>
      <c r="E18" s="35" t="str">
        <f t="array" ref="E18">IF($B18="","",IFERROR(INDEX('Danh sách nhân viên'!$E$5:$E$34,MATCH($B18,'Danh sách nhân viên'!$B$5:$B$34,0)),""))</f>
        <v/>
      </c>
      <c r="F18" s="26"/>
      <c r="G18" s="26"/>
      <c r="H18" s="26"/>
      <c r="I18" s="26"/>
      <c r="J18" s="26"/>
      <c r="K18" s="26"/>
      <c r="L18" s="26"/>
      <c r="M18" s="26"/>
      <c r="N18" s="45" t="str">
        <f t="shared" si="2"/>
        <v/>
      </c>
      <c r="O18" s="46" t="str">
        <f t="array" ref="O18">IF($N18="","",INDEX('Cấu hình'!$B$32:$B$35,MATCH($N18,'Cấu hình'!$C$32:$C$35,1)))</f>
        <v/>
      </c>
      <c r="P18" s="46" t="str">
        <f t="shared" si="3"/>
        <v/>
      </c>
      <c r="Q18" s="47"/>
      <c r="R18" s="35" t="str">
        <f t="shared" si="4"/>
        <v/>
      </c>
      <c r="S18" s="36" t="str">
        <f t="shared" si="5"/>
        <v/>
      </c>
      <c r="T18" s="36" t="str">
        <f t="shared" si="6"/>
        <v/>
      </c>
      <c r="U18" s="36" t="str">
        <f t="array" ref="U18">IF($B18="","",IF($N18="","Chưa đủ điểm đánh giá",INDEX('Cấu hình'!$D$32:$D$35,MATCH($N18,'Cấu hình'!$C$32:$C$35,1))))</f>
        <v/>
      </c>
      <c r="V18" s="27"/>
    </row>
    <row r="19" ht="30.0" customHeight="1">
      <c r="A19" s="15" t="str">
        <f t="shared" si="1"/>
        <v/>
      </c>
      <c r="B19" s="26"/>
      <c r="C19" s="36" t="str">
        <f t="array" ref="C19">IF($B19="","",IFERROR(INDEX('Danh sách nhân viên'!$C$5:$C$34,MATCH($B19,'Danh sách nhân viên'!$B$5:$B$34,0)),"Không tìm thấy mã"))</f>
        <v/>
      </c>
      <c r="D19" s="36" t="str">
        <f t="array" ref="D19">IF($B19="","",IFERROR(INDEX('Danh sách nhân viên'!$D$5:$D$34,MATCH($B19,'Danh sách nhân viên'!$B$5:$B$34,0)),""))</f>
        <v/>
      </c>
      <c r="E19" s="35" t="str">
        <f t="array" ref="E19">IF($B19="","",IFERROR(INDEX('Danh sách nhân viên'!$E$5:$E$34,MATCH($B19,'Danh sách nhân viên'!$B$5:$B$34,0)),""))</f>
        <v/>
      </c>
      <c r="F19" s="26"/>
      <c r="G19" s="26"/>
      <c r="H19" s="26"/>
      <c r="I19" s="26"/>
      <c r="J19" s="26"/>
      <c r="K19" s="26"/>
      <c r="L19" s="26"/>
      <c r="M19" s="26"/>
      <c r="N19" s="45" t="str">
        <f t="shared" si="2"/>
        <v/>
      </c>
      <c r="O19" s="46" t="str">
        <f t="array" ref="O19">IF($N19="","",INDEX('Cấu hình'!$B$32:$B$35,MATCH($N19,'Cấu hình'!$C$32:$C$35,1)))</f>
        <v/>
      </c>
      <c r="P19" s="46" t="str">
        <f t="shared" si="3"/>
        <v/>
      </c>
      <c r="Q19" s="47"/>
      <c r="R19" s="35" t="str">
        <f t="shared" si="4"/>
        <v/>
      </c>
      <c r="S19" s="36" t="str">
        <f t="shared" si="5"/>
        <v/>
      </c>
      <c r="T19" s="36" t="str">
        <f t="shared" si="6"/>
        <v/>
      </c>
      <c r="U19" s="36" t="str">
        <f t="array" ref="U19">IF($B19="","",IF($N19="","Chưa đủ điểm đánh giá",INDEX('Cấu hình'!$D$32:$D$35,MATCH($N19,'Cấu hình'!$C$32:$C$35,1))))</f>
        <v/>
      </c>
      <c r="V19" s="27"/>
    </row>
    <row r="20" ht="30.0" customHeight="1">
      <c r="A20" s="15" t="str">
        <f t="shared" si="1"/>
        <v/>
      </c>
      <c r="B20" s="26"/>
      <c r="C20" s="36" t="str">
        <f t="array" ref="C20">IF($B20="","",IFERROR(INDEX('Danh sách nhân viên'!$C$5:$C$34,MATCH($B20,'Danh sách nhân viên'!$B$5:$B$34,0)),"Không tìm thấy mã"))</f>
        <v/>
      </c>
      <c r="D20" s="36" t="str">
        <f t="array" ref="D20">IF($B20="","",IFERROR(INDEX('Danh sách nhân viên'!$D$5:$D$34,MATCH($B20,'Danh sách nhân viên'!$B$5:$B$34,0)),""))</f>
        <v/>
      </c>
      <c r="E20" s="35" t="str">
        <f t="array" ref="E20">IF($B20="","",IFERROR(INDEX('Danh sách nhân viên'!$E$5:$E$34,MATCH($B20,'Danh sách nhân viên'!$B$5:$B$34,0)),""))</f>
        <v/>
      </c>
      <c r="F20" s="26"/>
      <c r="G20" s="26"/>
      <c r="H20" s="26"/>
      <c r="I20" s="26"/>
      <c r="J20" s="26"/>
      <c r="K20" s="26"/>
      <c r="L20" s="26"/>
      <c r="M20" s="26"/>
      <c r="N20" s="45" t="str">
        <f t="shared" si="2"/>
        <v/>
      </c>
      <c r="O20" s="46" t="str">
        <f t="array" ref="O20">IF($N20="","",INDEX('Cấu hình'!$B$32:$B$35,MATCH($N20,'Cấu hình'!$C$32:$C$35,1)))</f>
        <v/>
      </c>
      <c r="P20" s="46" t="str">
        <f t="shared" si="3"/>
        <v/>
      </c>
      <c r="Q20" s="47"/>
      <c r="R20" s="35" t="str">
        <f t="shared" si="4"/>
        <v/>
      </c>
      <c r="S20" s="36" t="str">
        <f t="shared" si="5"/>
        <v/>
      </c>
      <c r="T20" s="36" t="str">
        <f t="shared" si="6"/>
        <v/>
      </c>
      <c r="U20" s="36" t="str">
        <f t="array" ref="U20">IF($B20="","",IF($N20="","Chưa đủ điểm đánh giá",INDEX('Cấu hình'!$D$32:$D$35,MATCH($N20,'Cấu hình'!$C$32:$C$35,1))))</f>
        <v/>
      </c>
      <c r="V20" s="27"/>
    </row>
    <row r="21" ht="30.0" customHeight="1">
      <c r="A21" s="15" t="str">
        <f t="shared" si="1"/>
        <v/>
      </c>
      <c r="B21" s="26"/>
      <c r="C21" s="36" t="str">
        <f t="array" ref="C21">IF($B21="","",IFERROR(INDEX('Danh sách nhân viên'!$C$5:$C$34,MATCH($B21,'Danh sách nhân viên'!$B$5:$B$34,0)),"Không tìm thấy mã"))</f>
        <v/>
      </c>
      <c r="D21" s="36" t="str">
        <f t="array" ref="D21">IF($B21="","",IFERROR(INDEX('Danh sách nhân viên'!$D$5:$D$34,MATCH($B21,'Danh sách nhân viên'!$B$5:$B$34,0)),""))</f>
        <v/>
      </c>
      <c r="E21" s="35" t="str">
        <f t="array" ref="E21">IF($B21="","",IFERROR(INDEX('Danh sách nhân viên'!$E$5:$E$34,MATCH($B21,'Danh sách nhân viên'!$B$5:$B$34,0)),""))</f>
        <v/>
      </c>
      <c r="F21" s="26"/>
      <c r="G21" s="26"/>
      <c r="H21" s="26"/>
      <c r="I21" s="26"/>
      <c r="J21" s="26"/>
      <c r="K21" s="26"/>
      <c r="L21" s="26"/>
      <c r="M21" s="26"/>
      <c r="N21" s="45" t="str">
        <f t="shared" si="2"/>
        <v/>
      </c>
      <c r="O21" s="46" t="str">
        <f t="array" ref="O21">IF($N21="","",INDEX('Cấu hình'!$B$32:$B$35,MATCH($N21,'Cấu hình'!$C$32:$C$35,1)))</f>
        <v/>
      </c>
      <c r="P21" s="46" t="str">
        <f t="shared" si="3"/>
        <v/>
      </c>
      <c r="Q21" s="47"/>
      <c r="R21" s="35" t="str">
        <f t="shared" si="4"/>
        <v/>
      </c>
      <c r="S21" s="36" t="str">
        <f t="shared" si="5"/>
        <v/>
      </c>
      <c r="T21" s="36" t="str">
        <f t="shared" si="6"/>
        <v/>
      </c>
      <c r="U21" s="36" t="str">
        <f t="array" ref="U21">IF($B21="","",IF($N21="","Chưa đủ điểm đánh giá",INDEX('Cấu hình'!$D$32:$D$35,MATCH($N21,'Cấu hình'!$C$32:$C$35,1))))</f>
        <v/>
      </c>
      <c r="V21" s="27"/>
    </row>
    <row r="22" ht="30.0" customHeight="1">
      <c r="A22" s="15" t="str">
        <f t="shared" si="1"/>
        <v/>
      </c>
      <c r="B22" s="26"/>
      <c r="C22" s="36" t="str">
        <f t="array" ref="C22">IF($B22="","",IFERROR(INDEX('Danh sách nhân viên'!$C$5:$C$34,MATCH($B22,'Danh sách nhân viên'!$B$5:$B$34,0)),"Không tìm thấy mã"))</f>
        <v/>
      </c>
      <c r="D22" s="36" t="str">
        <f t="array" ref="D22">IF($B22="","",IFERROR(INDEX('Danh sách nhân viên'!$D$5:$D$34,MATCH($B22,'Danh sách nhân viên'!$B$5:$B$34,0)),""))</f>
        <v/>
      </c>
      <c r="E22" s="35" t="str">
        <f t="array" ref="E22">IF($B22="","",IFERROR(INDEX('Danh sách nhân viên'!$E$5:$E$34,MATCH($B22,'Danh sách nhân viên'!$B$5:$B$34,0)),""))</f>
        <v/>
      </c>
      <c r="F22" s="26"/>
      <c r="G22" s="26"/>
      <c r="H22" s="26"/>
      <c r="I22" s="26"/>
      <c r="J22" s="26"/>
      <c r="K22" s="26"/>
      <c r="L22" s="26"/>
      <c r="M22" s="26"/>
      <c r="N22" s="45" t="str">
        <f t="shared" si="2"/>
        <v/>
      </c>
      <c r="O22" s="46" t="str">
        <f t="array" ref="O22">IF($N22="","",INDEX('Cấu hình'!$B$32:$B$35,MATCH($N22,'Cấu hình'!$C$32:$C$35,1)))</f>
        <v/>
      </c>
      <c r="P22" s="46" t="str">
        <f t="shared" si="3"/>
        <v/>
      </c>
      <c r="Q22" s="47"/>
      <c r="R22" s="35" t="str">
        <f t="shared" si="4"/>
        <v/>
      </c>
      <c r="S22" s="36" t="str">
        <f t="shared" si="5"/>
        <v/>
      </c>
      <c r="T22" s="36" t="str">
        <f t="shared" si="6"/>
        <v/>
      </c>
      <c r="U22" s="36" t="str">
        <f t="array" ref="U22">IF($B22="","",IF($N22="","Chưa đủ điểm đánh giá",INDEX('Cấu hình'!$D$32:$D$35,MATCH($N22,'Cấu hình'!$C$32:$C$35,1))))</f>
        <v/>
      </c>
      <c r="V22" s="27"/>
    </row>
    <row r="23" ht="30.0" customHeight="1">
      <c r="A23" s="15" t="str">
        <f t="shared" si="1"/>
        <v/>
      </c>
      <c r="B23" s="26"/>
      <c r="C23" s="36" t="str">
        <f t="array" ref="C23">IF($B23="","",IFERROR(INDEX('Danh sách nhân viên'!$C$5:$C$34,MATCH($B23,'Danh sách nhân viên'!$B$5:$B$34,0)),"Không tìm thấy mã"))</f>
        <v/>
      </c>
      <c r="D23" s="36" t="str">
        <f t="array" ref="D23">IF($B23="","",IFERROR(INDEX('Danh sách nhân viên'!$D$5:$D$34,MATCH($B23,'Danh sách nhân viên'!$B$5:$B$34,0)),""))</f>
        <v/>
      </c>
      <c r="E23" s="35" t="str">
        <f t="array" ref="E23">IF($B23="","",IFERROR(INDEX('Danh sách nhân viên'!$E$5:$E$34,MATCH($B23,'Danh sách nhân viên'!$B$5:$B$34,0)),""))</f>
        <v/>
      </c>
      <c r="F23" s="26"/>
      <c r="G23" s="26"/>
      <c r="H23" s="26"/>
      <c r="I23" s="26"/>
      <c r="J23" s="26"/>
      <c r="K23" s="26"/>
      <c r="L23" s="26"/>
      <c r="M23" s="26"/>
      <c r="N23" s="45" t="str">
        <f t="shared" si="2"/>
        <v/>
      </c>
      <c r="O23" s="46" t="str">
        <f t="array" ref="O23">IF($N23="","",INDEX('Cấu hình'!$B$32:$B$35,MATCH($N23,'Cấu hình'!$C$32:$C$35,1)))</f>
        <v/>
      </c>
      <c r="P23" s="46" t="str">
        <f t="shared" si="3"/>
        <v/>
      </c>
      <c r="Q23" s="47"/>
      <c r="R23" s="35" t="str">
        <f t="shared" si="4"/>
        <v/>
      </c>
      <c r="S23" s="36" t="str">
        <f t="shared" si="5"/>
        <v/>
      </c>
      <c r="T23" s="36" t="str">
        <f t="shared" si="6"/>
        <v/>
      </c>
      <c r="U23" s="36" t="str">
        <f t="array" ref="U23">IF($B23="","",IF($N23="","Chưa đủ điểm đánh giá",INDEX('Cấu hình'!$D$32:$D$35,MATCH($N23,'Cấu hình'!$C$32:$C$35,1))))</f>
        <v/>
      </c>
      <c r="V23" s="27"/>
    </row>
    <row r="24" ht="30.0" customHeight="1">
      <c r="A24" s="15" t="str">
        <f t="shared" si="1"/>
        <v/>
      </c>
      <c r="B24" s="26"/>
      <c r="C24" s="36" t="str">
        <f t="array" ref="C24">IF($B24="","",IFERROR(INDEX('Danh sách nhân viên'!$C$5:$C$34,MATCH($B24,'Danh sách nhân viên'!$B$5:$B$34,0)),"Không tìm thấy mã"))</f>
        <v/>
      </c>
      <c r="D24" s="36" t="str">
        <f t="array" ref="D24">IF($B24="","",IFERROR(INDEX('Danh sách nhân viên'!$D$5:$D$34,MATCH($B24,'Danh sách nhân viên'!$B$5:$B$34,0)),""))</f>
        <v/>
      </c>
      <c r="E24" s="35" t="str">
        <f t="array" ref="E24">IF($B24="","",IFERROR(INDEX('Danh sách nhân viên'!$E$5:$E$34,MATCH($B24,'Danh sách nhân viên'!$B$5:$B$34,0)),""))</f>
        <v/>
      </c>
      <c r="F24" s="26"/>
      <c r="G24" s="26"/>
      <c r="H24" s="26"/>
      <c r="I24" s="26"/>
      <c r="J24" s="26"/>
      <c r="K24" s="26"/>
      <c r="L24" s="26"/>
      <c r="M24" s="26"/>
      <c r="N24" s="45" t="str">
        <f t="shared" si="2"/>
        <v/>
      </c>
      <c r="O24" s="46" t="str">
        <f t="array" ref="O24">IF($N24="","",INDEX('Cấu hình'!$B$32:$B$35,MATCH($N24,'Cấu hình'!$C$32:$C$35,1)))</f>
        <v/>
      </c>
      <c r="P24" s="46" t="str">
        <f t="shared" si="3"/>
        <v/>
      </c>
      <c r="Q24" s="47"/>
      <c r="R24" s="35" t="str">
        <f t="shared" si="4"/>
        <v/>
      </c>
      <c r="S24" s="36" t="str">
        <f t="shared" si="5"/>
        <v/>
      </c>
      <c r="T24" s="36" t="str">
        <f t="shared" si="6"/>
        <v/>
      </c>
      <c r="U24" s="36" t="str">
        <f t="array" ref="U24">IF($B24="","",IF($N24="","Chưa đủ điểm đánh giá",INDEX('Cấu hình'!$D$32:$D$35,MATCH($N24,'Cấu hình'!$C$32:$C$35,1))))</f>
        <v/>
      </c>
      <c r="V24" s="27"/>
    </row>
    <row r="25" ht="30.0" customHeight="1">
      <c r="A25" s="15" t="str">
        <f t="shared" si="1"/>
        <v/>
      </c>
      <c r="B25" s="26"/>
      <c r="C25" s="36" t="str">
        <f t="array" ref="C25">IF($B25="","",IFERROR(INDEX('Danh sách nhân viên'!$C$5:$C$34,MATCH($B25,'Danh sách nhân viên'!$B$5:$B$34,0)),"Không tìm thấy mã"))</f>
        <v/>
      </c>
      <c r="D25" s="36" t="str">
        <f t="array" ref="D25">IF($B25="","",IFERROR(INDEX('Danh sách nhân viên'!$D$5:$D$34,MATCH($B25,'Danh sách nhân viên'!$B$5:$B$34,0)),""))</f>
        <v/>
      </c>
      <c r="E25" s="35" t="str">
        <f t="array" ref="E25">IF($B25="","",IFERROR(INDEX('Danh sách nhân viên'!$E$5:$E$34,MATCH($B25,'Danh sách nhân viên'!$B$5:$B$34,0)),""))</f>
        <v/>
      </c>
      <c r="F25" s="26"/>
      <c r="G25" s="26"/>
      <c r="H25" s="26"/>
      <c r="I25" s="26"/>
      <c r="J25" s="26"/>
      <c r="K25" s="26"/>
      <c r="L25" s="26"/>
      <c r="M25" s="26"/>
      <c r="N25" s="45" t="str">
        <f t="shared" si="2"/>
        <v/>
      </c>
      <c r="O25" s="46" t="str">
        <f t="array" ref="O25">IF($N25="","",INDEX('Cấu hình'!$B$32:$B$35,MATCH($N25,'Cấu hình'!$C$32:$C$35,1)))</f>
        <v/>
      </c>
      <c r="P25" s="46" t="str">
        <f t="shared" si="3"/>
        <v/>
      </c>
      <c r="Q25" s="47"/>
      <c r="R25" s="35" t="str">
        <f t="shared" si="4"/>
        <v/>
      </c>
      <c r="S25" s="36" t="str">
        <f t="shared" si="5"/>
        <v/>
      </c>
      <c r="T25" s="36" t="str">
        <f t="shared" si="6"/>
        <v/>
      </c>
      <c r="U25" s="36" t="str">
        <f t="array" ref="U25">IF($B25="","",IF($N25="","Chưa đủ điểm đánh giá",INDEX('Cấu hình'!$D$32:$D$35,MATCH($N25,'Cấu hình'!$C$32:$C$35,1))))</f>
        <v/>
      </c>
      <c r="V25" s="27"/>
    </row>
    <row r="26" ht="30.0" customHeight="1">
      <c r="A26" s="15" t="str">
        <f t="shared" si="1"/>
        <v/>
      </c>
      <c r="B26" s="26"/>
      <c r="C26" s="36" t="str">
        <f t="array" ref="C26">IF($B26="","",IFERROR(INDEX('Danh sách nhân viên'!$C$5:$C$34,MATCH($B26,'Danh sách nhân viên'!$B$5:$B$34,0)),"Không tìm thấy mã"))</f>
        <v/>
      </c>
      <c r="D26" s="36" t="str">
        <f t="array" ref="D26">IF($B26="","",IFERROR(INDEX('Danh sách nhân viên'!$D$5:$D$34,MATCH($B26,'Danh sách nhân viên'!$B$5:$B$34,0)),""))</f>
        <v/>
      </c>
      <c r="E26" s="35" t="str">
        <f t="array" ref="E26">IF($B26="","",IFERROR(INDEX('Danh sách nhân viên'!$E$5:$E$34,MATCH($B26,'Danh sách nhân viên'!$B$5:$B$34,0)),""))</f>
        <v/>
      </c>
      <c r="F26" s="26"/>
      <c r="G26" s="26"/>
      <c r="H26" s="26"/>
      <c r="I26" s="26"/>
      <c r="J26" s="26"/>
      <c r="K26" s="26"/>
      <c r="L26" s="26"/>
      <c r="M26" s="26"/>
      <c r="N26" s="45" t="str">
        <f t="shared" si="2"/>
        <v/>
      </c>
      <c r="O26" s="46" t="str">
        <f t="array" ref="O26">IF($N26="","",INDEX('Cấu hình'!$B$32:$B$35,MATCH($N26,'Cấu hình'!$C$32:$C$35,1)))</f>
        <v/>
      </c>
      <c r="P26" s="46" t="str">
        <f t="shared" si="3"/>
        <v/>
      </c>
      <c r="Q26" s="47"/>
      <c r="R26" s="35" t="str">
        <f t="shared" si="4"/>
        <v/>
      </c>
      <c r="S26" s="36" t="str">
        <f t="shared" si="5"/>
        <v/>
      </c>
      <c r="T26" s="36" t="str">
        <f t="shared" si="6"/>
        <v/>
      </c>
      <c r="U26" s="36" t="str">
        <f t="array" ref="U26">IF($B26="","",IF($N26="","Chưa đủ điểm đánh giá",INDEX('Cấu hình'!$D$32:$D$35,MATCH($N26,'Cấu hình'!$C$32:$C$35,1))))</f>
        <v/>
      </c>
      <c r="V26" s="27"/>
    </row>
    <row r="27" ht="30.0" customHeight="1">
      <c r="A27" s="15" t="str">
        <f t="shared" si="1"/>
        <v/>
      </c>
      <c r="B27" s="26"/>
      <c r="C27" s="36" t="str">
        <f t="array" ref="C27">IF($B27="","",IFERROR(INDEX('Danh sách nhân viên'!$C$5:$C$34,MATCH($B27,'Danh sách nhân viên'!$B$5:$B$34,0)),"Không tìm thấy mã"))</f>
        <v/>
      </c>
      <c r="D27" s="36" t="str">
        <f t="array" ref="D27">IF($B27="","",IFERROR(INDEX('Danh sách nhân viên'!$D$5:$D$34,MATCH($B27,'Danh sách nhân viên'!$B$5:$B$34,0)),""))</f>
        <v/>
      </c>
      <c r="E27" s="35" t="str">
        <f t="array" ref="E27">IF($B27="","",IFERROR(INDEX('Danh sách nhân viên'!$E$5:$E$34,MATCH($B27,'Danh sách nhân viên'!$B$5:$B$34,0)),""))</f>
        <v/>
      </c>
      <c r="F27" s="26"/>
      <c r="G27" s="26"/>
      <c r="H27" s="26"/>
      <c r="I27" s="26"/>
      <c r="J27" s="26"/>
      <c r="K27" s="26"/>
      <c r="L27" s="26"/>
      <c r="M27" s="26"/>
      <c r="N27" s="45" t="str">
        <f t="shared" si="2"/>
        <v/>
      </c>
      <c r="O27" s="46" t="str">
        <f t="array" ref="O27">IF($N27="","",INDEX('Cấu hình'!$B$32:$B$35,MATCH($N27,'Cấu hình'!$C$32:$C$35,1)))</f>
        <v/>
      </c>
      <c r="P27" s="46" t="str">
        <f t="shared" si="3"/>
        <v/>
      </c>
      <c r="Q27" s="47"/>
      <c r="R27" s="35" t="str">
        <f t="shared" si="4"/>
        <v/>
      </c>
      <c r="S27" s="36" t="str">
        <f t="shared" si="5"/>
        <v/>
      </c>
      <c r="T27" s="36" t="str">
        <f t="shared" si="6"/>
        <v/>
      </c>
      <c r="U27" s="36" t="str">
        <f t="array" ref="U27">IF($B27="","",IF($N27="","Chưa đủ điểm đánh giá",INDEX('Cấu hình'!$D$32:$D$35,MATCH($N27,'Cấu hình'!$C$32:$C$35,1))))</f>
        <v/>
      </c>
      <c r="V27" s="27"/>
    </row>
    <row r="28" ht="30.0" customHeight="1">
      <c r="A28" s="15" t="str">
        <f t="shared" si="1"/>
        <v/>
      </c>
      <c r="B28" s="26"/>
      <c r="C28" s="36" t="str">
        <f t="array" ref="C28">IF($B28="","",IFERROR(INDEX('Danh sách nhân viên'!$C$5:$C$34,MATCH($B28,'Danh sách nhân viên'!$B$5:$B$34,0)),"Không tìm thấy mã"))</f>
        <v/>
      </c>
      <c r="D28" s="36" t="str">
        <f t="array" ref="D28">IF($B28="","",IFERROR(INDEX('Danh sách nhân viên'!$D$5:$D$34,MATCH($B28,'Danh sách nhân viên'!$B$5:$B$34,0)),""))</f>
        <v/>
      </c>
      <c r="E28" s="35" t="str">
        <f t="array" ref="E28">IF($B28="","",IFERROR(INDEX('Danh sách nhân viên'!$E$5:$E$34,MATCH($B28,'Danh sách nhân viên'!$B$5:$B$34,0)),""))</f>
        <v/>
      </c>
      <c r="F28" s="26"/>
      <c r="G28" s="26"/>
      <c r="H28" s="26"/>
      <c r="I28" s="26"/>
      <c r="J28" s="26"/>
      <c r="K28" s="26"/>
      <c r="L28" s="26"/>
      <c r="M28" s="26"/>
      <c r="N28" s="45" t="str">
        <f t="shared" si="2"/>
        <v/>
      </c>
      <c r="O28" s="46" t="str">
        <f t="array" ref="O28">IF($N28="","",INDEX('Cấu hình'!$B$32:$B$35,MATCH($N28,'Cấu hình'!$C$32:$C$35,1)))</f>
        <v/>
      </c>
      <c r="P28" s="46" t="str">
        <f t="shared" si="3"/>
        <v/>
      </c>
      <c r="Q28" s="47"/>
      <c r="R28" s="35" t="str">
        <f t="shared" si="4"/>
        <v/>
      </c>
      <c r="S28" s="36" t="str">
        <f t="shared" si="5"/>
        <v/>
      </c>
      <c r="T28" s="36" t="str">
        <f t="shared" si="6"/>
        <v/>
      </c>
      <c r="U28" s="36" t="str">
        <f t="array" ref="U28">IF($B28="","",IF($N28="","Chưa đủ điểm đánh giá",INDEX('Cấu hình'!$D$32:$D$35,MATCH($N28,'Cấu hình'!$C$32:$C$35,1))))</f>
        <v/>
      </c>
      <c r="V28" s="27"/>
    </row>
    <row r="29" ht="30.0" customHeight="1">
      <c r="A29" s="15" t="str">
        <f t="shared" si="1"/>
        <v/>
      </c>
      <c r="B29" s="26"/>
      <c r="C29" s="36" t="str">
        <f t="array" ref="C29">IF($B29="","",IFERROR(INDEX('Danh sách nhân viên'!$C$5:$C$34,MATCH($B29,'Danh sách nhân viên'!$B$5:$B$34,0)),"Không tìm thấy mã"))</f>
        <v/>
      </c>
      <c r="D29" s="36" t="str">
        <f t="array" ref="D29">IF($B29="","",IFERROR(INDEX('Danh sách nhân viên'!$D$5:$D$34,MATCH($B29,'Danh sách nhân viên'!$B$5:$B$34,0)),""))</f>
        <v/>
      </c>
      <c r="E29" s="35" t="str">
        <f t="array" ref="E29">IF($B29="","",IFERROR(INDEX('Danh sách nhân viên'!$E$5:$E$34,MATCH($B29,'Danh sách nhân viên'!$B$5:$B$34,0)),""))</f>
        <v/>
      </c>
      <c r="F29" s="26"/>
      <c r="G29" s="26"/>
      <c r="H29" s="26"/>
      <c r="I29" s="26"/>
      <c r="J29" s="26"/>
      <c r="K29" s="26"/>
      <c r="L29" s="26"/>
      <c r="M29" s="26"/>
      <c r="N29" s="45" t="str">
        <f t="shared" si="2"/>
        <v/>
      </c>
      <c r="O29" s="46" t="str">
        <f t="array" ref="O29">IF($N29="","",INDEX('Cấu hình'!$B$32:$B$35,MATCH($N29,'Cấu hình'!$C$32:$C$35,1)))</f>
        <v/>
      </c>
      <c r="P29" s="46" t="str">
        <f t="shared" si="3"/>
        <v/>
      </c>
      <c r="Q29" s="47"/>
      <c r="R29" s="35" t="str">
        <f t="shared" si="4"/>
        <v/>
      </c>
      <c r="S29" s="36" t="str">
        <f t="shared" si="5"/>
        <v/>
      </c>
      <c r="T29" s="36" t="str">
        <f t="shared" si="6"/>
        <v/>
      </c>
      <c r="U29" s="36" t="str">
        <f t="array" ref="U29">IF($B29="","",IF($N29="","Chưa đủ điểm đánh giá",INDEX('Cấu hình'!$D$32:$D$35,MATCH($N29,'Cấu hình'!$C$32:$C$35,1))))</f>
        <v/>
      </c>
      <c r="V29" s="27"/>
    </row>
    <row r="30" ht="30.0" customHeight="1">
      <c r="A30" s="15" t="str">
        <f t="shared" si="1"/>
        <v/>
      </c>
      <c r="B30" s="26"/>
      <c r="C30" s="36" t="str">
        <f t="array" ref="C30">IF($B30="","",IFERROR(INDEX('Danh sách nhân viên'!$C$5:$C$34,MATCH($B30,'Danh sách nhân viên'!$B$5:$B$34,0)),"Không tìm thấy mã"))</f>
        <v/>
      </c>
      <c r="D30" s="36" t="str">
        <f t="array" ref="D30">IF($B30="","",IFERROR(INDEX('Danh sách nhân viên'!$D$5:$D$34,MATCH($B30,'Danh sách nhân viên'!$B$5:$B$34,0)),""))</f>
        <v/>
      </c>
      <c r="E30" s="35" t="str">
        <f t="array" ref="E30">IF($B30="","",IFERROR(INDEX('Danh sách nhân viên'!$E$5:$E$34,MATCH($B30,'Danh sách nhân viên'!$B$5:$B$34,0)),""))</f>
        <v/>
      </c>
      <c r="F30" s="26"/>
      <c r="G30" s="26"/>
      <c r="H30" s="26"/>
      <c r="I30" s="26"/>
      <c r="J30" s="26"/>
      <c r="K30" s="26"/>
      <c r="L30" s="26"/>
      <c r="M30" s="26"/>
      <c r="N30" s="45" t="str">
        <f t="shared" si="2"/>
        <v/>
      </c>
      <c r="O30" s="46" t="str">
        <f t="array" ref="O30">IF($N30="","",INDEX('Cấu hình'!$B$32:$B$35,MATCH($N30,'Cấu hình'!$C$32:$C$35,1)))</f>
        <v/>
      </c>
      <c r="P30" s="46" t="str">
        <f t="shared" si="3"/>
        <v/>
      </c>
      <c r="Q30" s="47"/>
      <c r="R30" s="35" t="str">
        <f t="shared" si="4"/>
        <v/>
      </c>
      <c r="S30" s="36" t="str">
        <f t="shared" si="5"/>
        <v/>
      </c>
      <c r="T30" s="36" t="str">
        <f t="shared" si="6"/>
        <v/>
      </c>
      <c r="U30" s="36" t="str">
        <f t="array" ref="U30">IF($B30="","",IF($N30="","Chưa đủ điểm đánh giá",INDEX('Cấu hình'!$D$32:$D$35,MATCH($N30,'Cấu hình'!$C$32:$C$35,1))))</f>
        <v/>
      </c>
      <c r="V30" s="27"/>
    </row>
    <row r="31" ht="30.0" customHeight="1">
      <c r="A31" s="15" t="str">
        <f t="shared" si="1"/>
        <v/>
      </c>
      <c r="B31" s="26"/>
      <c r="C31" s="36" t="str">
        <f t="array" ref="C31">IF($B31="","",IFERROR(INDEX('Danh sách nhân viên'!$C$5:$C$34,MATCH($B31,'Danh sách nhân viên'!$B$5:$B$34,0)),"Không tìm thấy mã"))</f>
        <v/>
      </c>
      <c r="D31" s="36" t="str">
        <f t="array" ref="D31">IF($B31="","",IFERROR(INDEX('Danh sách nhân viên'!$D$5:$D$34,MATCH($B31,'Danh sách nhân viên'!$B$5:$B$34,0)),""))</f>
        <v/>
      </c>
      <c r="E31" s="35" t="str">
        <f t="array" ref="E31">IF($B31="","",IFERROR(INDEX('Danh sách nhân viên'!$E$5:$E$34,MATCH($B31,'Danh sách nhân viên'!$B$5:$B$34,0)),""))</f>
        <v/>
      </c>
      <c r="F31" s="26"/>
      <c r="G31" s="26"/>
      <c r="H31" s="26"/>
      <c r="I31" s="26"/>
      <c r="J31" s="26"/>
      <c r="K31" s="26"/>
      <c r="L31" s="26"/>
      <c r="M31" s="26"/>
      <c r="N31" s="45" t="str">
        <f t="shared" si="2"/>
        <v/>
      </c>
      <c r="O31" s="46" t="str">
        <f t="array" ref="O31">IF($N31="","",INDEX('Cấu hình'!$B$32:$B$35,MATCH($N31,'Cấu hình'!$C$32:$C$35,1)))</f>
        <v/>
      </c>
      <c r="P31" s="46" t="str">
        <f t="shared" si="3"/>
        <v/>
      </c>
      <c r="Q31" s="47"/>
      <c r="R31" s="35" t="str">
        <f t="shared" si="4"/>
        <v/>
      </c>
      <c r="S31" s="36" t="str">
        <f t="shared" si="5"/>
        <v/>
      </c>
      <c r="T31" s="36" t="str">
        <f t="shared" si="6"/>
        <v/>
      </c>
      <c r="U31" s="36" t="str">
        <f t="array" ref="U31">IF($B31="","",IF($N31="","Chưa đủ điểm đánh giá",INDEX('Cấu hình'!$D$32:$D$35,MATCH($N31,'Cấu hình'!$C$32:$C$35,1))))</f>
        <v/>
      </c>
      <c r="V31" s="27"/>
    </row>
    <row r="32" ht="30.0" customHeight="1">
      <c r="A32" s="15" t="str">
        <f t="shared" si="1"/>
        <v/>
      </c>
      <c r="B32" s="26"/>
      <c r="C32" s="36" t="str">
        <f t="array" ref="C32">IF($B32="","",IFERROR(INDEX('Danh sách nhân viên'!$C$5:$C$34,MATCH($B32,'Danh sách nhân viên'!$B$5:$B$34,0)),"Không tìm thấy mã"))</f>
        <v/>
      </c>
      <c r="D32" s="36" t="str">
        <f t="array" ref="D32">IF($B32="","",IFERROR(INDEX('Danh sách nhân viên'!$D$5:$D$34,MATCH($B32,'Danh sách nhân viên'!$B$5:$B$34,0)),""))</f>
        <v/>
      </c>
      <c r="E32" s="35" t="str">
        <f t="array" ref="E32">IF($B32="","",IFERROR(INDEX('Danh sách nhân viên'!$E$5:$E$34,MATCH($B32,'Danh sách nhân viên'!$B$5:$B$34,0)),""))</f>
        <v/>
      </c>
      <c r="F32" s="26"/>
      <c r="G32" s="26"/>
      <c r="H32" s="26"/>
      <c r="I32" s="26"/>
      <c r="J32" s="26"/>
      <c r="K32" s="26"/>
      <c r="L32" s="26"/>
      <c r="M32" s="26"/>
      <c r="N32" s="45" t="str">
        <f t="shared" si="2"/>
        <v/>
      </c>
      <c r="O32" s="46" t="str">
        <f t="array" ref="O32">IF($N32="","",INDEX('Cấu hình'!$B$32:$B$35,MATCH($N32,'Cấu hình'!$C$32:$C$35,1)))</f>
        <v/>
      </c>
      <c r="P32" s="46" t="str">
        <f t="shared" si="3"/>
        <v/>
      </c>
      <c r="Q32" s="47"/>
      <c r="R32" s="35" t="str">
        <f t="shared" si="4"/>
        <v/>
      </c>
      <c r="S32" s="36" t="str">
        <f t="shared" si="5"/>
        <v/>
      </c>
      <c r="T32" s="36" t="str">
        <f t="shared" si="6"/>
        <v/>
      </c>
      <c r="U32" s="36" t="str">
        <f t="array" ref="U32">IF($B32="","",IF($N32="","Chưa đủ điểm đánh giá",INDEX('Cấu hình'!$D$32:$D$35,MATCH($N32,'Cấu hình'!$C$32:$C$35,1))))</f>
        <v/>
      </c>
      <c r="V32" s="27"/>
    </row>
    <row r="33" ht="30.0" customHeight="1">
      <c r="A33" s="15" t="str">
        <f t="shared" si="1"/>
        <v/>
      </c>
      <c r="B33" s="26"/>
      <c r="C33" s="36" t="str">
        <f t="array" ref="C33">IF($B33="","",IFERROR(INDEX('Danh sách nhân viên'!$C$5:$C$34,MATCH($B33,'Danh sách nhân viên'!$B$5:$B$34,0)),"Không tìm thấy mã"))</f>
        <v/>
      </c>
      <c r="D33" s="36" t="str">
        <f t="array" ref="D33">IF($B33="","",IFERROR(INDEX('Danh sách nhân viên'!$D$5:$D$34,MATCH($B33,'Danh sách nhân viên'!$B$5:$B$34,0)),""))</f>
        <v/>
      </c>
      <c r="E33" s="35" t="str">
        <f t="array" ref="E33">IF($B33="","",IFERROR(INDEX('Danh sách nhân viên'!$E$5:$E$34,MATCH($B33,'Danh sách nhân viên'!$B$5:$B$34,0)),""))</f>
        <v/>
      </c>
      <c r="F33" s="26"/>
      <c r="G33" s="26"/>
      <c r="H33" s="26"/>
      <c r="I33" s="26"/>
      <c r="J33" s="26"/>
      <c r="K33" s="26"/>
      <c r="L33" s="26"/>
      <c r="M33" s="26"/>
      <c r="N33" s="45" t="str">
        <f t="shared" si="2"/>
        <v/>
      </c>
      <c r="O33" s="46" t="str">
        <f t="array" ref="O33">IF($N33="","",INDEX('Cấu hình'!$B$32:$B$35,MATCH($N33,'Cấu hình'!$C$32:$C$35,1)))</f>
        <v/>
      </c>
      <c r="P33" s="46" t="str">
        <f t="shared" si="3"/>
        <v/>
      </c>
      <c r="Q33" s="47"/>
      <c r="R33" s="35" t="str">
        <f t="shared" si="4"/>
        <v/>
      </c>
      <c r="S33" s="36" t="str">
        <f t="shared" si="5"/>
        <v/>
      </c>
      <c r="T33" s="36" t="str">
        <f t="shared" si="6"/>
        <v/>
      </c>
      <c r="U33" s="36" t="str">
        <f t="array" ref="U33">IF($B33="","",IF($N33="","Chưa đủ điểm đánh giá",INDEX('Cấu hình'!$D$32:$D$35,MATCH($N33,'Cấu hình'!$C$32:$C$35,1))))</f>
        <v/>
      </c>
      <c r="V33" s="27"/>
    </row>
    <row r="34" ht="30.0" customHeight="1">
      <c r="A34" s="15" t="str">
        <f t="shared" si="1"/>
        <v/>
      </c>
      <c r="B34" s="26"/>
      <c r="C34" s="36" t="str">
        <f t="array" ref="C34">IF($B34="","",IFERROR(INDEX('Danh sách nhân viên'!$C$5:$C$34,MATCH($B34,'Danh sách nhân viên'!$B$5:$B$34,0)),"Không tìm thấy mã"))</f>
        <v/>
      </c>
      <c r="D34" s="36" t="str">
        <f t="array" ref="D34">IF($B34="","",IFERROR(INDEX('Danh sách nhân viên'!$D$5:$D$34,MATCH($B34,'Danh sách nhân viên'!$B$5:$B$34,0)),""))</f>
        <v/>
      </c>
      <c r="E34" s="35" t="str">
        <f t="array" ref="E34">IF($B34="","",IFERROR(INDEX('Danh sách nhân viên'!$E$5:$E$34,MATCH($B34,'Danh sách nhân viên'!$B$5:$B$34,0)),""))</f>
        <v/>
      </c>
      <c r="F34" s="26"/>
      <c r="G34" s="26"/>
      <c r="H34" s="26"/>
      <c r="I34" s="26"/>
      <c r="J34" s="26"/>
      <c r="K34" s="26"/>
      <c r="L34" s="26"/>
      <c r="M34" s="26"/>
      <c r="N34" s="45" t="str">
        <f t="shared" si="2"/>
        <v/>
      </c>
      <c r="O34" s="46" t="str">
        <f t="array" ref="O34">IF($N34="","",INDEX('Cấu hình'!$B$32:$B$35,MATCH($N34,'Cấu hình'!$C$32:$C$35,1)))</f>
        <v/>
      </c>
      <c r="P34" s="46" t="str">
        <f t="shared" si="3"/>
        <v/>
      </c>
      <c r="Q34" s="47"/>
      <c r="R34" s="35" t="str">
        <f t="shared" si="4"/>
        <v/>
      </c>
      <c r="S34" s="36" t="str">
        <f t="shared" si="5"/>
        <v/>
      </c>
      <c r="T34" s="36" t="str">
        <f t="shared" si="6"/>
        <v/>
      </c>
      <c r="U34" s="36" t="str">
        <f t="array" ref="U34">IF($B34="","",IF($N34="","Chưa đủ điểm đánh giá",INDEX('Cấu hình'!$D$32:$D$35,MATCH($N34,'Cấu hình'!$C$32:$C$35,1))))</f>
        <v/>
      </c>
      <c r="V34" s="27"/>
    </row>
    <row r="35" ht="30.0" customHeight="1">
      <c r="A35" s="15" t="str">
        <f t="shared" si="1"/>
        <v/>
      </c>
      <c r="B35" s="26"/>
      <c r="C35" s="36" t="str">
        <f t="array" ref="C35">IF($B35="","",IFERROR(INDEX('Danh sách nhân viên'!$C$5:$C$34,MATCH($B35,'Danh sách nhân viên'!$B$5:$B$34,0)),"Không tìm thấy mã"))</f>
        <v/>
      </c>
      <c r="D35" s="36" t="str">
        <f t="array" ref="D35">IF($B35="","",IFERROR(INDEX('Danh sách nhân viên'!$D$5:$D$34,MATCH($B35,'Danh sách nhân viên'!$B$5:$B$34,0)),""))</f>
        <v/>
      </c>
      <c r="E35" s="35" t="str">
        <f t="array" ref="E35">IF($B35="","",IFERROR(INDEX('Danh sách nhân viên'!$E$5:$E$34,MATCH($B35,'Danh sách nhân viên'!$B$5:$B$34,0)),""))</f>
        <v/>
      </c>
      <c r="F35" s="26"/>
      <c r="G35" s="26"/>
      <c r="H35" s="26"/>
      <c r="I35" s="26"/>
      <c r="J35" s="26"/>
      <c r="K35" s="26"/>
      <c r="L35" s="26"/>
      <c r="M35" s="26"/>
      <c r="N35" s="45" t="str">
        <f t="shared" si="2"/>
        <v/>
      </c>
      <c r="O35" s="46" t="str">
        <f t="array" ref="O35">IF($N35="","",INDEX('Cấu hình'!$B$32:$B$35,MATCH($N35,'Cấu hình'!$C$32:$C$35,1)))</f>
        <v/>
      </c>
      <c r="P35" s="46" t="str">
        <f t="shared" si="3"/>
        <v/>
      </c>
      <c r="Q35" s="47"/>
      <c r="R35" s="35" t="str">
        <f t="shared" si="4"/>
        <v/>
      </c>
      <c r="S35" s="36" t="str">
        <f t="shared" si="5"/>
        <v/>
      </c>
      <c r="T35" s="36" t="str">
        <f t="shared" si="6"/>
        <v/>
      </c>
      <c r="U35" s="36" t="str">
        <f t="array" ref="U35">IF($B35="","",IF($N35="","Chưa đủ điểm đánh giá",INDEX('Cấu hình'!$D$32:$D$35,MATCH($N35,'Cấu hình'!$C$32:$C$35,1))))</f>
        <v/>
      </c>
      <c r="V35" s="27"/>
    </row>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8">
    <mergeCell ref="A1:V1"/>
    <mergeCell ref="A2:V2"/>
    <mergeCell ref="A3:E3"/>
    <mergeCell ref="F3:M3"/>
    <mergeCell ref="N3:P3"/>
    <mergeCell ref="Q3:R3"/>
    <mergeCell ref="S3:V3"/>
    <mergeCell ref="A5:E5"/>
  </mergeCells>
  <conditionalFormatting sqref="O6:O35">
    <cfRule type="expression" dxfId="0" priority="1">
      <formula>LEFT($O6,1)="A"</formula>
    </cfRule>
  </conditionalFormatting>
  <conditionalFormatting sqref="O6:O35">
    <cfRule type="expression" dxfId="2" priority="2">
      <formula>LEFT($O6,1)="B"</formula>
    </cfRule>
  </conditionalFormatting>
  <conditionalFormatting sqref="O6:O35">
    <cfRule type="expression" dxfId="1" priority="3">
      <formula>LEFT($O6,1)="C"</formula>
    </cfRule>
  </conditionalFormatting>
  <conditionalFormatting sqref="O6:O35">
    <cfRule type="expression" dxfId="3" priority="4">
      <formula>LEFT($O6,1)="D"</formula>
    </cfRule>
  </conditionalFormatting>
  <conditionalFormatting sqref="P6:P35">
    <cfRule type="expression" dxfId="6" priority="5">
      <formula>AND(ISNUMBER($P6),$P6&lt;=3)</formula>
    </cfRule>
  </conditionalFormatting>
  <conditionalFormatting sqref="R6:R35">
    <cfRule type="cellIs" dxfId="4" priority="6" operator="equal">
      <formula>"Tăng"</formula>
    </cfRule>
  </conditionalFormatting>
  <conditionalFormatting sqref="R6:R35">
    <cfRule type="cellIs" dxfId="5" priority="7" operator="equal">
      <formula>"Giảm"</formula>
    </cfRule>
  </conditionalFormatting>
  <conditionalFormatting sqref="U6:U35">
    <cfRule type="cellIs" dxfId="7" priority="8" operator="equal">
      <formula>"Chưa đủ điểm đánh giá"</formula>
    </cfRule>
  </conditionalFormatting>
  <conditionalFormatting sqref="F6:M35">
    <cfRule type="expression" dxfId="8" priority="9">
      <formula>F$5=0</formula>
    </cfRule>
  </conditionalFormatting>
  <conditionalFormatting sqref="F4:M4">
    <cfRule type="expression" dxfId="8" priority="10">
      <formula>F$5=0</formula>
    </cfRule>
  </conditionalFormatting>
  <dataValidations>
    <dataValidation type="list" allowBlank="1" showInputMessage="1" showErrorMessage="1" prompt="Giá trị không hợp lệ - Điểm từng tiêu chí là số nguyên từ 1 đến 5." sqref="F6:M35">
      <formula1>"1,2,3,4,5"</formula1>
    </dataValidation>
    <dataValidation type="decimal" allowBlank="1" showInputMessage="1" showErrorMessage="1" prompt="Giá trị không hợp lệ - Nhập điểm kỳ trước từ 0 đến 100." sqref="Q6:Q35">
      <formula1>0.0</formula1>
      <formula2>100.0</formula2>
    </dataValidation>
    <dataValidation type="list" allowBlank="1" showInputMessage="1" showErrorMessage="1" prompt="Giá trị không hợp lệ - Vui lòng chọn mã nhân viên trong sheet Danh sách nhân viên." sqref="B6:B35">
      <formula1>'Danh sách nhân viên'!$B$5:$B$34</formula1>
    </dataValidation>
  </dataValidations>
  <printOptions/>
  <pageMargins bottom="1.0" footer="0.0" header="0.0" left="0.75" right="0.75" top="1.0"/>
  <pageSetup fitToHeight="0" paperSize="8" orientation="landscape"/>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26A1B"/>
    <pageSetUpPr fitToPage="1"/>
  </sheetPr>
  <sheetViews>
    <sheetView showGridLines="0" workbookViewId="0"/>
  </sheetViews>
  <sheetFormatPr customHeight="1" defaultColWidth="14.43" defaultRowHeight="15.0"/>
  <cols>
    <col customWidth="1" min="1" max="1" width="3.0"/>
    <col customWidth="1" min="2" max="2" width="34.0"/>
    <col customWidth="1" min="3" max="4" width="14.0"/>
    <col customWidth="1" min="5" max="5" width="16.0"/>
    <col customWidth="1" min="6" max="6" width="52.0"/>
    <col customWidth="1" min="7" max="26" width="8.57"/>
  </cols>
  <sheetData>
    <row r="1" ht="42.0" customHeight="1">
      <c r="B1" s="39" t="s">
        <v>155</v>
      </c>
      <c r="C1" s="4"/>
      <c r="D1" s="4"/>
      <c r="E1" s="4"/>
      <c r="F1" s="3"/>
    </row>
    <row r="2" ht="25.5" customHeight="1">
      <c r="B2" s="21" t="str">
        <f>"Kỳ đánh giá: "&amp;'Cấu hình'!C5&amp;"   |   Khối / Bộ phận: "&amp;'Cấu hình'!C6&amp;"   |   Ngày đánh giá: "&amp;TEXT('Cấu hình'!C8,"dd/mm/yyyy")</f>
        <v>Kỳ đánh giá: Quý 4/2026   |   Khối / Bộ phận: Khối Công nghệ   |   Ngày đánh giá: 30/10/2026</v>
      </c>
      <c r="C2" s="4"/>
      <c r="D2" s="4"/>
      <c r="E2" s="4"/>
      <c r="F2" s="3"/>
    </row>
    <row r="4" ht="24.0" customHeight="1">
      <c r="B4" s="8" t="s">
        <v>156</v>
      </c>
      <c r="C4" s="17"/>
      <c r="D4" s="17"/>
      <c r="E4" s="17"/>
      <c r="F4" s="9"/>
    </row>
    <row r="5" ht="25.5" customHeight="1">
      <c r="B5" s="19" t="s">
        <v>157</v>
      </c>
      <c r="C5" s="41" t="s">
        <v>43</v>
      </c>
      <c r="D5" s="42"/>
      <c r="E5" s="42"/>
      <c r="F5" s="43"/>
    </row>
    <row r="6" ht="25.5" customHeight="1">
      <c r="B6" s="19" t="s">
        <v>11</v>
      </c>
      <c r="C6" s="44" t="str">
        <f t="array" ref="C6">IF($C$5="","",IFERROR(INDEX('Danh sách nhân viên'!$C$5:$C$34,MATCH($C$5,'Danh sách nhân viên'!$B$5:$B$34,0)),""))</f>
        <v>Nguyễn Hoàng Long</v>
      </c>
      <c r="D6" s="29"/>
      <c r="E6" s="29"/>
      <c r="F6" s="24"/>
    </row>
    <row r="7" ht="25.5" customHeight="1">
      <c r="B7" s="19" t="s">
        <v>12</v>
      </c>
      <c r="C7" s="44" t="str">
        <f t="array" ref="C7">IF($C$5="","",IFERROR(INDEX('Danh sách nhân viên'!$D$5:$D$34,MATCH($C$5,'Danh sách nhân viên'!$B$5:$B$34,0)),""))</f>
        <v>Backend Developer</v>
      </c>
      <c r="D7" s="29"/>
      <c r="E7" s="29"/>
      <c r="F7" s="24"/>
    </row>
    <row r="8" ht="25.5" customHeight="1">
      <c r="B8" s="19" t="s">
        <v>13</v>
      </c>
      <c r="C8" s="44" t="str">
        <f t="array" ref="C8">IF($C$5="","",IFERROR(INDEX('Danh sách nhân viên'!$E$5:$E$34,MATCH($C$5,'Danh sách nhân viên'!$B$5:$B$34,0)),""))</f>
        <v>Senior</v>
      </c>
      <c r="D8" s="29"/>
      <c r="E8" s="29"/>
      <c r="F8" s="24"/>
    </row>
    <row r="9" ht="25.5" customHeight="1">
      <c r="B9" s="19" t="s">
        <v>14</v>
      </c>
      <c r="C9" s="44" t="str">
        <f t="array" ref="C9">IF($C$5="","",IFERROR(INDEX('Danh sách nhân viên'!$F$5:$F$34,MATCH($C$5,'Danh sách nhân viên'!$B$5:$B$34,0)),""))</f>
        <v>Nhóm Nền tảng</v>
      </c>
      <c r="D9" s="29"/>
      <c r="E9" s="29"/>
      <c r="F9" s="24"/>
    </row>
    <row r="10" ht="25.5" customHeight="1">
      <c r="B10" s="19" t="s">
        <v>15</v>
      </c>
      <c r="C10" s="44" t="str">
        <f t="array" ref="C10">IF($C$5="","",IFERROR(INDEX('Danh sách nhân viên'!$G$5:$G$34,MATCH($C$5,'Danh sách nhân viên'!$B$5:$B$34,0)),""))</f>
        <v>Trần Quốc Việt</v>
      </c>
      <c r="D10" s="29"/>
      <c r="E10" s="29"/>
      <c r="F10" s="24"/>
    </row>
    <row r="11" ht="25.5" customHeight="1">
      <c r="B11" s="19" t="s">
        <v>17</v>
      </c>
      <c r="C11" s="48">
        <f t="array" ref="C11">IF($C$5="","",IFERROR(INDEX('Danh sách nhân viên'!$H$5:$H$34,MATCH($C$5,'Danh sách nhân viên'!$B$5:$B$34,0)),""))</f>
        <v>43892</v>
      </c>
      <c r="D11" s="29"/>
      <c r="E11" s="29"/>
      <c r="F11" s="24"/>
    </row>
    <row r="13" ht="24.0" customHeight="1">
      <c r="B13" s="8" t="s">
        <v>158</v>
      </c>
      <c r="C13" s="17"/>
      <c r="D13" s="17"/>
      <c r="E13" s="17"/>
      <c r="F13" s="9"/>
    </row>
    <row r="14" ht="30.0" customHeight="1">
      <c r="B14" s="10" t="s">
        <v>159</v>
      </c>
      <c r="C14" s="10" t="s">
        <v>64</v>
      </c>
      <c r="D14" s="10" t="s">
        <v>160</v>
      </c>
      <c r="E14" s="10" t="s">
        <v>161</v>
      </c>
      <c r="F14" s="10" t="s">
        <v>66</v>
      </c>
    </row>
    <row r="15" ht="30.0" customHeight="1">
      <c r="B15" s="27" t="str">
        <f>IF('Cấu hình'!$B$12="","",'Cấu hình'!$B$12)</f>
        <v>Chuyên môn kỹ thuật</v>
      </c>
      <c r="C15" s="32">
        <f>IF($B15="","",'Cấu hình'!$C$12)</f>
        <v>0.2</v>
      </c>
      <c r="D15" s="49">
        <f t="array" ref="D15">IF(OR($B15="",$C$5=""),"",IFERROR(IF(INDEX('Chấm điểm'!$F$6:$F$35,MATCH($C$5,'Chấm điểm'!$B$6:$B$35,0))="","",INDEX('Chấm điểm'!$F$6:$F$35,MATCH($C$5,'Chấm điểm'!$B$6:$B$35,0))),""))</f>
        <v>5</v>
      </c>
      <c r="E15" s="47">
        <f t="shared" ref="E15:E22" si="1">IF(OR($D15="",$C15=""),"",$D15/5*$C15*100)</f>
        <v>20</v>
      </c>
      <c r="F15" s="50" t="str">
        <f>IF($B15="","",'Cấu hình'!$D$12)</f>
        <v>Kiến thức nền tảng, công nghệ và công cụ phù hợp với cấp bậc</v>
      </c>
    </row>
    <row r="16" ht="30.0" customHeight="1">
      <c r="B16" s="27" t="str">
        <f>IF('Cấu hình'!$B$13="","",'Cấu hình'!$B$13)</f>
        <v>Chất lượng công việc</v>
      </c>
      <c r="C16" s="32">
        <f>IF($B16="","",'Cấu hình'!$C$13)</f>
        <v>0.2</v>
      </c>
      <c r="D16" s="49">
        <f t="array" ref="D16">IF(OR($B16="",$C$5=""),"",IFERROR(IF(INDEX('Chấm điểm'!$G$6:$G$35,MATCH($C$5,'Chấm điểm'!$B$6:$B$35,0))="","",INDEX('Chấm điểm'!$G$6:$G$35,MATCH($C$5,'Chấm điểm'!$B$6:$B$35,0))),""))</f>
        <v>5</v>
      </c>
      <c r="E16" s="47">
        <f t="shared" si="1"/>
        <v>20</v>
      </c>
      <c r="F16" s="50" t="str">
        <f>IF($B16="","",'Cấu hình'!$D$13)</f>
        <v>Ít lỗi, đạt tiêu chuẩn code và kiểm thử, ít phải làm lại</v>
      </c>
    </row>
    <row r="17" ht="30.0" customHeight="1">
      <c r="B17" s="27" t="str">
        <f>IF('Cấu hình'!$B$14="","",'Cấu hình'!$B$14)</f>
        <v>Tiến độ và hiệu suất</v>
      </c>
      <c r="C17" s="32">
        <f>IF($B17="","",'Cấu hình'!$C$14)</f>
        <v>0.15</v>
      </c>
      <c r="D17" s="49">
        <f t="array" ref="D17">IF(OR($B17="",$C$5=""),"",IFERROR(IF(INDEX('Chấm điểm'!$H$6:$H$35,MATCH($C$5,'Chấm điểm'!$B$6:$B$35,0))="","",INDEX('Chấm điểm'!$H$6:$H$35,MATCH($C$5,'Chấm điểm'!$B$6:$B$35,0))),""))</f>
        <v>4</v>
      </c>
      <c r="E17" s="47">
        <f t="shared" si="1"/>
        <v>12</v>
      </c>
      <c r="F17" s="50" t="str">
        <f>IF($B17="","",'Cấu hình'!$D$14)</f>
        <v>Hoàn thành đúng hạn, ước lượng hợp lý, khối lượng công việc đảm nhận</v>
      </c>
    </row>
    <row r="18" ht="30.0" customHeight="1">
      <c r="B18" s="27" t="str">
        <f>IF('Cấu hình'!$B$15="","",'Cấu hình'!$B$15)</f>
        <v>Giải quyết vấn đề, xử lý sự cố</v>
      </c>
      <c r="C18" s="32">
        <f>IF($B18="","",'Cấu hình'!$C$15)</f>
        <v>0.15</v>
      </c>
      <c r="D18" s="49">
        <f t="array" ref="D18">IF(OR($B18="",$C$5=""),"",IFERROR(IF(INDEX('Chấm điểm'!$I$6:$I$35,MATCH($C$5,'Chấm điểm'!$B$6:$B$35,0))="","",INDEX('Chấm điểm'!$I$6:$I$35,MATCH($C$5,'Chấm điểm'!$B$6:$B$35,0))),""))</f>
        <v>5</v>
      </c>
      <c r="E18" s="47">
        <f t="shared" si="1"/>
        <v>15</v>
      </c>
      <c r="F18" s="50" t="str">
        <f>IF($B18="","",'Cấu hình'!$D$15)</f>
        <v>Phân tích nguyên nhân gốc, xử lý sự cố nhanh và triệt để</v>
      </c>
    </row>
    <row r="19" ht="30.0" customHeight="1">
      <c r="B19" s="27" t="str">
        <f>IF('Cấu hình'!$B$16="","",'Cấu hình'!$B$16)</f>
        <v>Học hỏi và cải tiến</v>
      </c>
      <c r="C19" s="32">
        <f>IF($B19="","",'Cấu hình'!$C$16)</f>
        <v>0.1</v>
      </c>
      <c r="D19" s="49">
        <f t="array" ref="D19">IF(OR($B19="",$C$5=""),"",IFERROR(IF(INDEX('Chấm điểm'!$J$6:$J$35,MATCH($C$5,'Chấm điểm'!$B$6:$B$35,0))="","",INDEX('Chấm điểm'!$J$6:$J$35,MATCH($C$5,'Chấm điểm'!$B$6:$B$35,0))),""))</f>
        <v>4</v>
      </c>
      <c r="E19" s="47">
        <f t="shared" si="1"/>
        <v>8</v>
      </c>
      <c r="F19" s="50" t="str">
        <f>IF($B19="","",'Cấu hình'!$D$16)</f>
        <v>Chủ động học công nghệ mới, đề xuất cải tiến quy trình và sản phẩm</v>
      </c>
    </row>
    <row r="20" ht="30.0" customHeight="1">
      <c r="B20" s="27" t="str">
        <f>IF('Cấu hình'!$B$17="","",'Cấu hình'!$B$17)</f>
        <v>Làm việc nhóm và giao tiếp</v>
      </c>
      <c r="C20" s="32">
        <f>IF($B20="","",'Cấu hình'!$C$17)</f>
        <v>0.1</v>
      </c>
      <c r="D20" s="49">
        <f t="array" ref="D20">IF(OR($B20="",$C$5=""),"",IFERROR(IF(INDEX('Chấm điểm'!$K$6:$K$35,MATCH($C$5,'Chấm điểm'!$B$6:$B$35,0))="","",INDEX('Chấm điểm'!$K$6:$K$35,MATCH($C$5,'Chấm điểm'!$B$6:$B$35,0))),""))</f>
        <v>4</v>
      </c>
      <c r="E20" s="47">
        <f t="shared" si="1"/>
        <v>8</v>
      </c>
      <c r="F20" s="50" t="str">
        <f>IF($B20="","",'Cấu hình'!$D$17)</f>
        <v>Phối hợp, hỗ trợ đồng nghiệp, trao đổi rõ ràng với các bên liên quan</v>
      </c>
    </row>
    <row r="21" ht="30.0" customHeight="1">
      <c r="B21" s="27" t="str">
        <f>IF('Cấu hình'!$B$18="","",'Cấu hình'!$B$18)</f>
        <v>Tuân thủ quy trình, bảo mật</v>
      </c>
      <c r="C21" s="32">
        <f>IF($B21="","",'Cấu hình'!$C$18)</f>
        <v>0.05</v>
      </c>
      <c r="D21" s="49">
        <f t="array" ref="D21">IF(OR($B21="",$C$5=""),"",IFERROR(IF(INDEX('Chấm điểm'!$L$6:$L$35,MATCH($C$5,'Chấm điểm'!$B$6:$B$35,0))="","",INDEX('Chấm điểm'!$L$6:$L$35,MATCH($C$5,'Chấm điểm'!$B$6:$B$35,0))),""))</f>
        <v>5</v>
      </c>
      <c r="E21" s="47">
        <f t="shared" si="1"/>
        <v>5</v>
      </c>
      <c r="F21" s="50" t="str">
        <f>IF($B21="","",'Cấu hình'!$D$18)</f>
        <v>Tuân thủ quy trình review, release; bảo mật dữ liệu và hệ thống</v>
      </c>
    </row>
    <row r="22" ht="30.0" customHeight="1">
      <c r="B22" s="27" t="str">
        <f>IF('Cấu hình'!$B$19="","",'Cấu hình'!$B$19)</f>
        <v>Tài liệu và chia sẻ kiến thức</v>
      </c>
      <c r="C22" s="32">
        <f>IF($B22="","",'Cấu hình'!$C$19)</f>
        <v>0.05</v>
      </c>
      <c r="D22" s="49">
        <f t="array" ref="D22">IF(OR($B22="",$C$5=""),"",IFERROR(IF(INDEX('Chấm điểm'!$M$6:$M$35,MATCH($C$5,'Chấm điểm'!$B$6:$B$35,0))="","",INDEX('Chấm điểm'!$M$6:$M$35,MATCH($C$5,'Chấm điểm'!$B$6:$B$35,0))),""))</f>
        <v>4</v>
      </c>
      <c r="E22" s="47">
        <f t="shared" si="1"/>
        <v>4</v>
      </c>
      <c r="F22" s="50" t="str">
        <f>IF($B22="","",'Cấu hình'!$D$19)</f>
        <v>Tài liệu kỹ thuật đầy đủ, chia sẻ và kèm cặp đồng nghiệp</v>
      </c>
    </row>
    <row r="23" ht="27.75" customHeight="1">
      <c r="B23" s="33" t="s">
        <v>171</v>
      </c>
      <c r="C23" s="34">
        <f>SUM(C15:C22)</f>
        <v>1</v>
      </c>
      <c r="D23" s="55"/>
      <c r="E23" s="57">
        <f t="array" ref="E23">IF($C$5="","",IFERROR(INDEX('Chấm điểm'!$N$6:$N$35,MATCH($C$5,'Chấm điểm'!$B$6:$B$35,0)),""))</f>
        <v>92</v>
      </c>
      <c r="F23" s="33"/>
    </row>
    <row r="24" ht="15.75" customHeight="1"/>
    <row r="25" ht="24.0" customHeight="1">
      <c r="B25" s="8" t="s">
        <v>173</v>
      </c>
      <c r="C25" s="17"/>
      <c r="D25" s="17"/>
      <c r="E25" s="17"/>
      <c r="F25" s="9"/>
    </row>
    <row r="26" ht="36.0" customHeight="1">
      <c r="B26" s="19" t="s">
        <v>120</v>
      </c>
      <c r="C26" s="58">
        <f t="array" ref="C26">IF($C$5="","",IFERROR(INDEX('Chấm điểm'!$N$6:$N$35,MATCH($C$5,'Chấm điểm'!$B$6:$B$35,0)),""))</f>
        <v>92</v>
      </c>
      <c r="D26" s="29"/>
      <c r="E26" s="29"/>
      <c r="F26" s="24"/>
    </row>
    <row r="27" ht="27.75" customHeight="1">
      <c r="B27" s="19" t="s">
        <v>122</v>
      </c>
      <c r="C27" s="60" t="str">
        <f t="array" ref="C27">IF($C$5="","",IFERROR(INDEX('Chấm điểm'!$O$6:$O$35,MATCH($C$5,'Chấm điểm'!$B$6:$B$35,0)),""))</f>
        <v>A - Xuất sắc</v>
      </c>
      <c r="D27" s="29"/>
      <c r="E27" s="29"/>
      <c r="F27" s="24"/>
    </row>
    <row r="28" ht="27.75" customHeight="1">
      <c r="B28" s="19" t="s">
        <v>178</v>
      </c>
      <c r="C28" s="60" t="str">
        <f t="array" ref="C28">IF($C$5="","",IFERROR(IF(INDEX('Chấm điểm'!$P$6:$P$35,MATCH($C$5,'Chấm điểm'!$B$6:$B$35,0))="","",INDEX('Chấm điểm'!$P$6:$P$35,MATCH($C$5,'Chấm điểm'!$B$6:$B$35,0))&amp;" / "&amp;COUNT('Chấm điểm'!$N$6:$N$35)),""))</f>
        <v>1 / 8</v>
      </c>
      <c r="D28" s="29"/>
      <c r="E28" s="29"/>
      <c r="F28" s="24"/>
    </row>
    <row r="29" ht="27.75" customHeight="1">
      <c r="B29" s="19" t="s">
        <v>126</v>
      </c>
      <c r="C29" s="64">
        <f t="array" ref="C29">IF($C$5="","",IFERROR(IF(INDEX('Chấm điểm'!$Q$6:$Q$35,MATCH($C$5,'Chấm điểm'!$B$6:$B$35,0))="","Chưa có",INDEX('Chấm điểm'!$Q$6:$Q$35,MATCH($C$5,'Chấm điểm'!$B$6:$B$35,0))),""))</f>
        <v>88</v>
      </c>
      <c r="D29" s="29"/>
      <c r="E29" s="29"/>
      <c r="F29" s="24"/>
    </row>
    <row r="30" ht="27.75" customHeight="1">
      <c r="B30" s="19" t="s">
        <v>128</v>
      </c>
      <c r="C30" s="60" t="str">
        <f t="array" ref="C30">IF($C$5="","",IFERROR(INDEX('Chấm điểm'!$R$6:$R$35,MATCH($C$5,'Chấm điểm'!$B$6:$B$35,0)),""))</f>
        <v>Tăng</v>
      </c>
      <c r="D30" s="29"/>
      <c r="E30" s="29"/>
      <c r="F30" s="24"/>
    </row>
    <row r="31" ht="27.75" customHeight="1">
      <c r="B31" s="19" t="s">
        <v>130</v>
      </c>
      <c r="C31" s="60" t="str">
        <f t="array" ref="C31">IF($C$5="","",IFERROR(INDEX('Chấm điểm'!$S$6:$S$35,MATCH($C$5,'Chấm điểm'!$B$6:$B$35,0)),""))</f>
        <v>Chuyên môn kỹ thuật</v>
      </c>
      <c r="D31" s="29"/>
      <c r="E31" s="29"/>
      <c r="F31" s="24"/>
    </row>
    <row r="32" ht="27.75" customHeight="1">
      <c r="B32" s="19" t="s">
        <v>132</v>
      </c>
      <c r="C32" s="60" t="str">
        <f t="array" ref="C32">IF($C$5="","",IFERROR(INDEX('Chấm điểm'!$T$6:$T$35,MATCH($C$5,'Chấm điểm'!$B$6:$B$35,0)),""))</f>
        <v>Tiến độ và hiệu suất</v>
      </c>
      <c r="D32" s="29"/>
      <c r="E32" s="29"/>
      <c r="F32" s="24"/>
    </row>
    <row r="33" ht="31.5" customHeight="1">
      <c r="B33" s="19" t="s">
        <v>134</v>
      </c>
      <c r="C33" s="60" t="str">
        <f t="array" ref="C33">IF($C$5="","",IFERROR(INDEX('Chấm điểm'!$U$6:$U$35,MATCH($C$5,'Chấm điểm'!$B$6:$B$35,0)),""))</f>
        <v>Xem xét khen thưởng, thăng cấp, giao dự án trọng điểm</v>
      </c>
      <c r="D33" s="29"/>
      <c r="E33" s="29"/>
      <c r="F33" s="24"/>
    </row>
    <row r="34" ht="48.0" customHeight="1">
      <c r="B34" s="19" t="s">
        <v>185</v>
      </c>
      <c r="C34" s="69" t="str">
        <f t="array" ref="C34">IF($C$5="","",IFERROR(IF(INDEX('Chấm điểm'!$V$6:$V$35,MATCH($C$5,'Chấm điểm'!$B$6:$B$35,0))="","",INDEX('Chấm điểm'!$V$6:$V$35,MATCH($C$5,'Chấm điểm'!$B$6:$B$35,0))),""))</f>
        <v>Trụ cột kỹ thuật của nhóm, kèm cặp tốt</v>
      </c>
      <c r="D34" s="29"/>
      <c r="E34" s="29"/>
      <c r="F34" s="24"/>
    </row>
    <row r="35" ht="15.75" customHeight="1"/>
    <row r="36" ht="24.0" customHeight="1">
      <c r="B36" s="8" t="s">
        <v>186</v>
      </c>
      <c r="C36" s="17"/>
      <c r="D36" s="17"/>
      <c r="E36" s="17"/>
      <c r="F36" s="9"/>
    </row>
    <row r="37" ht="24.0" customHeight="1">
      <c r="B37" s="15" t="s">
        <v>51</v>
      </c>
      <c r="C37" s="70" t="s">
        <v>15</v>
      </c>
      <c r="D37" s="29"/>
      <c r="E37" s="24"/>
      <c r="F37" s="15" t="s">
        <v>182</v>
      </c>
    </row>
    <row r="38" ht="69.75" customHeight="1">
      <c r="B38" s="26"/>
      <c r="C38" s="68"/>
      <c r="D38" s="29"/>
      <c r="E38" s="24"/>
      <c r="F38" s="26"/>
    </row>
    <row r="39" ht="15.0" customHeight="1">
      <c r="B39" s="71" t="s">
        <v>187</v>
      </c>
    </row>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5">
    <mergeCell ref="B1:F1"/>
    <mergeCell ref="B2:F2"/>
    <mergeCell ref="B4:F4"/>
    <mergeCell ref="C5:F5"/>
    <mergeCell ref="C6:F6"/>
    <mergeCell ref="C7:F7"/>
    <mergeCell ref="C8:F8"/>
    <mergeCell ref="C9:F9"/>
    <mergeCell ref="C10:F10"/>
    <mergeCell ref="C11:F11"/>
    <mergeCell ref="B13:F13"/>
    <mergeCell ref="B25:F25"/>
    <mergeCell ref="C26:F26"/>
    <mergeCell ref="C27:F27"/>
    <mergeCell ref="B36:F36"/>
    <mergeCell ref="C37:E37"/>
    <mergeCell ref="C38:E38"/>
    <mergeCell ref="B39:F39"/>
    <mergeCell ref="C28:F28"/>
    <mergeCell ref="C29:F29"/>
    <mergeCell ref="C30:F30"/>
    <mergeCell ref="C31:F31"/>
    <mergeCell ref="C32:F32"/>
    <mergeCell ref="C33:F33"/>
    <mergeCell ref="C34:F34"/>
  </mergeCells>
  <conditionalFormatting sqref="D15:D22">
    <cfRule type="cellIs" dxfId="1" priority="1" operator="lessThanOrEqual">
      <formula>2</formula>
    </cfRule>
  </conditionalFormatting>
  <conditionalFormatting sqref="C27:F27">
    <cfRule type="expression" dxfId="0" priority="2">
      <formula>LEFT($C$27,1)="A"</formula>
    </cfRule>
  </conditionalFormatting>
  <conditionalFormatting sqref="C27:F27">
    <cfRule type="expression" dxfId="2" priority="3">
      <formula>LEFT($C$27,1)="B"</formula>
    </cfRule>
  </conditionalFormatting>
  <conditionalFormatting sqref="C27:F27">
    <cfRule type="expression" dxfId="1" priority="4">
      <formula>LEFT($C$27,1)="C"</formula>
    </cfRule>
  </conditionalFormatting>
  <conditionalFormatting sqref="C27:F27">
    <cfRule type="expression" dxfId="3" priority="5">
      <formula>LEFT($C$27,1)="D"</formula>
    </cfRule>
  </conditionalFormatting>
  <conditionalFormatting sqref="C30:F30">
    <cfRule type="cellIs" dxfId="4" priority="6" operator="equal">
      <formula>"Tăng"</formula>
    </cfRule>
  </conditionalFormatting>
  <conditionalFormatting sqref="C30:F30">
    <cfRule type="cellIs" dxfId="5" priority="7" operator="equal">
      <formula>"Giảm"</formula>
    </cfRule>
  </conditionalFormatting>
  <dataValidations>
    <dataValidation type="list" allowBlank="1" showInputMessage="1" showErrorMessage="1" prompt="Giá trị không hợp lệ - Vui lòng chọn mã nhân viên trong danh sách." sqref="C5">
      <formula1>'Danh sách nhân viên'!$B$5:$B$34</formula1>
    </dataValidation>
  </dataValidations>
  <printOptions/>
  <pageMargins bottom="1.0" footer="0.0" header="0.0" left="0.75" right="0.75" top="1.0"/>
  <pageSetup fitToHeight="0" orientation="portrait"/>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26A1B"/>
    <pageSetUpPr fitToPage="1"/>
  </sheetPr>
  <sheetViews>
    <sheetView showGridLines="0" workbookViewId="0"/>
  </sheetViews>
  <sheetFormatPr customHeight="1" defaultColWidth="14.43" defaultRowHeight="15.0"/>
  <cols>
    <col customWidth="1" min="1" max="1" width="3.0"/>
    <col customWidth="1" min="2" max="9" width="15.0"/>
    <col customWidth="1" min="10" max="26" width="8.57"/>
  </cols>
  <sheetData>
    <row r="1" ht="39.75" customHeight="1">
      <c r="B1" s="39" t="s">
        <v>164</v>
      </c>
      <c r="C1" s="4"/>
      <c r="D1" s="4"/>
      <c r="E1" s="4"/>
      <c r="F1" s="4"/>
      <c r="G1" s="4"/>
      <c r="H1" s="4"/>
      <c r="I1" s="3"/>
    </row>
    <row r="2" ht="25.5" customHeight="1">
      <c r="B2" s="21" t="str">
        <f>"Kỳ đánh giá: "&amp;'Cấu hình'!C5&amp;"   |   Khối / Bộ phận: "&amp;'Cấu hình'!C6&amp;"   |   Ngày đánh giá: "&amp;TEXT('Cấu hình'!C8,"dd/mm/yyyy")</f>
        <v>Kỳ đánh giá: Quý 4/2026   |   Khối / Bộ phận: Khối Công nghệ   |   Ngày đánh giá: 30/10/2026</v>
      </c>
      <c r="C2" s="4"/>
      <c r="D2" s="4"/>
      <c r="E2" s="4"/>
      <c r="F2" s="4"/>
      <c r="G2" s="4"/>
      <c r="H2" s="4"/>
      <c r="I2" s="3"/>
    </row>
    <row r="4" ht="24.0" customHeight="1">
      <c r="B4" s="8" t="s">
        <v>166</v>
      </c>
      <c r="C4" s="17"/>
      <c r="D4" s="17"/>
      <c r="E4" s="17"/>
      <c r="F4" s="17"/>
      <c r="G4" s="17"/>
      <c r="H4" s="17"/>
      <c r="I4" s="9"/>
    </row>
    <row r="5" ht="24.0" customHeight="1">
      <c r="B5" s="51" t="s">
        <v>167</v>
      </c>
      <c r="C5" s="24"/>
      <c r="D5" s="51" t="s">
        <v>168</v>
      </c>
      <c r="E5" s="24"/>
      <c r="F5" s="51" t="s">
        <v>169</v>
      </c>
      <c r="G5" s="24"/>
      <c r="H5" s="51" t="s">
        <v>170</v>
      </c>
      <c r="I5" s="24"/>
    </row>
    <row r="6" ht="45.75" customHeight="1">
      <c r="B6" s="52">
        <f>COUNT('Chấm điểm'!$N$6:$N$35)</f>
        <v>8</v>
      </c>
      <c r="C6" s="24"/>
      <c r="D6" s="53">
        <f>IF(COUNT('Chấm điểm'!$N$6:$N$35)=0,"Chưa có",AVERAGE('Chấm điểm'!$N$6:$N$35))</f>
        <v>72</v>
      </c>
      <c r="E6" s="24"/>
      <c r="F6" s="54">
        <f>IF(COUNT('Chấm điểm'!$N$6:$N$35)=0,"Chưa có",MAX('Chấm điểm'!$N$6:$N$35))</f>
        <v>92</v>
      </c>
      <c r="G6" s="24"/>
      <c r="H6" s="56">
        <f>IF(COUNT('Chấm điểm'!$N$6:$N$35)=0,"Chưa có",MIN('Chấm điểm'!$N$6:$N$35))</f>
        <v>49</v>
      </c>
      <c r="I6" s="24"/>
    </row>
    <row r="7" ht="9.75" customHeight="1"/>
    <row r="8" ht="24.0" customHeight="1">
      <c r="B8" s="51" t="s">
        <v>174</v>
      </c>
      <c r="C8" s="24"/>
      <c r="D8" s="51" t="s">
        <v>175</v>
      </c>
      <c r="E8" s="24"/>
      <c r="F8" s="51" t="s">
        <v>176</v>
      </c>
      <c r="G8" s="24"/>
      <c r="H8" s="51" t="s">
        <v>177</v>
      </c>
      <c r="I8" s="24"/>
    </row>
    <row r="9" ht="45.75" customHeight="1">
      <c r="B9" s="59">
        <f>COUNTIF('Chấm điểm'!$O$6:$O$35,'Cấu hình'!$B$35)</f>
        <v>2</v>
      </c>
      <c r="C9" s="24"/>
      <c r="D9" s="61">
        <f>COUNTIF('Chấm điểm'!$O$6:$O$35,'Cấu hình'!$B$32)</f>
        <v>1</v>
      </c>
      <c r="E9" s="24"/>
      <c r="F9" s="52">
        <f>COUNTA('Chấm điểm'!$B$6:$B$35)-COUNT('Chấm điểm'!$N$6:$N$35)</f>
        <v>0</v>
      </c>
      <c r="G9" s="24"/>
      <c r="H9" s="62" t="str">
        <f t="array" ref="H9">IFERROR(INDEX('Chấm điểm'!$C$6:$C$35,MATCH(1,'Chấm điểm'!$P$6:$P$35,0)),"Chưa có")</f>
        <v>Nguyễn Hoàng Long</v>
      </c>
      <c r="I9" s="24"/>
    </row>
    <row r="11" ht="24.0" customHeight="1">
      <c r="B11" s="8" t="s">
        <v>180</v>
      </c>
      <c r="C11" s="17"/>
      <c r="D11" s="17"/>
      <c r="E11" s="17"/>
      <c r="F11" s="17"/>
      <c r="G11" s="17"/>
      <c r="H11" s="17"/>
      <c r="I11" s="9"/>
    </row>
    <row r="12" ht="27.75" customHeight="1">
      <c r="B12" s="10" t="s">
        <v>181</v>
      </c>
      <c r="C12" s="63" t="s">
        <v>182</v>
      </c>
      <c r="D12" s="24"/>
      <c r="E12" s="10" t="s">
        <v>12</v>
      </c>
      <c r="F12" s="10" t="s">
        <v>183</v>
      </c>
      <c r="G12" s="63" t="s">
        <v>122</v>
      </c>
      <c r="H12" s="24"/>
      <c r="I12" s="10" t="s">
        <v>128</v>
      </c>
    </row>
    <row r="13" ht="25.5" customHeight="1">
      <c r="B13" s="65">
        <v>1.0</v>
      </c>
      <c r="C13" s="66" t="str">
        <f t="array" ref="C13">IFERROR(INDEX('Chấm điểm'!$C$6:$C$35,MATCH($B13,'Chấm điểm'!$P$6:$P$35,0)),"")</f>
        <v>Nguyễn Hoàng Long</v>
      </c>
      <c r="D13" s="24"/>
      <c r="E13" s="27" t="str">
        <f t="array" ref="E13">IFERROR(INDEX('Chấm điểm'!$D$6:$D$35,MATCH($B13,'Chấm điểm'!$P$6:$P$35,0)),"")</f>
        <v>Backend Developer</v>
      </c>
      <c r="F13" s="67">
        <f t="array" ref="F13">IFERROR(INDEX('Chấm điểm'!$N$6:$N$35,MATCH($B13,'Chấm điểm'!$P$6:$P$35,0)),"")</f>
        <v>92</v>
      </c>
      <c r="G13" s="68" t="str">
        <f t="array" ref="G13">IFERROR(INDEX('Chấm điểm'!$O$6:$O$35,MATCH($B13,'Chấm điểm'!$P$6:$P$35,0)),"")</f>
        <v>A - Xuất sắc</v>
      </c>
      <c r="H13" s="24"/>
      <c r="I13" s="26" t="str">
        <f t="array" ref="I13">IFERROR(INDEX('Chấm điểm'!$R$6:$R$35,MATCH($B13,'Chấm điểm'!$P$6:$P$35,0)),"")</f>
        <v>Tăng</v>
      </c>
    </row>
    <row r="14" ht="25.5" customHeight="1">
      <c r="B14" s="65">
        <v>2.0</v>
      </c>
      <c r="C14" s="66" t="str">
        <f t="array" ref="C14">IFERROR(INDEX('Chấm điểm'!$C$6:$C$35,MATCH($B14,'Chấm điểm'!$P$6:$P$35,0)),"")</f>
        <v>Phạm Đức Minh</v>
      </c>
      <c r="D14" s="24"/>
      <c r="E14" s="27" t="str">
        <f t="array" ref="E14">IFERROR(INDEX('Chấm điểm'!$D$6:$D$35,MATCH($B14,'Chấm điểm'!$P$6:$P$35,0)),"")</f>
        <v>DevOps Engineer</v>
      </c>
      <c r="F14" s="67">
        <f t="array" ref="F14">IFERROR(INDEX('Chấm điểm'!$N$6:$N$35,MATCH($B14,'Chấm điểm'!$P$6:$P$35,0)),"")</f>
        <v>86</v>
      </c>
      <c r="G14" s="68" t="str">
        <f t="array" ref="G14">IFERROR(INDEX('Chấm điểm'!$O$6:$O$35,MATCH($B14,'Chấm điểm'!$P$6:$P$35,0)),"")</f>
        <v>A - Xuất sắc</v>
      </c>
      <c r="H14" s="24"/>
      <c r="I14" s="26" t="str">
        <f t="array" ref="I14">IFERROR(INDEX('Chấm điểm'!$R$6:$R$35,MATCH($B14,'Chấm điểm'!$P$6:$P$35,0)),"")</f>
        <v>Tăng</v>
      </c>
    </row>
    <row r="15" ht="25.5" customHeight="1">
      <c r="B15" s="65">
        <v>3.0</v>
      </c>
      <c r="C15" s="66" t="str">
        <f t="array" ref="C15">IFERROR(INDEX('Chấm điểm'!$C$6:$C$35,MATCH($B15,'Chấm điểm'!$P$6:$P$35,0)),"")</f>
        <v>Lê Thu Trang</v>
      </c>
      <c r="D15" s="24"/>
      <c r="E15" s="27" t="str">
        <f t="array" ref="E15">IFERROR(INDEX('Chấm điểm'!$D$6:$D$35,MATCH($B15,'Chấm điểm'!$P$6:$P$35,0)),"")</f>
        <v>Frontend Developer</v>
      </c>
      <c r="F15" s="67">
        <f t="array" ref="F15">IFERROR(INDEX('Chấm điểm'!$N$6:$N$35,MATCH($B15,'Chấm điểm'!$P$6:$P$35,0)),"")</f>
        <v>76</v>
      </c>
      <c r="G15" s="68" t="str">
        <f t="array" ref="G15">IFERROR(INDEX('Chấm điểm'!$O$6:$O$35,MATCH($B15,'Chấm điểm'!$P$6:$P$35,0)),"")</f>
        <v>B - Tốt</v>
      </c>
      <c r="H15" s="24"/>
      <c r="I15" s="26" t="str">
        <f t="array" ref="I15">IFERROR(INDEX('Chấm điểm'!$R$6:$R$35,MATCH($B15,'Chấm điểm'!$P$6:$P$35,0)),"")</f>
        <v>Tăng</v>
      </c>
    </row>
    <row r="16" ht="25.5" customHeight="1">
      <c r="B16" s="65">
        <v>4.0</v>
      </c>
      <c r="C16" s="66" t="str">
        <f t="array" ref="C16">IFERROR(INDEX('Chấm điểm'!$C$6:$C$35,MATCH($B16,'Chấm điểm'!$P$6:$P$35,0)),"")</f>
        <v>Vũ Ngọc Anh</v>
      </c>
      <c r="D16" s="24"/>
      <c r="E16" s="27" t="str">
        <f t="array" ref="E16">IFERROR(INDEX('Chấm điểm'!$D$6:$D$35,MATCH($B16,'Chấm điểm'!$P$6:$P$35,0)),"")</f>
        <v>QA / Tester</v>
      </c>
      <c r="F16" s="67">
        <f t="array" ref="F16">IFERROR(INDEX('Chấm điểm'!$N$6:$N$35,MATCH($B16,'Chấm điểm'!$P$6:$P$35,0)),"")</f>
        <v>76</v>
      </c>
      <c r="G16" s="68" t="str">
        <f t="array" ref="G16">IFERROR(INDEX('Chấm điểm'!$O$6:$O$35,MATCH($B16,'Chấm điểm'!$P$6:$P$35,0)),"")</f>
        <v>B - Tốt</v>
      </c>
      <c r="H16" s="24"/>
      <c r="I16" s="26" t="str">
        <f t="array" ref="I16">IFERROR(INDEX('Chấm điểm'!$R$6:$R$35,MATCH($B16,'Chấm điểm'!$P$6:$P$35,0)),"")</f>
        <v>Giảm</v>
      </c>
    </row>
    <row r="17" ht="25.5" customHeight="1">
      <c r="B17" s="65">
        <v>5.0</v>
      </c>
      <c r="C17" s="66" t="str">
        <f t="array" ref="C17">IFERROR(INDEX('Chấm điểm'!$C$6:$C$35,MATCH($B17,'Chấm điểm'!$P$6:$P$35,0)),"")</f>
        <v>Bùi Khánh Linh</v>
      </c>
      <c r="D17" s="24"/>
      <c r="E17" s="27" t="str">
        <f t="array" ref="E17">IFERROR(INDEX('Chấm điểm'!$D$6:$D$35,MATCH($B17,'Chấm điểm'!$P$6:$P$35,0)),"")</f>
        <v>Data Engineer</v>
      </c>
      <c r="F17" s="67">
        <f t="array" ref="F17">IFERROR(INDEX('Chấm điểm'!$N$6:$N$35,MATCH($B17,'Chấm điểm'!$P$6:$P$35,0)),"")</f>
        <v>72</v>
      </c>
      <c r="G17" s="68" t="str">
        <f t="array" ref="G17">IFERROR(INDEX('Chấm điểm'!$O$6:$O$35,MATCH($B17,'Chấm điểm'!$P$6:$P$35,0)),"")</f>
        <v>B - Tốt</v>
      </c>
      <c r="H17" s="24"/>
      <c r="I17" s="26" t="str">
        <f t="array" ref="I17">IFERROR(INDEX('Chấm điểm'!$R$6:$R$35,MATCH($B17,'Chấm điểm'!$P$6:$P$35,0)),"")</f>
        <v/>
      </c>
    </row>
    <row r="18" ht="25.5" customHeight="1">
      <c r="B18" s="65">
        <v>6.0</v>
      </c>
      <c r="C18" s="66" t="str">
        <f t="array" ref="C18">IFERROR(INDEX('Chấm điểm'!$C$6:$C$35,MATCH($B18,'Chấm điểm'!$P$6:$P$35,0)),"")</f>
        <v>Đỗ Thanh Tùng</v>
      </c>
      <c r="D18" s="24"/>
      <c r="E18" s="27" t="str">
        <f t="array" ref="E18">IFERROR(INDEX('Chấm điểm'!$D$6:$D$35,MATCH($B18,'Chấm điểm'!$P$6:$P$35,0)),"")</f>
        <v>Support kỹ thuật</v>
      </c>
      <c r="F18" s="67">
        <f t="array" ref="F18">IFERROR(INDEX('Chấm điểm'!$N$6:$N$35,MATCH($B18,'Chấm điểm'!$P$6:$P$35,0)),"")</f>
        <v>64</v>
      </c>
      <c r="G18" s="68" t="str">
        <f t="array" ref="G18">IFERROR(INDEX('Chấm điểm'!$O$6:$O$35,MATCH($B18,'Chấm điểm'!$P$6:$P$35,0)),"")</f>
        <v>C - Đạt yêu cầu</v>
      </c>
      <c r="H18" s="24"/>
      <c r="I18" s="26" t="str">
        <f t="array" ref="I18">IFERROR(INDEX('Chấm điểm'!$R$6:$R$35,MATCH($B18,'Chấm điểm'!$P$6:$P$35,0)),"")</f>
        <v>Tăng</v>
      </c>
    </row>
    <row r="19" ht="25.5" customHeight="1">
      <c r="B19" s="65">
        <v>7.0</v>
      </c>
      <c r="C19" s="66" t="str">
        <f t="array" ref="C19">IFERROR(INDEX('Chấm điểm'!$C$6:$C$35,MATCH($B19,'Chấm điểm'!$P$6:$P$35,0)),"")</f>
        <v>Ngô Mai Phương</v>
      </c>
      <c r="D19" s="24"/>
      <c r="E19" s="27" t="str">
        <f t="array" ref="E19">IFERROR(INDEX('Chấm điểm'!$D$6:$D$35,MATCH($B19,'Chấm điểm'!$P$6:$P$35,0)),"")</f>
        <v>QA / Tester</v>
      </c>
      <c r="F19" s="67">
        <f t="array" ref="F19">IFERROR(INDEX('Chấm điểm'!$N$6:$N$35,MATCH($B19,'Chấm điểm'!$P$6:$P$35,0)),"")</f>
        <v>61</v>
      </c>
      <c r="G19" s="68" t="str">
        <f t="array" ref="G19">IFERROR(INDEX('Chấm điểm'!$O$6:$O$35,MATCH($B19,'Chấm điểm'!$P$6:$P$35,0)),"")</f>
        <v>C - Đạt yêu cầu</v>
      </c>
      <c r="H19" s="24"/>
      <c r="I19" s="26" t="str">
        <f t="array" ref="I19">IFERROR(INDEX('Chấm điểm'!$R$6:$R$35,MATCH($B19,'Chấm điểm'!$P$6:$P$35,0)),"")</f>
        <v>Tăng</v>
      </c>
    </row>
    <row r="20" ht="25.5" customHeight="1">
      <c r="B20" s="65">
        <v>8.0</v>
      </c>
      <c r="C20" s="66" t="str">
        <f t="array" ref="C20">IFERROR(INDEX('Chấm điểm'!$C$6:$C$35,MATCH($B20,'Chấm điểm'!$P$6:$P$35,0)),"")</f>
        <v>Hoàng Gia Bảo</v>
      </c>
      <c r="D20" s="24"/>
      <c r="E20" s="27" t="str">
        <f t="array" ref="E20">IFERROR(INDEX('Chấm điểm'!$D$6:$D$35,MATCH($B20,'Chấm điểm'!$P$6:$P$35,0)),"")</f>
        <v>Backend Developer</v>
      </c>
      <c r="F20" s="67">
        <f t="array" ref="F20">IFERROR(INDEX('Chấm điểm'!$N$6:$N$35,MATCH($B20,'Chấm điểm'!$P$6:$P$35,0)),"")</f>
        <v>49</v>
      </c>
      <c r="G20" s="68" t="str">
        <f t="array" ref="G20">IFERROR(INDEX('Chấm điểm'!$O$6:$O$35,MATCH($B20,'Chấm điểm'!$P$6:$P$35,0)),"")</f>
        <v>D - Cần cải thiện</v>
      </c>
      <c r="H20" s="24"/>
      <c r="I20" s="26" t="str">
        <f t="array" ref="I20">IFERROR(INDEX('Chấm điểm'!$R$6:$R$35,MATCH($B20,'Chấm điểm'!$P$6:$P$35,0)),"")</f>
        <v>Giảm</v>
      </c>
    </row>
    <row r="21" ht="25.5" customHeight="1">
      <c r="B21" s="65">
        <v>9.0</v>
      </c>
      <c r="C21" s="66" t="str">
        <f t="array" ref="C21">IFERROR(INDEX('Chấm điểm'!$C$6:$C$35,MATCH($B21,'Chấm điểm'!$P$6:$P$35,0)),"")</f>
        <v/>
      </c>
      <c r="D21" s="24"/>
      <c r="E21" s="27" t="str">
        <f t="array" ref="E21">IFERROR(INDEX('Chấm điểm'!$D$6:$D$35,MATCH($B21,'Chấm điểm'!$P$6:$P$35,0)),"")</f>
        <v/>
      </c>
      <c r="F21" s="67" t="str">
        <f t="array" ref="F21">IFERROR(INDEX('Chấm điểm'!$N$6:$N$35,MATCH($B21,'Chấm điểm'!$P$6:$P$35,0)),"")</f>
        <v/>
      </c>
      <c r="G21" s="68" t="str">
        <f t="array" ref="G21">IFERROR(INDEX('Chấm điểm'!$O$6:$O$35,MATCH($B21,'Chấm điểm'!$P$6:$P$35,0)),"")</f>
        <v/>
      </c>
      <c r="H21" s="24"/>
      <c r="I21" s="26" t="str">
        <f t="array" ref="I21">IFERROR(INDEX('Chấm điểm'!$R$6:$R$35,MATCH($B21,'Chấm điểm'!$P$6:$P$35,0)),"")</f>
        <v/>
      </c>
    </row>
    <row r="22" ht="25.5" customHeight="1">
      <c r="B22" s="65">
        <v>10.0</v>
      </c>
      <c r="C22" s="66" t="str">
        <f t="array" ref="C22">IFERROR(INDEX('Chấm điểm'!$C$6:$C$35,MATCH($B22,'Chấm điểm'!$P$6:$P$35,0)),"")</f>
        <v/>
      </c>
      <c r="D22" s="24"/>
      <c r="E22" s="27" t="str">
        <f t="array" ref="E22">IFERROR(INDEX('Chấm điểm'!$D$6:$D$35,MATCH($B22,'Chấm điểm'!$P$6:$P$35,0)),"")</f>
        <v/>
      </c>
      <c r="F22" s="67" t="str">
        <f t="array" ref="F22">IFERROR(INDEX('Chấm điểm'!$N$6:$N$35,MATCH($B22,'Chấm điểm'!$P$6:$P$35,0)),"")</f>
        <v/>
      </c>
      <c r="G22" s="68" t="str">
        <f t="array" ref="G22">IFERROR(INDEX('Chấm điểm'!$O$6:$O$35,MATCH($B22,'Chấm điểm'!$P$6:$P$35,0)),"")</f>
        <v/>
      </c>
      <c r="H22" s="24"/>
      <c r="I22" s="26" t="str">
        <f t="array" ref="I22">IFERROR(INDEX('Chấm điểm'!$R$6:$R$35,MATCH($B22,'Chấm điểm'!$P$6:$P$35,0)),"")</f>
        <v/>
      </c>
    </row>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24.0" customHeight="1">
      <c r="B44" s="8" t="s">
        <v>188</v>
      </c>
      <c r="C44" s="17"/>
      <c r="D44" s="17"/>
      <c r="E44" s="17"/>
      <c r="F44" s="17"/>
      <c r="G44" s="17"/>
      <c r="H44" s="17"/>
      <c r="I44" s="9"/>
    </row>
    <row r="45" ht="27.75" customHeight="1">
      <c r="B45" s="63" t="s">
        <v>122</v>
      </c>
      <c r="C45" s="29"/>
      <c r="D45" s="24"/>
      <c r="E45" s="10" t="s">
        <v>189</v>
      </c>
      <c r="F45" s="10" t="s">
        <v>190</v>
      </c>
    </row>
    <row r="46" ht="25.5" customHeight="1">
      <c r="B46" s="66" t="str">
        <f>'Cấu hình'!B35</f>
        <v>A - Xuất sắc</v>
      </c>
      <c r="C46" s="29"/>
      <c r="D46" s="24"/>
      <c r="E46" s="26">
        <f>COUNTIF('Chấm điểm'!$O$6:$O$35,$B46)</f>
        <v>2</v>
      </c>
      <c r="F46" s="32">
        <f>IF(COUNT('Chấm điểm'!$N$6:$N$35)=0,0,E46/COUNT('Chấm điểm'!$N$6:$N$35))</f>
        <v>0.25</v>
      </c>
    </row>
    <row r="47" ht="25.5" customHeight="1">
      <c r="B47" s="66" t="str">
        <f>'Cấu hình'!B34</f>
        <v>B - Tốt</v>
      </c>
      <c r="C47" s="29"/>
      <c r="D47" s="24"/>
      <c r="E47" s="26">
        <f>COUNTIF('Chấm điểm'!$O$6:$O$35,$B47)</f>
        <v>3</v>
      </c>
      <c r="F47" s="32">
        <f>IF(COUNT('Chấm điểm'!$N$6:$N$35)=0,0,E47/COUNT('Chấm điểm'!$N$6:$N$35))</f>
        <v>0.375</v>
      </c>
    </row>
    <row r="48" ht="25.5" customHeight="1">
      <c r="B48" s="66" t="str">
        <f>'Cấu hình'!B33</f>
        <v>C - Đạt yêu cầu</v>
      </c>
      <c r="C48" s="29"/>
      <c r="D48" s="24"/>
      <c r="E48" s="26">
        <f>COUNTIF('Chấm điểm'!$O$6:$O$35,$B48)</f>
        <v>2</v>
      </c>
      <c r="F48" s="32">
        <f>IF(COUNT('Chấm điểm'!$N$6:$N$35)=0,0,E48/COUNT('Chấm điểm'!$N$6:$N$35))</f>
        <v>0.25</v>
      </c>
    </row>
    <row r="49" ht="25.5" customHeight="1">
      <c r="B49" s="66" t="str">
        <f>'Cấu hình'!B32</f>
        <v>D - Cần cải thiện</v>
      </c>
      <c r="C49" s="29"/>
      <c r="D49" s="24"/>
      <c r="E49" s="26">
        <f>COUNTIF('Chấm điểm'!$O$6:$O$35,$B49)</f>
        <v>1</v>
      </c>
      <c r="F49" s="32">
        <f>IF(COUNT('Chấm điểm'!$N$6:$N$35)=0,0,E49/COUNT('Chấm điểm'!$N$6:$N$35))</f>
        <v>0.125</v>
      </c>
    </row>
    <row r="50" ht="25.5" customHeight="1">
      <c r="B50" s="72" t="s">
        <v>171</v>
      </c>
      <c r="C50" s="29"/>
      <c r="D50" s="24"/>
      <c r="E50" s="55">
        <f t="shared" ref="E50:F50" si="1">SUM(E46:E49)</f>
        <v>8</v>
      </c>
      <c r="F50" s="34">
        <f t="shared" si="1"/>
        <v>1</v>
      </c>
    </row>
    <row r="51" ht="15.75" customHeight="1"/>
    <row r="52" ht="24.0" customHeight="1">
      <c r="B52" s="8" t="s">
        <v>191</v>
      </c>
      <c r="C52" s="17"/>
      <c r="D52" s="17"/>
      <c r="E52" s="17"/>
      <c r="F52" s="17"/>
      <c r="G52" s="17"/>
      <c r="H52" s="17"/>
      <c r="I52" s="9"/>
    </row>
    <row r="53" ht="27.75" customHeight="1">
      <c r="B53" s="63" t="s">
        <v>159</v>
      </c>
      <c r="C53" s="29"/>
      <c r="D53" s="24"/>
      <c r="E53" s="10" t="s">
        <v>64</v>
      </c>
      <c r="F53" s="10" t="s">
        <v>168</v>
      </c>
    </row>
    <row r="54" ht="25.5" customHeight="1">
      <c r="B54" s="66" t="str">
        <f>IF('Cấu hình'!$B$12="","",'Cấu hình'!$B$12)</f>
        <v>Chuyên môn kỹ thuật</v>
      </c>
      <c r="C54" s="29"/>
      <c r="D54" s="24"/>
      <c r="E54" s="32">
        <f>IF($B54="","",'Cấu hình'!$C$12)</f>
        <v>0.2</v>
      </c>
      <c r="F54" s="47">
        <f>IF($B54="","",IFERROR(AVERAGE('Chấm điểm'!$F$6:$F$35),""))</f>
        <v>3.75</v>
      </c>
    </row>
    <row r="55" ht="25.5" customHeight="1">
      <c r="B55" s="66" t="str">
        <f>IF('Cấu hình'!$B$13="","",'Cấu hình'!$B$13)</f>
        <v>Chất lượng công việc</v>
      </c>
      <c r="C55" s="29"/>
      <c r="D55" s="24"/>
      <c r="E55" s="32">
        <f>IF($B55="","",'Cấu hình'!$C$13)</f>
        <v>0.2</v>
      </c>
      <c r="F55" s="47">
        <f>IF($B55="","",IFERROR(AVERAGE('Chấm điểm'!$G$6:$G$35),""))</f>
        <v>3.625</v>
      </c>
    </row>
    <row r="56" ht="25.5" customHeight="1">
      <c r="B56" s="66" t="str">
        <f>IF('Cấu hình'!$B$14="","",'Cấu hình'!$B$14)</f>
        <v>Tiến độ và hiệu suất</v>
      </c>
      <c r="C56" s="29"/>
      <c r="D56" s="24"/>
      <c r="E56" s="32">
        <f>IF($B56="","",'Cấu hình'!$C$14)</f>
        <v>0.15</v>
      </c>
      <c r="F56" s="47">
        <f>IF($B56="","",IFERROR(AVERAGE('Chấm điểm'!$H$6:$H$35),""))</f>
        <v>3.375</v>
      </c>
    </row>
    <row r="57" ht="25.5" customHeight="1">
      <c r="B57" s="66" t="str">
        <f>IF('Cấu hình'!$B$15="","",'Cấu hình'!$B$15)</f>
        <v>Giải quyết vấn đề, xử lý sự cố</v>
      </c>
      <c r="C57" s="29"/>
      <c r="D57" s="24"/>
      <c r="E57" s="32">
        <f>IF($B57="","",'Cấu hình'!$C$15)</f>
        <v>0.15</v>
      </c>
      <c r="F57" s="47">
        <f>IF($B57="","",IFERROR(AVERAGE('Chấm điểm'!$I$6:$I$35),""))</f>
        <v>3.5</v>
      </c>
    </row>
    <row r="58" ht="25.5" customHeight="1">
      <c r="B58" s="66" t="str">
        <f>IF('Cấu hình'!$B$16="","",'Cấu hình'!$B$16)</f>
        <v>Học hỏi và cải tiến</v>
      </c>
      <c r="C58" s="29"/>
      <c r="D58" s="24"/>
      <c r="E58" s="32">
        <f>IF($B58="","",'Cấu hình'!$C$16)</f>
        <v>0.1</v>
      </c>
      <c r="F58" s="47">
        <f>IF($B58="","",IFERROR(AVERAGE('Chấm điểm'!$J$6:$J$35),""))</f>
        <v>3.75</v>
      </c>
    </row>
    <row r="59" ht="25.5" customHeight="1">
      <c r="B59" s="66" t="str">
        <f>IF('Cấu hình'!$B$17="","",'Cấu hình'!$B$17)</f>
        <v>Làm việc nhóm và giao tiếp</v>
      </c>
      <c r="C59" s="29"/>
      <c r="D59" s="24"/>
      <c r="E59" s="32">
        <f>IF($B59="","",'Cấu hình'!$C$17)</f>
        <v>0.1</v>
      </c>
      <c r="F59" s="47">
        <f>IF($B59="","",IFERROR(AVERAGE('Chấm điểm'!$K$6:$K$35),""))</f>
        <v>3.625</v>
      </c>
    </row>
    <row r="60" ht="25.5" customHeight="1">
      <c r="B60" s="66" t="str">
        <f>IF('Cấu hình'!$B$18="","",'Cấu hình'!$B$18)</f>
        <v>Tuân thủ quy trình, bảo mật</v>
      </c>
      <c r="C60" s="29"/>
      <c r="D60" s="24"/>
      <c r="E60" s="32">
        <f>IF($B60="","",'Cấu hình'!$C$18)</f>
        <v>0.05</v>
      </c>
      <c r="F60" s="47">
        <f>IF($B60="","",IFERROR(AVERAGE('Chấm điểm'!$L$6:$L$35),""))</f>
        <v>3.875</v>
      </c>
    </row>
    <row r="61" ht="25.5" customHeight="1">
      <c r="B61" s="66" t="str">
        <f>IF('Cấu hình'!$B$19="","",'Cấu hình'!$B$19)</f>
        <v>Tài liệu và chia sẻ kiến thức</v>
      </c>
      <c r="C61" s="29"/>
      <c r="D61" s="24"/>
      <c r="E61" s="32">
        <f>IF($B61="","",'Cấu hình'!$C$19)</f>
        <v>0.05</v>
      </c>
      <c r="F61" s="47">
        <f>IF($B61="","",IFERROR(AVERAGE('Chấm điểm'!$M$6:$M$35),""))</f>
        <v>3.25</v>
      </c>
    </row>
    <row r="62" ht="21.75" customHeight="1">
      <c r="B62" s="14" t="s">
        <v>192</v>
      </c>
    </row>
    <row r="63" ht="15.75" customHeight="1"/>
    <row r="64" ht="24.0" customHeight="1">
      <c r="B64" s="8" t="s">
        <v>193</v>
      </c>
      <c r="C64" s="17"/>
      <c r="D64" s="17"/>
      <c r="E64" s="17"/>
      <c r="F64" s="17"/>
      <c r="G64" s="17"/>
      <c r="H64" s="17"/>
      <c r="I64" s="9"/>
    </row>
    <row r="65" ht="27.75" customHeight="1">
      <c r="B65" s="63" t="s">
        <v>12</v>
      </c>
      <c r="C65" s="29"/>
      <c r="D65" s="24"/>
      <c r="E65" s="10" t="s">
        <v>189</v>
      </c>
      <c r="F65" s="10" t="s">
        <v>168</v>
      </c>
    </row>
    <row r="66" ht="25.5" customHeight="1">
      <c r="B66" s="66" t="str">
        <f>IF('Cấu hình'!$B$40="","",'Cấu hình'!$B$40)</f>
        <v>Backend Developer</v>
      </c>
      <c r="C66" s="29"/>
      <c r="D66" s="24"/>
      <c r="E66" s="26">
        <f>IF($B66="","",SUMPRODUCT(('Chấm điểm'!$D$6:$D$35=$B66)*ISNUMBER('Chấm điểm'!$N$6:$N$35)))</f>
        <v>2</v>
      </c>
      <c r="F66" s="47">
        <f>IF(OR($B66="",$E66=0),"",AVERAGEIF('Chấm điểm'!$D$6:$D$35,$B66,'Chấm điểm'!$N$6:$N$35))</f>
        <v>70.5</v>
      </c>
    </row>
    <row r="67" ht="25.5" customHeight="1">
      <c r="B67" s="66" t="str">
        <f>IF('Cấu hình'!$B$41="","",'Cấu hình'!$B$41)</f>
        <v>Frontend Developer</v>
      </c>
      <c r="C67" s="29"/>
      <c r="D67" s="24"/>
      <c r="E67" s="26">
        <f>IF($B67="","",SUMPRODUCT(('Chấm điểm'!$D$6:$D$35=$B67)*ISNUMBER('Chấm điểm'!$N$6:$N$35)))</f>
        <v>1</v>
      </c>
      <c r="F67" s="47">
        <f>IF(OR($B67="",$E67=0),"",AVERAGEIF('Chấm điểm'!$D$6:$D$35,$B67,'Chấm điểm'!$N$6:$N$35))</f>
        <v>76</v>
      </c>
    </row>
    <row r="68" ht="25.5" customHeight="1">
      <c r="B68" s="66" t="str">
        <f>IF('Cấu hình'!$B$42="","",'Cấu hình'!$B$42)</f>
        <v>DevOps Engineer</v>
      </c>
      <c r="C68" s="29"/>
      <c r="D68" s="24"/>
      <c r="E68" s="26">
        <f>IF($B68="","",SUMPRODUCT(('Chấm điểm'!$D$6:$D$35=$B68)*ISNUMBER('Chấm điểm'!$N$6:$N$35)))</f>
        <v>1</v>
      </c>
      <c r="F68" s="47">
        <f>IF(OR($B68="",$E68=0),"",AVERAGEIF('Chấm điểm'!$D$6:$D$35,$B68,'Chấm điểm'!$N$6:$N$35))</f>
        <v>86</v>
      </c>
    </row>
    <row r="69" ht="25.5" customHeight="1">
      <c r="B69" s="66" t="str">
        <f>IF('Cấu hình'!$B$43="","",'Cấu hình'!$B$43)</f>
        <v>QA / Tester</v>
      </c>
      <c r="C69" s="29"/>
      <c r="D69" s="24"/>
      <c r="E69" s="26">
        <f>IF($B69="","",SUMPRODUCT(('Chấm điểm'!$D$6:$D$35=$B69)*ISNUMBER('Chấm điểm'!$N$6:$N$35)))</f>
        <v>2</v>
      </c>
      <c r="F69" s="47">
        <f>IF(OR($B69="",$E69=0),"",AVERAGEIF('Chấm điểm'!$D$6:$D$35,$B69,'Chấm điểm'!$N$6:$N$35))</f>
        <v>68.5</v>
      </c>
    </row>
    <row r="70" ht="25.5" customHeight="1">
      <c r="B70" s="66" t="str">
        <f>IF('Cấu hình'!$B$44="","",'Cấu hình'!$B$44)</f>
        <v>Data Engineer</v>
      </c>
      <c r="C70" s="29"/>
      <c r="D70" s="24"/>
      <c r="E70" s="26">
        <f>IF($B70="","",SUMPRODUCT(('Chấm điểm'!$D$6:$D$35=$B70)*ISNUMBER('Chấm điểm'!$N$6:$N$35)))</f>
        <v>1</v>
      </c>
      <c r="F70" s="47">
        <f>IF(OR($B70="",$E70=0),"",AVERAGEIF('Chấm điểm'!$D$6:$D$35,$B70,'Chấm điểm'!$N$6:$N$35))</f>
        <v>72</v>
      </c>
    </row>
    <row r="71" ht="25.5" customHeight="1">
      <c r="B71" s="66" t="str">
        <f>IF('Cấu hình'!$B$45="","",'Cấu hình'!$B$45)</f>
        <v>Support kỹ thuật</v>
      </c>
      <c r="C71" s="29"/>
      <c r="D71" s="24"/>
      <c r="E71" s="26">
        <f>IF($B71="","",SUMPRODUCT(('Chấm điểm'!$D$6:$D$35=$B71)*ISNUMBER('Chấm điểm'!$N$6:$N$35)))</f>
        <v>1</v>
      </c>
      <c r="F71" s="47">
        <f>IF(OR($B71="",$E71=0),"",AVERAGEIF('Chấm điểm'!$D$6:$D$35,$B71,'Chấm điểm'!$N$6:$N$35))</f>
        <v>64</v>
      </c>
    </row>
    <row r="72" ht="25.5" customHeight="1">
      <c r="B72" s="66" t="str">
        <f>IF('Cấu hình'!$B$46="","",'Cấu hình'!$B$46)</f>
        <v>Quản trị hệ thống</v>
      </c>
      <c r="C72" s="29"/>
      <c r="D72" s="24"/>
      <c r="E72" s="26">
        <f>IF($B72="","",SUMPRODUCT(('Chấm điểm'!$D$6:$D$35=$B72)*ISNUMBER('Chấm điểm'!$N$6:$N$35)))</f>
        <v>0</v>
      </c>
      <c r="F72" s="47" t="str">
        <f>IF(OR($B72="",$E72=0),"",AVERAGEIF('Chấm điểm'!$D$6:$D$35,$B72,'Chấm điểm'!$N$6:$N$35))</f>
        <v/>
      </c>
    </row>
    <row r="73" ht="25.5" customHeight="1">
      <c r="B73" s="66" t="str">
        <f>IF('Cấu hình'!$B$47="","",'Cấu hình'!$B$47)</f>
        <v>Kiến trúc sư giải pháp</v>
      </c>
      <c r="C73" s="29"/>
      <c r="D73" s="24"/>
      <c r="E73" s="26">
        <f>IF($B73="","",SUMPRODUCT(('Chấm điểm'!$D$6:$D$35=$B73)*ISNUMBER('Chấm điểm'!$N$6:$N$35)))</f>
        <v>0</v>
      </c>
      <c r="F73" s="47" t="str">
        <f>IF(OR($B73="",$E73=0),"",AVERAGEIF('Chấm điểm'!$D$6:$D$35,$B73,'Chấm điểm'!$N$6:$N$35))</f>
        <v/>
      </c>
    </row>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70">
    <mergeCell ref="G20:H20"/>
    <mergeCell ref="G21:H21"/>
    <mergeCell ref="G22:H22"/>
    <mergeCell ref="B44:I44"/>
    <mergeCell ref="B45:D45"/>
    <mergeCell ref="B46:D46"/>
    <mergeCell ref="B47:D47"/>
    <mergeCell ref="B48:D48"/>
    <mergeCell ref="B49:D49"/>
    <mergeCell ref="B50:D50"/>
    <mergeCell ref="B52:I52"/>
    <mergeCell ref="B53:D53"/>
    <mergeCell ref="B54:D54"/>
    <mergeCell ref="B55:D55"/>
    <mergeCell ref="B56:D56"/>
    <mergeCell ref="B57:D57"/>
    <mergeCell ref="B58:D58"/>
    <mergeCell ref="B59:D59"/>
    <mergeCell ref="B60:D60"/>
    <mergeCell ref="B61:D61"/>
    <mergeCell ref="B62:I62"/>
    <mergeCell ref="B64:I64"/>
    <mergeCell ref="B65:D65"/>
    <mergeCell ref="B66:D66"/>
    <mergeCell ref="B67:D67"/>
    <mergeCell ref="B68:D68"/>
    <mergeCell ref="B69:D69"/>
    <mergeCell ref="B70:D70"/>
    <mergeCell ref="B1:I1"/>
    <mergeCell ref="B2:I2"/>
    <mergeCell ref="B4:I4"/>
    <mergeCell ref="B5:C5"/>
    <mergeCell ref="D5:E5"/>
    <mergeCell ref="F5:G5"/>
    <mergeCell ref="H5:I5"/>
    <mergeCell ref="B6:C6"/>
    <mergeCell ref="D6:E6"/>
    <mergeCell ref="F6:G6"/>
    <mergeCell ref="H6:I6"/>
    <mergeCell ref="D8:E8"/>
    <mergeCell ref="F8:G8"/>
    <mergeCell ref="H8:I8"/>
    <mergeCell ref="B8:C8"/>
    <mergeCell ref="B9:C9"/>
    <mergeCell ref="D9:E9"/>
    <mergeCell ref="F9:G9"/>
    <mergeCell ref="H9:I9"/>
    <mergeCell ref="B11:I11"/>
    <mergeCell ref="G12:H12"/>
    <mergeCell ref="C19:D19"/>
    <mergeCell ref="C20:D20"/>
    <mergeCell ref="C21:D21"/>
    <mergeCell ref="C22:D22"/>
    <mergeCell ref="C12:D12"/>
    <mergeCell ref="C13:D13"/>
    <mergeCell ref="C14:D14"/>
    <mergeCell ref="C15:D15"/>
    <mergeCell ref="C16:D16"/>
    <mergeCell ref="C17:D17"/>
    <mergeCell ref="C18:D18"/>
    <mergeCell ref="G13:H13"/>
    <mergeCell ref="G14:H14"/>
    <mergeCell ref="G15:H15"/>
    <mergeCell ref="G16:H16"/>
    <mergeCell ref="G17:H17"/>
    <mergeCell ref="G18:H18"/>
    <mergeCell ref="G19:H19"/>
    <mergeCell ref="B71:D71"/>
    <mergeCell ref="B72:D72"/>
    <mergeCell ref="B73:D73"/>
  </mergeCells>
  <conditionalFormatting sqref="G13:G22">
    <cfRule type="expression" dxfId="0" priority="1">
      <formula>LEFT($G13,1)="A"</formula>
    </cfRule>
  </conditionalFormatting>
  <conditionalFormatting sqref="G13:G22">
    <cfRule type="expression" dxfId="2" priority="2">
      <formula>LEFT($G13,1)="B"</formula>
    </cfRule>
  </conditionalFormatting>
  <conditionalFormatting sqref="G13:G22">
    <cfRule type="expression" dxfId="1" priority="3">
      <formula>LEFT($G13,1)="C"</formula>
    </cfRule>
  </conditionalFormatting>
  <conditionalFormatting sqref="G13:G22">
    <cfRule type="expression" dxfId="3" priority="4">
      <formula>LEFT($G13,1)="D"</formula>
    </cfRule>
  </conditionalFormatting>
  <conditionalFormatting sqref="I13:I22">
    <cfRule type="cellIs" dxfId="4" priority="5" operator="equal">
      <formula>"Tăng"</formula>
    </cfRule>
  </conditionalFormatting>
  <conditionalFormatting sqref="I13:I22">
    <cfRule type="cellIs" dxfId="5" priority="6" operator="equal">
      <formula>"Giảm"</formula>
    </cfRule>
  </conditionalFormatting>
  <printOptions/>
  <pageMargins bottom="1.0" footer="0.0" header="0.0" left="0.75" right="0.75" top="1.0"/>
  <pageSetup fitToHeight="0" orientation="portrait"/>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2026-10-30T08:50:02Z</dcterms:created>
  <dc:creator>openpyxl</dc:creator>
</cp:coreProperties>
</file>

<file path=docProps/custom.xml><?xml version="1.0" encoding="utf-8"?>
<Properties xmlns="http://schemas.openxmlformats.org/officeDocument/2006/custom-properties" xmlns:vt="http://schemas.openxmlformats.org/officeDocument/2006/docPropsVTypes"/>
</file>