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ổng quan" sheetId="1" r:id="rId4"/>
    <sheet state="visible" name="Danh mục thiết bị" sheetId="2" r:id="rId5"/>
    <sheet state="visible" name="Kế hoạch định kỳ" sheetId="3" r:id="rId6"/>
    <sheet state="visible" name="Lịch bảo trì năm" sheetId="4" r:id="rId7"/>
    <sheet state="visible" name="Nhật ký bảo trì" sheetId="5" r:id="rId8"/>
    <sheet state="visible" name="Cài đặt" sheetId="6" r:id="rId9"/>
  </sheets>
  <definedNames/>
  <calcPr/>
  <extLst>
    <ext uri="GoogleSheetsCustomDataVersion2">
      <go:sheetsCustomData xmlns:go="http://customooxmlschemas.google.com/" r:id="rId10" roundtripDataChecksum="zmH5ZpCongCEHItZBLuDc46yztzV+2y9l4D54s1oWfk="/>
    </ext>
  </extLst>
</workbook>
</file>

<file path=xl/sharedStrings.xml><?xml version="1.0" encoding="utf-8"?>
<sst xmlns="http://schemas.openxmlformats.org/spreadsheetml/2006/main" count="965" uniqueCount="364">
  <si>
    <t>KẾ HOẠCH BẢO TRÌ ĐỊNH KỲ</t>
  </si>
  <si>
    <t>LỊCH BẢO TRÌ NĂM</t>
  </si>
  <si>
    <t>DANH MỤC THIẾT BỊ</t>
  </si>
  <si>
    <t>Nhập thông tin thiết bị một lần. Cột chữ đen tự lấy dữ liệu từ kế hoạch định kỳ và nhật ký bảo trì.</t>
  </si>
  <si>
    <t>Mỗi dòng là một hạng mục lặp lại. Ngày đến hạn kế tiếp = lần thực hiện gần nhất (lấy từ Nhật ký bảo trì) + chu kỳ.</t>
  </si>
  <si>
    <t>THÔNG TIN THIẾT BỊ</t>
  </si>
  <si>
    <t>CÔNG VIỆC BẢO TRÌ</t>
  </si>
  <si>
    <t>CHU KỲ VÀ LỊCH (TỰ ĐỘNG)</t>
  </si>
  <si>
    <t>TÌNH TRẠNG BẢO TRÌ (TỰ ĐỘNG)</t>
  </si>
  <si>
    <t>SỰ CỐ VÀ CHI PHÍ TRONG NĂM (TỰ ĐỘNG)</t>
  </si>
  <si>
    <t>NGUỒN LỰC VÀ CHI PHÍ</t>
  </si>
  <si>
    <t>BẢO HÀNH</t>
  </si>
  <si>
    <t>GHI CHÚ VÀ CỘT HỖ TRỢ</t>
  </si>
  <si>
    <t>STT</t>
  </si>
  <si>
    <t>Mã CV</t>
  </si>
  <si>
    <t>Mã thiết bị</t>
  </si>
  <si>
    <t>Mã công việc</t>
  </si>
  <si>
    <t>Tên thiết bị</t>
  </si>
  <si>
    <t>Nhóm thiết bị</t>
  </si>
  <si>
    <t>Khu vực / vị trí</t>
  </si>
  <si>
    <t>Hãng / Model</t>
  </si>
  <si>
    <t>Thiết bị</t>
  </si>
  <si>
    <t>Số serial</t>
  </si>
  <si>
    <t>Hạng mục bảo trì</t>
  </si>
  <si>
    <t>Ngày đưa vào sử dụng</t>
  </si>
  <si>
    <t>Mức độ quan trọng</t>
  </si>
  <si>
    <t>Chu kỳ</t>
  </si>
  <si>
    <t>Tình trạng</t>
  </si>
  <si>
    <t>Bảo hành đến</t>
  </si>
  <si>
    <t>Loại hạng mục</t>
  </si>
  <si>
    <t>Người phụ trách thiết bị</t>
  </si>
  <si>
    <t>Nhà cung cấp / dịch vụ</t>
  </si>
  <si>
    <t>Số hạng mục định kỳ</t>
  </si>
  <si>
    <t>Chu kỳ tùy chỉnh (ngày)</t>
  </si>
  <si>
    <t>Lần bảo trì gần nhất</t>
  </si>
  <si>
    <t>Hạn bảo trì gần nhất</t>
  </si>
  <si>
    <t>Chu kỳ áp dụng (ngày)</t>
  </si>
  <si>
    <t>Còn lại (ngày)</t>
  </si>
  <si>
    <t>Tình trạng bảo trì</t>
  </si>
  <si>
    <t>Ngày áp dụng lần đầu</t>
  </si>
  <si>
    <t>Số sự cố trong năm</t>
  </si>
  <si>
    <t>Giờ dừng máy trong năm</t>
  </si>
  <si>
    <t>Lần thực hiện gần nhất</t>
  </si>
  <si>
    <t>Giờ sửa chữa TB / sự cố</t>
  </si>
  <si>
    <t>Chi phí bảo trì trong năm (VNĐ)</t>
  </si>
  <si>
    <t>Ngày đến hạn kế tiếp</t>
  </si>
  <si>
    <t>Cảnh báo bảo hành</t>
  </si>
  <si>
    <t>Ghi chú</t>
  </si>
  <si>
    <t>Cảnh báo</t>
  </si>
  <si>
    <t>Thời gian dự kiến (giờ)</t>
  </si>
  <si>
    <t>Người phụ trách</t>
  </si>
  <si>
    <t>Vật tư / phụ tùng cần chuẩn bị</t>
  </si>
  <si>
    <t>Chi phí dự kiến mỗi lần (VNĐ)</t>
  </si>
  <si>
    <t>Số lần / năm (ước tính)</t>
  </si>
  <si>
    <t>Chi phí dự kiến cả năm (VNĐ)</t>
  </si>
  <si>
    <t>Hạn (số – hỗ trợ)</t>
  </si>
  <si>
    <t>Chu kỳ (số – hỗ trợ)</t>
  </si>
  <si>
    <t>Sắp xếp khẩn (hỗ trợ)</t>
  </si>
  <si>
    <t>TB001</t>
  </si>
  <si>
    <t>Máy in Flexo 6 màu</t>
  </si>
  <si>
    <t>KH001</t>
  </si>
  <si>
    <t>Máy sản xuất</t>
  </si>
  <si>
    <t>Xưởng 1</t>
  </si>
  <si>
    <t>HanTech FX-600</t>
  </si>
  <si>
    <t>FX6-2019-014</t>
  </si>
  <si>
    <t>A – Rất quan trọng</t>
  </si>
  <si>
    <t>Đang hoạt động</t>
  </si>
  <si>
    <t>Trần Quốc Bảo</t>
  </si>
  <si>
    <t>Công ty HanTech Việt Nam</t>
  </si>
  <si>
    <t>Vệ sinh, bôi trơn trục in và con lăn</t>
  </si>
  <si>
    <t>Vệ sinh – bôi trơn</t>
  </si>
  <si>
    <t>Hằng tháng</t>
  </si>
  <si>
    <t>Đã làm trong năm</t>
  </si>
  <si>
    <t>Kế hoạch còn lại</t>
  </si>
  <si>
    <t>Hoàng Văn Sơn</t>
  </si>
  <si>
    <t>Mỡ bôi trơn, giẻ lau</t>
  </si>
  <si>
    <t>KH002</t>
  </si>
  <si>
    <t>Kiểm tra dao gạt mực, thay nếu mòn</t>
  </si>
  <si>
    <t>Kiểm tra</t>
  </si>
  <si>
    <t>Hằng quý</t>
  </si>
  <si>
    <t>TB002</t>
  </si>
  <si>
    <t>Máy cắt thành phẩm tự động</t>
  </si>
  <si>
    <t>CutMaster CM-320</t>
  </si>
  <si>
    <t>CM320-2020-088</t>
  </si>
  <si>
    <t>B – Quan trọng</t>
  </si>
  <si>
    <t>Công ty CutMaster</t>
  </si>
  <si>
    <t>Dao gạt mực dự phòng</t>
  </si>
  <si>
    <t>KH003</t>
  </si>
  <si>
    <t>Bảo dưỡng tổng thể máy in Flexo</t>
  </si>
  <si>
    <t>Bảo dưỡng tổng thể</t>
  </si>
  <si>
    <t>Hằng năm</t>
  </si>
  <si>
    <t>Bộ vòng bi, dầu thủy lực</t>
  </si>
  <si>
    <t>KH004</t>
  </si>
  <si>
    <t>Mài hoặc thay lưỡi cắt</t>
  </si>
  <si>
    <t>Thay thế</t>
  </si>
  <si>
    <t>2 tháng/lần</t>
  </si>
  <si>
    <t>TB003</t>
  </si>
  <si>
    <t>Máy nén khí trục vít 75kW</t>
  </si>
  <si>
    <t>Máy nén khí</t>
  </si>
  <si>
    <t>Phòng khí nén</t>
  </si>
  <si>
    <t>AirForce AF-75</t>
  </si>
  <si>
    <t>AF75-2021-310</t>
  </si>
  <si>
    <t>Phạm Đức Thịnh</t>
  </si>
  <si>
    <t>Công ty Khí Công Nghiệp</t>
  </si>
  <si>
    <t>Lưỡi cắt</t>
  </si>
  <si>
    <t>KH005</t>
  </si>
  <si>
    <t>Kiểm tra cảm biến an toàn, bôi trơn ray dẫn</t>
  </si>
  <si>
    <t>Đỗ Thanh Tùng</t>
  </si>
  <si>
    <t>Mỡ bôi trơn</t>
  </si>
  <si>
    <t>KH006</t>
  </si>
  <si>
    <t>Xả nước ngưng, kiểm tra lọc gió</t>
  </si>
  <si>
    <t>2 tuần/lần</t>
  </si>
  <si>
    <t>TB004</t>
  </si>
  <si>
    <t>Trạm biến áp 1000kVA</t>
  </si>
  <si>
    <t>Hệ thống điện</t>
  </si>
  <si>
    <t>Phòng điện</t>
  </si>
  <si>
    <t>PowerGrid 1000</t>
  </si>
  <si>
    <t>PG1000-2018-007</t>
  </si>
  <si>
    <t>Công ty Điện lực công nghiệp</t>
  </si>
  <si>
    <t>Lọc gió</t>
  </si>
  <si>
    <t>KH007</t>
  </si>
  <si>
    <t>Thay dầu máy nén và lọc dầu</t>
  </si>
  <si>
    <t>6 tháng/lần</t>
  </si>
  <si>
    <t>KẾ HOẠCH BẢO TRÌ MÁY MÓC THIẾT BỊ</t>
  </si>
  <si>
    <t>Dầu máy nén 20L, lọc dầu</t>
  </si>
  <si>
    <t>KH008</t>
  </si>
  <si>
    <t>Tên đơn vị</t>
  </si>
  <si>
    <t>Công ty TNHH ABC</t>
  </si>
  <si>
    <t>Kiểm tra van an toàn, hiệu chuẩn đồng hồ áp</t>
  </si>
  <si>
    <t>Hiệu chuẩn</t>
  </si>
  <si>
    <t>Mục tiêu bảo trì</t>
  </si>
  <si>
    <t>Giữ tỷ lệ tuân thủ bảo trì định kỳ từ 95% trở lên; giảm giờ dừng máy ngoài kế hoạch; chi phí trong ngân sách.</t>
  </si>
  <si>
    <t>Nhà máy / khu vực quản lý</t>
  </si>
  <si>
    <t>Nhà máy Bao bì – Khu A</t>
  </si>
  <si>
    <t>TB005</t>
  </si>
  <si>
    <t>Hệ thống điều hòa trung tâm Chiller</t>
  </si>
  <si>
    <t>Điều hòa – thông gió</t>
  </si>
  <si>
    <t>Ngoài trời</t>
  </si>
  <si>
    <t>CoolTech CT-200</t>
  </si>
  <si>
    <t>Năm kế hoạch</t>
  </si>
  <si>
    <t>CT200-2020-045</t>
  </si>
  <si>
    <t>Công ty CoolTech</t>
  </si>
  <si>
    <t>Phạm vi áp dụng</t>
  </si>
  <si>
    <t>Toàn bộ máy sản xuất, hệ thống điện, khí nén, điều hòa, băng tải, xe nâng và thiết bị CNTT của nhà máy.</t>
  </si>
  <si>
    <t>Người lập kế hoạch</t>
  </si>
  <si>
    <t>Ngày lập kế hoạch</t>
  </si>
  <si>
    <t>Đơn vị hiệu chuẩn bên ngoài</t>
  </si>
  <si>
    <t>Quy ước</t>
  </si>
  <si>
    <t>Bảo trì định kỳ theo chu kỳ ở sheet Kế hoạch định kỳ; mọi lần thực hiện và sửa chữa ghi ở Nhật ký bảo trì.</t>
  </si>
  <si>
    <t>KH009</t>
  </si>
  <si>
    <t>Ngân sách bảo trì năm (VNĐ)</t>
  </si>
  <si>
    <t>Ngày đối chiếu (để trống = hôm nay)</t>
  </si>
  <si>
    <t>Phân công chính</t>
  </si>
  <si>
    <t>Trưởng bộ phận kỹ thuật duyệt kế hoạch; thợ cơ khí, thợ điện, kỹ thuật vận hành thực hiện; nhà thầu ngoài làm hạng mục chuyên sâu.</t>
  </si>
  <si>
    <t>Đo nhiệt độ mối nối, vệ sinh tủ trung thế</t>
  </si>
  <si>
    <t>Ngày đối chiếu đang dùng</t>
  </si>
  <si>
    <t>Thiết bị đang quản lý</t>
  </si>
  <si>
    <t>Hạng mục bảo trì định kỳ</t>
  </si>
  <si>
    <t>Quá hạn bảo trì</t>
  </si>
  <si>
    <t>Sắp đến hạn (theo ngưỡng cảnh báo)</t>
  </si>
  <si>
    <t>Tuân thủ bảo trì định kỳ</t>
  </si>
  <si>
    <t>Chi phí / ngân sách năm</t>
  </si>
  <si>
    <t>Camera nhiệt, dung dịch vệ sinh</t>
  </si>
  <si>
    <t>KH010</t>
  </si>
  <si>
    <t>Thử nghiệm dầu máy biến áp</t>
  </si>
  <si>
    <t>TB006</t>
  </si>
  <si>
    <t>Băng tải đóng gói số 2</t>
  </si>
  <si>
    <t>Băng tải – nâng hạ</t>
  </si>
  <si>
    <t>Xưởng 2</t>
  </si>
  <si>
    <t>FlowLine FL-12</t>
  </si>
  <si>
    <t>FL12-2022-120</t>
  </si>
  <si>
    <t>Công ty FlowLine</t>
  </si>
  <si>
    <t>Phòng thử nghiệm bên ngoài</t>
  </si>
  <si>
    <t>KH011</t>
  </si>
  <si>
    <t>Giờ sửa chữa TB / sự cố (MTTR)</t>
  </si>
  <si>
    <t>Việc chưa xong, cần theo dõi</t>
  </si>
  <si>
    <t>Thiết bị sắp hết bảo hành</t>
  </si>
  <si>
    <t>Chi phí đã dùng (VNĐ)</t>
  </si>
  <si>
    <t>Vệ sinh dàn trao đổi nhiệt, kiểm tra áp suất gas</t>
  </si>
  <si>
    <t>Hóa chất tẩy rửa, gas bổ sung</t>
  </si>
  <si>
    <t>KH012</t>
  </si>
  <si>
    <t>Bảo dưỡng tổng thể Chiller</t>
  </si>
  <si>
    <t>TB007</t>
  </si>
  <si>
    <t>Xe nâng điện 2,5 tấn #1</t>
  </si>
  <si>
    <t>Phương tiện – xe nâng</t>
  </si>
  <si>
    <t>Kho</t>
  </si>
  <si>
    <t>LiftPro LP-25E</t>
  </si>
  <si>
    <t>LP25-2021-501</t>
  </si>
  <si>
    <t>Đang bảo trì</t>
  </si>
  <si>
    <t>Công ty LiftPro</t>
  </si>
  <si>
    <t>1. VIỆC CẦN XỬ LÝ NGAY – QUÁ HẠN VÀ SẮP ĐẾN HẠN (SẮP XẾP THEO NGÀY ĐẾN HẠN)</t>
  </si>
  <si>
    <t>Nhà thầu ngoài</t>
  </si>
  <si>
    <t>Theo hợp đồng nhà thầu</t>
  </si>
  <si>
    <t>Ngày đến hạn</t>
  </si>
  <si>
    <t>KH013</t>
  </si>
  <si>
    <t>Kiểm tra căng băng tải, bôi trơn con lăn</t>
  </si>
  <si>
    <t>KH014</t>
  </si>
  <si>
    <t>Kiểm tra ắc quy, phanh, hệ thống thủy lực</t>
  </si>
  <si>
    <t>TB008</t>
  </si>
  <si>
    <t>Xe nâng điện 2,5 tấn #2</t>
  </si>
  <si>
    <t>LP25-2023-044</t>
  </si>
  <si>
    <t>Nước cất ắc quy</t>
  </si>
  <si>
    <t>KH015</t>
  </si>
  <si>
    <t>Kiểm định an toàn xe nâng</t>
  </si>
  <si>
    <t>Phí kiểm định</t>
  </si>
  <si>
    <t>KH016</t>
  </si>
  <si>
    <t>TB009</t>
  </si>
  <si>
    <t>Máy dán thùng carton tự động</t>
  </si>
  <si>
    <t>BoxSeal BS-8</t>
  </si>
  <si>
    <t>BS8-2022-077</t>
  </si>
  <si>
    <t>Công ty BoxSeal</t>
  </si>
  <si>
    <t>KH017</t>
  </si>
  <si>
    <t>Vệ sinh keo, kiểm tra kim đầu dán</t>
  </si>
  <si>
    <t>Dung dịch tẩy keo</t>
  </si>
  <si>
    <t>KH018</t>
  </si>
  <si>
    <t>Thay dây curoa và kiểm tra động cơ</t>
  </si>
  <si>
    <t>TB010</t>
  </si>
  <si>
    <t>Máy chủ và thiết bị mạng</t>
  </si>
  <si>
    <t>Thiết bị CNTT</t>
  </si>
  <si>
    <t>Văn phòng</t>
  </si>
  <si>
    <t>NetCore NC-R7</t>
  </si>
  <si>
    <t>NCR7-2023-019</t>
  </si>
  <si>
    <t>C – Thông thường</t>
  </si>
  <si>
    <t>Vũ Thị Mai</t>
  </si>
  <si>
    <t>Công ty NetCore</t>
  </si>
  <si>
    <t>Dây curoa</t>
  </si>
  <si>
    <t>KH019</t>
  </si>
  <si>
    <t>Sao lưu dữ liệu, cập nhật bản vá</t>
  </si>
  <si>
    <t>KH020</t>
  </si>
  <si>
    <t>Vệ sinh phòng máy, kiểm tra UPS</t>
  </si>
  <si>
    <t>Dụng cụ vệ sinh</t>
  </si>
  <si>
    <t>KH021</t>
  </si>
  <si>
    <t>Kiểm tra tiếng ồn, độ rung động cơ</t>
  </si>
  <si>
    <t>2. TÌNH TRẠNG THEO NHÓM THIẾT BỊ</t>
  </si>
  <si>
    <t>Số thiết bị</t>
  </si>
  <si>
    <t>Hạng mục định kỳ</t>
  </si>
  <si>
    <t>Quá hạn</t>
  </si>
  <si>
    <t>Sắp đến hạn</t>
  </si>
  <si>
    <t>Tuân thủ (%)</t>
  </si>
  <si>
    <t>Giờ dừng máy</t>
  </si>
  <si>
    <t>Chi phí bảo trì (VNĐ)</t>
  </si>
  <si>
    <t>TỔNG CỘNG</t>
  </si>
  <si>
    <t>3. THỰC HIỆN VÀ CHI PHÍ THEO THÁNG</t>
  </si>
  <si>
    <t>Tháng</t>
  </si>
  <si>
    <t>Bảo trì theo kế hoạch đã làm</t>
  </si>
  <si>
    <t>Kế hoạch còn lại / chưa làm</t>
  </si>
  <si>
    <t>Số sự cố</t>
  </si>
  <si>
    <t>Chi phí nhân công (VNĐ)</t>
  </si>
  <si>
    <t>Chi phí vật tư (VNĐ)</t>
  </si>
  <si>
    <t>Chi phí thuê ngoài (VNĐ)</t>
  </si>
  <si>
    <t>Tổng chi phí (VNĐ)</t>
  </si>
  <si>
    <t>Lũy kế chi phí (VNĐ)</t>
  </si>
  <si>
    <t>% ngân sách lũy kế</t>
  </si>
  <si>
    <t>Tổng 'Kế hoạch còn lại / chưa làm' gồm các lần sắp tới và các lần đã đến hạn nhưng chưa thực hiện (tính từ ngày đến hạn kế tiếp của từng hạng mục).</t>
  </si>
  <si>
    <t>4. KHỐI LƯỢNG THEO NGƯỜI THỰC HIỆN</t>
  </si>
  <si>
    <t>Họ tên / đơn vị</t>
  </si>
  <si>
    <t>Hạng mục định kỳ được giao</t>
  </si>
  <si>
    <t>Công việc đã hoàn thành</t>
  </si>
  <si>
    <t>Giờ thực hiện</t>
  </si>
  <si>
    <t>Sự cố đã xử lý</t>
  </si>
  <si>
    <t>Chi phí liên quan (VNĐ)</t>
  </si>
  <si>
    <t>Hướng dẫn sử dụng</t>
  </si>
  <si>
    <t>•  Bước 1 – Cài đặt: khai báo nhóm thiết bị, khu vực, chu kỳ bảo trì (số ngày quy đổi), nhân sự ở sheet 'Cài đặt'. Nhập năm kế hoạch, ngân sách ở sheet này.</t>
  </si>
  <si>
    <t>•  Bước 2 – Thiết bị: nhập mỗi thiết bị một dòng ở 'Danh mục thiết bị' (mã, nhóm, mức độ quan trọng, ngày bảo hành…).</t>
  </si>
  <si>
    <t>•  Bước 3 – Kế hoạch: ở 'Kế hoạch định kỳ', mỗi hạng mục lặp lại một dòng; chọn mã thiết bị, chu kỳ, người phụ trách và nhập 'Ngày áp dụng lần đầu'. Ngày đến hạn kế tiếp, cảnh báo, chi phí cả năm tự tính.</t>
  </si>
  <si>
    <t>•  Bước 4 – Thực hiện: mỗi lần bảo trì hoặc sửa chữa ghi một dòng ở 'Nhật ký bảo trì' (chọn Mã công việc kế hoạch và Kết quả 'Hoàn thành'). Ngày đến hạn kế tiếp, 'Lịch bảo trì năm' và các thống kê ở đây tự cập nhật.</t>
  </si>
  <si>
    <t>•  Mở rộng: chèn dòng vào giữa bảng (không chèn dưới dòng cuối) rồi chép công thức từ dòng trên. Có sẵn 60 thiết bị, 120 hạng mục định kỳ, 400 dòng nhật ký. Dữ liệu mẫu chỉ để minh họa – hãy xóa và thay bằng dữ liệu thật; cảnh báo mẫu tính theo ngày hôm nay.</t>
  </si>
  <si>
    <t>NHẬT KÝ BẢO TRÌ VÀ SỬA CHỮA</t>
  </si>
  <si>
    <t>Ghi mỗi lần thực hiện công việc. Khi chọn Mã công việc kế hoạch và Kết quả 'Hoàn thành', ngày đến hạn kế tiếp ở sheet Kế hoạch định kỳ tự cập nhật.</t>
  </si>
  <si>
    <t>THÔNG TIN CÔNG VIỆC</t>
  </si>
  <si>
    <t>NGUỒN LỰC</t>
  </si>
  <si>
    <t>CHI PHÍ</t>
  </si>
  <si>
    <t>KẾT QUẢ VÀ GHI CHÚ</t>
  </si>
  <si>
    <t>Ngày thực hiện</t>
  </si>
  <si>
    <t>Loại công việc</t>
  </si>
  <si>
    <t>Mã công việc kế hoạch</t>
  </si>
  <si>
    <t>Nội dung thực hiện</t>
  </si>
  <si>
    <t>Người thực hiện</t>
  </si>
  <si>
    <t>Thời gian thực hiện (giờ)</t>
  </si>
  <si>
    <t>Dừng máy (giờ)</t>
  </si>
  <si>
    <t>Vật tư / phụ tùng đã thay</t>
  </si>
  <si>
    <t>Kết quả</t>
  </si>
  <si>
    <t>Kiểm tra dữ liệu</t>
  </si>
  <si>
    <t>Nguyên nhân / ghi chú</t>
  </si>
  <si>
    <t>Bảo trì định kỳ</t>
  </si>
  <si>
    <t>Hoàn thành</t>
  </si>
  <si>
    <t>Hiệu chuẩn – kiểm định</t>
  </si>
  <si>
    <t>Sửa chữa sự cố</t>
  </si>
  <si>
    <t>Kẹt trục in, thay vòng bi</t>
  </si>
  <si>
    <t>Vòng bi trục in</t>
  </si>
  <si>
    <t>Vòng bi mòn do thiếu bôi trơn</t>
  </si>
  <si>
    <t>Rò khí tại van xả</t>
  </si>
  <si>
    <t>Gioăng van xả</t>
  </si>
  <si>
    <t>Gioăng lão hóa</t>
  </si>
  <si>
    <t>Cải tiến – nâng cấp</t>
  </si>
  <si>
    <t>Lắp thêm cảm biến nhiệt cho tủ trung thế</t>
  </si>
  <si>
    <t>Cảm biến nhiệt, dây tín hiệu</t>
  </si>
  <si>
    <t>Theo đề xuất kỹ thuật</t>
  </si>
  <si>
    <t>Cảm biến an toàn báo lỗi</t>
  </si>
  <si>
    <t>Cảm biến an toàn</t>
  </si>
  <si>
    <t>Chiller báo lỗi áp suất</t>
  </si>
  <si>
    <t>Cảm biến áp suất</t>
  </si>
  <si>
    <t>Cảm biến áp suất hỏng</t>
  </si>
  <si>
    <t>Đứt dây curoa</t>
  </si>
  <si>
    <t>Dây curoa mòn sớm – theo dõi lô hàng</t>
  </si>
  <si>
    <t>Hỏng bơm thủy lực</t>
  </si>
  <si>
    <t>Bơm thủy lực</t>
  </si>
  <si>
    <t>Chưa xong – cần theo dõi</t>
  </si>
  <si>
    <t>Chờ kiểm tra áp lực sau khi thay bơm</t>
  </si>
  <si>
    <t>CÀI ĐẶT DANH MỤC VÀ QUY ƯỚC</t>
  </si>
  <si>
    <t>Mọi danh sách chọn trong file lấy từ đây. Thêm mục mới vào ô trống tương ứng – các sheet khác tự cập nhật.</t>
  </si>
  <si>
    <t>1. NHÓM THIẾT BỊ</t>
  </si>
  <si>
    <t>Mô tả</t>
  </si>
  <si>
    <t>Máy in, cắt, dán, đóng gói…</t>
  </si>
  <si>
    <t>Trạm biến áp, tủ điện</t>
  </si>
  <si>
    <t>Máy nén, bình chứa, đường ống khí</t>
  </si>
  <si>
    <t>Chiller, điều hòa, quạt hút</t>
  </si>
  <si>
    <t>Băng tải, cầu trục, palăng</t>
  </si>
  <si>
    <t>Xe nâng, xe đẩy điện</t>
  </si>
  <si>
    <t>Máy chủ, mạng, UPS</t>
  </si>
  <si>
    <t>Khác</t>
  </si>
  <si>
    <t>2. KHU VỰC / VỊ TRÍ</t>
  </si>
  <si>
    <t>Khu vực</t>
  </si>
  <si>
    <t>3. MỨC ĐỘ QUAN TRỌNG CỦA THIẾT BỊ</t>
  </si>
  <si>
    <t>Mức độ</t>
  </si>
  <si>
    <t>Ý nghĩa</t>
  </si>
  <si>
    <t>Dừng máy sẽ dừng cả dây chuyền sản xuất</t>
  </si>
  <si>
    <t>Dừng máy ảnh hưởng một phần sản xuất</t>
  </si>
  <si>
    <t>Có thể thay thế hoặc chờ sửa chữa</t>
  </si>
  <si>
    <t>4. TÌNH TRẠNG THIẾT BỊ</t>
  </si>
  <si>
    <t>Máy chạy bình thường</t>
  </si>
  <si>
    <t>Đang trong thời gian bảo trì / sửa chữa</t>
  </si>
  <si>
    <t>Đang hỏng</t>
  </si>
  <si>
    <t>Chờ sửa chữa</t>
  </si>
  <si>
    <t>Ngừng sử dụng</t>
  </si>
  <si>
    <t>Không tính vào kế hoạch bảo trì (tên này dùng trong công thức)</t>
  </si>
  <si>
    <t>5. CHU KỲ BẢO TRÌ VÀ SỐ NGÀY QUY ĐỔI</t>
  </si>
  <si>
    <t>Số ngày áp dụng</t>
  </si>
  <si>
    <t>Hằng ngày</t>
  </si>
  <si>
    <t>Kiểm tra đầu ca</t>
  </si>
  <si>
    <t>Hằng tuần</t>
  </si>
  <si>
    <t>Quy đổi 30 ngày</t>
  </si>
  <si>
    <t>6. LOẠI HẠNG MỤC BẢO TRÌ</t>
  </si>
  <si>
    <t>7. LOẠI CÔNG VIỆC TRONG NHẬT KÝ</t>
  </si>
  <si>
    <t>Công việc theo kế hoạch (tên này dùng trong công thức)</t>
  </si>
  <si>
    <t>Hỏng đột xuất (tên này dùng trong công thức)</t>
  </si>
  <si>
    <t>Hiệu chuẩn, kiểm định an toàn</t>
  </si>
  <si>
    <t>Lắp thêm, nâng cấp thiết bị</t>
  </si>
  <si>
    <t>8. KẾT QUẢ CÔNG VIỆC</t>
  </si>
  <si>
    <t>Đã xong – tính vào lần bảo trì gần nhất (tên này dùng trong công thức)</t>
  </si>
  <si>
    <t>Làm dở hoặc cần kiểm tra lại</t>
  </si>
  <si>
    <t>Hoãn</t>
  </si>
  <si>
    <t>Hoãn do chờ vật tư hoặc điều kiện khác</t>
  </si>
  <si>
    <t>9. NHÂN SỰ BẢO TRÌ</t>
  </si>
  <si>
    <t>Vai trò</t>
  </si>
  <si>
    <t>Trưởng bộ phận kỹ thuật</t>
  </si>
  <si>
    <t>Thợ cơ khí</t>
  </si>
  <si>
    <t>Thợ điện</t>
  </si>
  <si>
    <t>Kỹ thuật vận hành</t>
  </si>
  <si>
    <t>Điều phối bảo trì, CNTT</t>
  </si>
  <si>
    <t>Đơn vị dịch vụ bên ngoài</t>
  </si>
  <si>
    <t>10. THAM SỐ CẢNH BÁO</t>
  </si>
  <si>
    <t>Cảnh báo 'Sắp đến hạn' trước (ngày)</t>
  </si>
  <si>
    <t>Cảnh báo 'Sắp hết bảo hành' trước (ngày)</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</si>
</sst>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Tm"/>
    <numFmt numFmtId="165" formatCode="dd/mm/yyyy"/>
    <numFmt numFmtId="166" formatCode="0.0"/>
    <numFmt numFmtId="167" formatCode="#,##0;\(#,##0\);\-"/>
    <numFmt numFmtId="168" formatCode="0.00000"/>
    <numFmt numFmtId="169" formatCode="0.0%"/>
    <numFmt numFmtId="170" formatCode="#,##0.0"/>
  </numFmts>
  <fonts count="17">
    <font>
      <sz val="11.0"/>
      <color theme="1"/>
      <name val="Calibri"/>
      <scheme val="minor"/>
    </font>
    <font>
      <b/>
      <sz val="22.0"/>
      <color rgb="FFFFFFFF"/>
      <name val="Inter Tight"/>
    </font>
    <font/>
    <font>
      <i/>
      <sz val="10.0"/>
      <color rgb="FF71717A"/>
      <name val="Inter Tight"/>
    </font>
    <font>
      <b/>
      <sz val="10.0"/>
      <color rgb="FFFFFFFF"/>
      <name val="Inter Tight"/>
    </font>
    <font>
      <b/>
      <sz val="10.0"/>
      <color rgb="FF3F3F46"/>
      <name val="Inter Tight"/>
    </font>
    <font>
      <sz val="10.0"/>
      <color rgb="FF18181B"/>
      <name val="Inter Tight"/>
    </font>
    <font>
      <sz val="10.0"/>
      <color rgb="FF1F4FBF"/>
      <name val="Inter Tight"/>
    </font>
    <font>
      <sz val="10.0"/>
      <color rgb="FF71717A"/>
      <name val="Inter Tight"/>
    </font>
    <font>
      <b/>
      <sz val="11.0"/>
      <color rgb="FF71717A"/>
      <name val="Inter Tight"/>
    </font>
    <font>
      <b/>
      <sz val="10.0"/>
      <color rgb="FF18181B"/>
      <name val="Inter Tight"/>
    </font>
    <font>
      <b/>
      <sz val="9.0"/>
      <color rgb="FF71717A"/>
      <name val="Inter Tight"/>
    </font>
    <font>
      <b/>
      <sz val="18.0"/>
      <color rgb="FFF26A1B"/>
      <name val="Inter Tight"/>
    </font>
    <font>
      <b/>
      <sz val="18.0"/>
      <color rgb="FFDC2626"/>
      <name val="Inter Tight"/>
    </font>
    <font>
      <b/>
      <sz val="11.0"/>
      <color rgb="FFFFFFFF"/>
      <name val="Inter Tight"/>
    </font>
    <font>
      <sz val="9.0"/>
      <color rgb="FF71717A"/>
      <name val="Inter Tight"/>
    </font>
    <font>
      <b/>
      <sz val="11.0"/>
      <color rgb="FFF26A1B"/>
      <name val="Inter Tight"/>
    </font>
  </fonts>
  <fills count="8">
    <fill>
      <patternFill patternType="none"/>
    </fill>
    <fill>
      <patternFill patternType="lightGray"/>
    </fill>
    <fill>
      <patternFill patternType="solid">
        <fgColor rgb="FFF26A1B"/>
        <bgColor rgb="FFF26A1B"/>
      </patternFill>
    </fill>
    <fill>
      <patternFill patternType="solid">
        <fgColor rgb="FF3F3F46"/>
        <bgColor rgb="FF3F3F46"/>
      </patternFill>
    </fill>
    <fill>
      <patternFill patternType="solid">
        <fgColor rgb="FFE4E4E7"/>
        <bgColor rgb="FFE4E4E7"/>
      </patternFill>
    </fill>
    <fill>
      <patternFill patternType="solid">
        <fgColor rgb="FFFFFFFF"/>
        <bgColor rgb="FFFFFFFF"/>
      </patternFill>
    </fill>
    <fill>
      <patternFill patternType="solid">
        <fgColor rgb="FFF4F4F5"/>
        <bgColor rgb="FFF4F4F5"/>
      </patternFill>
    </fill>
    <fill>
      <patternFill patternType="solid">
        <fgColor rgb="FFFDE9DB"/>
        <bgColor rgb="FFFDE9DB"/>
      </patternFill>
    </fill>
  </fills>
  <borders count="21">
    <border/>
    <border>
      <left/>
      <top/>
      <bottom/>
    </border>
    <border>
      <top/>
      <bottom/>
    </border>
    <border>
      <right/>
      <top/>
      <bottom/>
    </border>
    <border>
      <left style="thin">
        <color rgb="FFD4D4D8"/>
      </left>
      <right style="thin">
        <color rgb="FFD4D4D8"/>
      </right>
      <top style="thin">
        <color rgb="FFD4D4D8"/>
      </top>
      <bottom style="thin">
        <color rgb="FFD4D4D8"/>
      </bottom>
    </border>
    <border>
      <left/>
      <top/>
    </border>
    <border>
      <top/>
    </border>
    <border>
      <right/>
      <top/>
    </border>
    <border>
      <left/>
      <bottom/>
    </border>
    <border>
      <bottom/>
    </border>
    <border>
      <right/>
      <bottom/>
    </border>
    <border>
      <left style="thick">
        <color rgb="FFF26A1B"/>
      </left>
      <right/>
      <top/>
      <bottom/>
    </border>
    <border>
      <left style="thick">
        <color rgb="FFF26A1B"/>
      </left>
      <top/>
      <bottom/>
    </border>
    <border>
      <left style="thick">
        <color rgb="FFF26A1B"/>
      </left>
      <right/>
      <top/>
    </border>
    <border>
      <left style="thick">
        <color rgb="FFF26A1B"/>
      </left>
      <top/>
    </border>
    <border>
      <left style="thick">
        <color rgb="FFF26A1B"/>
      </left>
      <right/>
      <bottom/>
    </border>
    <border>
      <left style="thick">
        <color rgb="FFF26A1B"/>
      </left>
      <bottom/>
    </border>
    <border>
      <left style="thin">
        <color rgb="FFD4D4D8"/>
      </left>
      <top style="thin">
        <color rgb="FFD4D4D8"/>
      </top>
      <bottom style="thin">
        <color rgb="FFD4D4D8"/>
      </bottom>
    </border>
    <border>
      <top style="thin">
        <color rgb="FFD4D4D8"/>
      </top>
      <bottom style="thin">
        <color rgb="FFD4D4D8"/>
      </bottom>
    </border>
    <border>
      <right/>
      <top style="thin">
        <color rgb="FFD4D4D8"/>
      </top>
      <bottom style="thin">
        <color rgb="FFD4D4D8"/>
      </bottom>
    </border>
    <border>
      <right style="thin">
        <color rgb="FFD4D4D8"/>
      </right>
      <top style="thin">
        <color rgb="FFD4D4D8"/>
      </top>
      <bottom style="thin">
        <color rgb="FFD4D4D8"/>
      </bottom>
    </border>
  </borders>
  <cellStyleXfs count="1">
    <xf borderId="0" fillId="0" fontId="0" numFmtId="0" applyAlignment="1" applyFont="1"/>
  </cellStyleXfs>
  <cellXfs count="93">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0"/>
    </xf>
    <xf borderId="2" fillId="0" fontId="2" numFmtId="0" xfId="0" applyBorder="1" applyFont="1"/>
    <xf borderId="3" fillId="0" fontId="2" numFmtId="0" xfId="0" applyBorder="1" applyFont="1"/>
    <xf borderId="0" fillId="0" fontId="3" numFmtId="0" xfId="0" applyAlignment="1" applyFont="1">
      <alignment shrinkToFit="0" vertical="center" wrapText="0"/>
    </xf>
    <xf borderId="1" fillId="2" fontId="4" numFmtId="0" xfId="0" applyAlignment="1" applyBorder="1" applyFill="1" applyFont="1">
      <alignment horizontal="center" shrinkToFit="0" vertical="center" wrapText="0"/>
    </xf>
    <xf borderId="1" fillId="3" fontId="4" numFmtId="0" xfId="0" applyAlignment="1" applyBorder="1" applyFill="1" applyFont="1">
      <alignment horizontal="center" shrinkToFit="0" vertical="center" wrapText="0"/>
    </xf>
    <xf borderId="4" fillId="4" fontId="5" numFmtId="0" xfId="0" applyAlignment="1" applyBorder="1" applyFill="1" applyFont="1">
      <alignment horizontal="center" shrinkToFit="0" vertical="center" wrapText="1"/>
    </xf>
    <xf borderId="4" fillId="3" fontId="4" numFmtId="0" xfId="0" applyAlignment="1" applyBorder="1" applyFill="1" applyFont="1">
      <alignment horizontal="center" shrinkToFit="0" vertical="center" wrapText="1"/>
    </xf>
    <xf borderId="4" fillId="3" fontId="4" numFmtId="164" xfId="0" applyAlignment="1" applyBorder="1" applyFill="1" applyFont="1" applyNumberFormat="1">
      <alignment horizontal="center" shrinkToFit="0" vertical="center" wrapText="1"/>
    </xf>
    <xf borderId="4" fillId="5" fontId="6" numFmtId="0" xfId="0" applyAlignment="1" applyBorder="1" applyFill="1" applyFont="1">
      <alignment horizontal="center" shrinkToFit="0" vertical="center" wrapText="0"/>
    </xf>
    <xf borderId="4" fillId="5" fontId="7" numFmtId="0" xfId="0" applyAlignment="1" applyBorder="1" applyFill="1" applyFont="1">
      <alignment horizontal="center" shrinkToFit="0" vertical="center" wrapText="0"/>
    </xf>
    <xf borderId="4" fillId="5" fontId="7" numFmtId="0" xfId="0" applyAlignment="1" applyBorder="1" applyFill="1" applyFont="1">
      <alignment horizontal="left" shrinkToFit="0" vertical="center" wrapText="0"/>
    </xf>
    <xf borderId="4" fillId="5" fontId="7" numFmtId="165" xfId="0" applyAlignment="1" applyBorder="1" applyFill="1" applyFont="1" applyNumberFormat="1">
      <alignment horizontal="center" shrinkToFit="0" vertical="center" wrapText="0"/>
    </xf>
    <xf borderId="4" fillId="5" fontId="6" numFmtId="0" xfId="0" applyAlignment="1" applyBorder="1" applyFill="1" applyFont="1">
      <alignment horizontal="left" shrinkToFit="0" vertical="center" wrapText="0"/>
    </xf>
    <xf borderId="4" fillId="5" fontId="7" numFmtId="0" xfId="0" applyAlignment="1" applyBorder="1" applyFill="1" applyFont="1">
      <alignment horizontal="left" shrinkToFit="0" vertical="center" wrapText="1"/>
    </xf>
    <xf borderId="4" fillId="5" fontId="6" numFmtId="1" xfId="0" applyAlignment="1" applyBorder="1" applyFill="1" applyFont="1" applyNumberFormat="1">
      <alignment horizontal="center" shrinkToFit="0" vertical="center" wrapText="0"/>
    </xf>
    <xf borderId="4" fillId="5" fontId="6" numFmtId="165" xfId="0" applyAlignment="1" applyBorder="1" applyFill="1" applyFont="1" applyNumberFormat="1">
      <alignment horizontal="center" shrinkToFit="0" vertical="center" wrapText="0"/>
    </xf>
    <xf borderId="4" fillId="5" fontId="6" numFmtId="0" xfId="0" applyAlignment="1" applyBorder="1" applyFill="1" applyFont="1">
      <alignment horizontal="left" shrinkToFit="0" vertical="center" wrapText="1"/>
    </xf>
    <xf borderId="4" fillId="5" fontId="7" numFmtId="166" xfId="0" applyAlignment="1" applyBorder="1" applyFill="1" applyFont="1" applyNumberFormat="1">
      <alignment horizontal="center" shrinkToFit="0" vertical="center" wrapText="0"/>
    </xf>
    <xf borderId="4" fillId="5" fontId="7" numFmtId="167" xfId="0" applyAlignment="1" applyBorder="1" applyFill="1" applyFont="1" applyNumberFormat="1">
      <alignment horizontal="right" shrinkToFit="0" vertical="center" wrapText="0"/>
    </xf>
    <xf borderId="4" fillId="5" fontId="6" numFmtId="167" xfId="0" applyAlignment="1" applyBorder="1" applyFill="1" applyFont="1" applyNumberFormat="1">
      <alignment horizontal="right" shrinkToFit="0" vertical="center" wrapText="0"/>
    </xf>
    <xf borderId="4" fillId="5" fontId="6" numFmtId="166" xfId="0" applyAlignment="1" applyBorder="1" applyFill="1" applyFont="1" applyNumberFormat="1">
      <alignment horizontal="center" shrinkToFit="0" vertical="center" wrapText="0"/>
    </xf>
    <xf borderId="4" fillId="5" fontId="8" numFmtId="1" xfId="0" applyAlignment="1" applyBorder="1" applyFill="1" applyFont="1" applyNumberFormat="1">
      <alignment horizontal="center" shrinkToFit="0" vertical="center" wrapText="0"/>
    </xf>
    <xf borderId="4" fillId="5" fontId="9" numFmtId="0" xfId="0" applyAlignment="1" applyBorder="1" applyFill="1" applyFont="1">
      <alignment horizontal="center" shrinkToFit="0" vertical="center" wrapText="0"/>
    </xf>
    <xf borderId="4" fillId="5" fontId="8" numFmtId="168" xfId="0" applyAlignment="1" applyBorder="1" applyFill="1" applyFont="1" applyNumberFormat="1">
      <alignment horizontal="center" shrinkToFit="0" vertical="center" wrapText="0"/>
    </xf>
    <xf borderId="4" fillId="6" fontId="6" numFmtId="0" xfId="0" applyAlignment="1" applyBorder="1" applyFill="1" applyFont="1">
      <alignment horizontal="center" shrinkToFit="0" vertical="center" wrapText="0"/>
    </xf>
    <xf borderId="4" fillId="6" fontId="7" numFmtId="0" xfId="0" applyAlignment="1" applyBorder="1" applyFill="1" applyFont="1">
      <alignment horizontal="center" shrinkToFit="0" vertical="center" wrapText="0"/>
    </xf>
    <xf borderId="4" fillId="6" fontId="6" numFmtId="0" xfId="0" applyAlignment="1" applyBorder="1" applyFill="1" applyFont="1">
      <alignment horizontal="left" shrinkToFit="0" vertical="center" wrapText="0"/>
    </xf>
    <xf borderId="4" fillId="6" fontId="7" numFmtId="0" xfId="0" applyAlignment="1" applyBorder="1" applyFill="1" applyFont="1">
      <alignment horizontal="left" shrinkToFit="0" vertical="center" wrapText="1"/>
    </xf>
    <xf borderId="4" fillId="6" fontId="6" numFmtId="1" xfId="0" applyAlignment="1" applyBorder="1" applyFill="1" applyFont="1" applyNumberFormat="1">
      <alignment horizontal="center" shrinkToFit="0" vertical="center" wrapText="0"/>
    </xf>
    <xf borderId="4" fillId="6" fontId="7" numFmtId="0" xfId="0" applyAlignment="1" applyBorder="1" applyFill="1" applyFont="1">
      <alignment horizontal="left" shrinkToFit="0" vertical="center" wrapText="0"/>
    </xf>
    <xf borderId="4" fillId="6" fontId="7" numFmtId="165" xfId="0" applyAlignment="1" applyBorder="1" applyFill="1" applyFont="1" applyNumberFormat="1">
      <alignment horizontal="center" shrinkToFit="0" vertical="center" wrapText="0"/>
    </xf>
    <xf borderId="4" fillId="6" fontId="6" numFmtId="165" xfId="0" applyAlignment="1" applyBorder="1" applyFill="1" applyFont="1" applyNumberFormat="1">
      <alignment horizontal="center" shrinkToFit="0" vertical="center" wrapText="0"/>
    </xf>
    <xf borderId="4" fillId="6" fontId="7" numFmtId="166" xfId="0" applyAlignment="1" applyBorder="1" applyFill="1" applyFont="1" applyNumberFormat="1">
      <alignment horizontal="center" shrinkToFit="0" vertical="center" wrapText="0"/>
    </xf>
    <xf borderId="4" fillId="6" fontId="7" numFmtId="167" xfId="0" applyAlignment="1" applyBorder="1" applyFill="1" applyFont="1" applyNumberFormat="1">
      <alignment horizontal="right" shrinkToFit="0" vertical="center" wrapText="0"/>
    </xf>
    <xf borderId="4" fillId="6" fontId="6" numFmtId="167" xfId="0" applyAlignment="1" applyBorder="1" applyFill="1" applyFont="1" applyNumberFormat="1">
      <alignment horizontal="right" shrinkToFit="0" vertical="center" wrapText="0"/>
    </xf>
    <xf borderId="4" fillId="6" fontId="8" numFmtId="1" xfId="0" applyAlignment="1" applyBorder="1" applyFill="1" applyFont="1" applyNumberFormat="1">
      <alignment horizontal="center" shrinkToFit="0" vertical="center" wrapText="0"/>
    </xf>
    <xf borderId="4" fillId="6" fontId="8" numFmtId="168" xfId="0" applyAlignment="1" applyBorder="1" applyFill="1" applyFont="1" applyNumberFormat="1">
      <alignment horizontal="center" shrinkToFit="0" vertical="center" wrapText="0"/>
    </xf>
    <xf borderId="4" fillId="6" fontId="6" numFmtId="166" xfId="0" applyAlignment="1" applyBorder="1" applyFill="1" applyFont="1" applyNumberFormat="1">
      <alignment horizontal="center" shrinkToFit="0" vertical="center" wrapText="0"/>
    </xf>
    <xf borderId="1" fillId="2" fontId="1" numFmtId="0" xfId="0" applyAlignment="1" applyBorder="1" applyFill="1" applyFont="1">
      <alignment horizontal="center" shrinkToFit="0" vertical="center" wrapText="0"/>
    </xf>
    <xf borderId="0" fillId="0" fontId="5" numFmtId="0" xfId="0" applyAlignment="1" applyFont="1">
      <alignment shrinkToFit="0" vertical="bottom" wrapText="0"/>
    </xf>
    <xf borderId="1" fillId="7" fontId="7" numFmtId="0" xfId="0" applyAlignment="1" applyBorder="1" applyFill="1" applyFont="1">
      <alignment horizontal="left" shrinkToFit="0" vertical="center" wrapText="0"/>
    </xf>
    <xf borderId="0" fillId="0" fontId="5" numFmtId="0" xfId="0" applyAlignment="1" applyFont="1">
      <alignment shrinkToFit="0" vertical="center" wrapText="1"/>
    </xf>
    <xf borderId="5" fillId="7" fontId="7" numFmtId="0" xfId="0" applyAlignment="1" applyBorder="1" applyFill="1" applyFont="1">
      <alignment shrinkToFit="0" vertical="center" wrapText="1"/>
    </xf>
    <xf borderId="6" fillId="0" fontId="2" numFmtId="0" xfId="0" applyBorder="1" applyFont="1"/>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 fillId="7" fontId="7" numFmtId="1" xfId="0" applyAlignment="1" applyBorder="1" applyFill="1" applyFont="1" applyNumberFormat="1">
      <alignment horizontal="left" shrinkToFit="0" vertical="center" wrapText="0"/>
    </xf>
    <xf borderId="1" fillId="7" fontId="7" numFmtId="165" xfId="0" applyAlignment="1" applyBorder="1" applyFill="1" applyFont="1" applyNumberFormat="1">
      <alignment horizontal="left" shrinkToFit="0" vertical="center" wrapText="0"/>
    </xf>
    <xf borderId="1" fillId="7" fontId="7" numFmtId="167" xfId="0" applyAlignment="1" applyBorder="1" applyFill="1" applyFont="1" applyNumberFormat="1">
      <alignment horizontal="left" shrinkToFit="0" vertical="center" wrapText="0"/>
    </xf>
    <xf borderId="0" fillId="0" fontId="10" numFmtId="165" xfId="0" applyAlignment="1" applyFont="1" applyNumberFormat="1">
      <alignment horizontal="left" shrinkToFit="0" vertical="center" wrapText="0"/>
    </xf>
    <xf borderId="11" fillId="6" fontId="11" numFmtId="0" xfId="0" applyAlignment="1" applyBorder="1" applyFill="1" applyFont="1">
      <alignment horizontal="center" shrinkToFit="0" vertical="center" wrapText="1"/>
    </xf>
    <xf borderId="12" fillId="6" fontId="11" numFmtId="0" xfId="0" applyAlignment="1" applyBorder="1" applyFill="1" applyFont="1">
      <alignment horizontal="center" shrinkToFit="0" vertical="center" wrapText="1"/>
    </xf>
    <xf borderId="4" fillId="6" fontId="6" numFmtId="0" xfId="0" applyAlignment="1" applyBorder="1" applyFill="1" applyFont="1">
      <alignment horizontal="left" shrinkToFit="0" vertical="center" wrapText="1"/>
    </xf>
    <xf borderId="13" fillId="6" fontId="12" numFmtId="1" xfId="0" applyAlignment="1" applyBorder="1" applyFill="1" applyFont="1" applyNumberFormat="1">
      <alignment horizontal="center" shrinkToFit="0" vertical="center" wrapText="0"/>
    </xf>
    <xf borderId="14" fillId="6" fontId="12" numFmtId="1" xfId="0" applyAlignment="1" applyBorder="1" applyFill="1" applyFont="1" applyNumberFormat="1">
      <alignment horizontal="center" shrinkToFit="0" vertical="center" wrapText="0"/>
    </xf>
    <xf borderId="14" fillId="6" fontId="13" numFmtId="1" xfId="0" applyAlignment="1" applyBorder="1" applyFill="1" applyFont="1" applyNumberFormat="1">
      <alignment horizontal="center" shrinkToFit="0" vertical="center" wrapText="0"/>
    </xf>
    <xf borderId="14" fillId="6" fontId="12" numFmtId="169" xfId="0" applyAlignment="1" applyBorder="1" applyFill="1" applyFont="1" applyNumberFormat="1">
      <alignment horizontal="center" shrinkToFit="0" vertical="center" wrapText="0"/>
    </xf>
    <xf borderId="4" fillId="6" fontId="9" numFmtId="0" xfId="0" applyAlignment="1" applyBorder="1" applyFill="1" applyFont="1">
      <alignment horizontal="center" shrinkToFit="0" vertical="center" wrapText="0"/>
    </xf>
    <xf borderId="15" fillId="0" fontId="2" numFmtId="0" xfId="0" applyBorder="1" applyFont="1"/>
    <xf borderId="16" fillId="0" fontId="2" numFmtId="0" xfId="0" applyBorder="1" applyFont="1"/>
    <xf borderId="13" fillId="6" fontId="13" numFmtId="1" xfId="0" applyAlignment="1" applyBorder="1" applyFill="1" applyFont="1" applyNumberFormat="1">
      <alignment horizontal="center" shrinkToFit="0" vertical="center" wrapText="0"/>
    </xf>
    <xf borderId="14" fillId="6" fontId="12" numFmtId="170" xfId="0" applyAlignment="1" applyBorder="1" applyFill="1" applyFont="1" applyNumberFormat="1">
      <alignment horizontal="center" shrinkToFit="0" vertical="center" wrapText="0"/>
    </xf>
    <xf borderId="14" fillId="6" fontId="13" numFmtId="166" xfId="0" applyAlignment="1" applyBorder="1" applyFill="1" applyFont="1" applyNumberFormat="1">
      <alignment horizontal="center" shrinkToFit="0" vertical="center" wrapText="0"/>
    </xf>
    <xf borderId="14" fillId="6" fontId="12" numFmtId="3" xfId="0" applyAlignment="1" applyBorder="1" applyFill="1" applyFont="1" applyNumberFormat="1">
      <alignment horizontal="center" shrinkToFit="0" vertical="center" wrapText="0"/>
    </xf>
    <xf borderId="1" fillId="2" fontId="14" numFmtId="0" xfId="0" applyAlignment="1" applyBorder="1" applyFill="1" applyFont="1">
      <alignment shrinkToFit="0" vertical="center" wrapText="0"/>
    </xf>
    <xf borderId="17" fillId="3" fontId="4" numFmtId="0" xfId="0" applyAlignment="1" applyBorder="1" applyFill="1" applyFont="1">
      <alignment horizontal="center" shrinkToFit="0" vertical="center" wrapText="1"/>
    </xf>
    <xf borderId="18" fillId="0" fontId="2" numFmtId="0" xfId="0" applyBorder="1" applyFont="1"/>
    <xf borderId="19" fillId="0" fontId="2" numFmtId="0" xfId="0" applyBorder="1" applyFont="1"/>
    <xf borderId="4" fillId="5" fontId="10" numFmtId="0" xfId="0" applyAlignment="1" applyBorder="1" applyFill="1" applyFont="1">
      <alignment horizontal="center" shrinkToFit="0" vertical="center" wrapText="0"/>
    </xf>
    <xf borderId="17" fillId="5" fontId="6" numFmtId="0" xfId="0" applyAlignment="1" applyBorder="1" applyFill="1" applyFont="1">
      <alignment horizontal="left" shrinkToFit="0" vertical="center" wrapText="0"/>
    </xf>
    <xf borderId="20" fillId="0" fontId="2" numFmtId="0" xfId="0" applyBorder="1" applyFont="1"/>
    <xf borderId="4" fillId="6" fontId="10" numFmtId="0" xfId="0" applyAlignment="1" applyBorder="1" applyFill="1" applyFont="1">
      <alignment horizontal="center" shrinkToFit="0" vertical="center" wrapText="0"/>
    </xf>
    <xf borderId="17" fillId="6" fontId="6" numFmtId="0" xfId="0" applyAlignment="1" applyBorder="1" applyFill="1" applyFont="1">
      <alignment horizontal="left" shrinkToFit="0" vertical="center" wrapText="0"/>
    </xf>
    <xf borderId="4" fillId="5" fontId="6" numFmtId="9" xfId="0" applyAlignment="1" applyBorder="1" applyFill="1" applyFont="1" applyNumberFormat="1">
      <alignment horizontal="center" shrinkToFit="0" vertical="center" wrapText="0"/>
    </xf>
    <xf borderId="4" fillId="6" fontId="6" numFmtId="9" xfId="0" applyAlignment="1" applyBorder="1" applyFill="1" applyFont="1" applyNumberFormat="1">
      <alignment horizontal="center" shrinkToFit="0" vertical="center" wrapText="0"/>
    </xf>
    <xf borderId="4" fillId="2" fontId="4" numFmtId="0" xfId="0" applyAlignment="1" applyBorder="1" applyFill="1" applyFont="1">
      <alignment horizontal="left" shrinkToFit="0" vertical="center" wrapText="0"/>
    </xf>
    <xf borderId="4" fillId="2" fontId="4" numFmtId="1" xfId="0" applyAlignment="1" applyBorder="1" applyFill="1" applyFont="1" applyNumberFormat="1">
      <alignment horizontal="center" shrinkToFit="0" vertical="center" wrapText="0"/>
    </xf>
    <xf borderId="4" fillId="2" fontId="4" numFmtId="9" xfId="0" applyAlignment="1" applyBorder="1" applyFill="1" applyFont="1" applyNumberFormat="1">
      <alignment horizontal="center" shrinkToFit="0" vertical="center" wrapText="0"/>
    </xf>
    <xf borderId="4" fillId="2" fontId="4" numFmtId="166" xfId="0" applyAlignment="1" applyBorder="1" applyFill="1" applyFont="1" applyNumberFormat="1">
      <alignment horizontal="center" shrinkToFit="0" vertical="center" wrapText="0"/>
    </xf>
    <xf borderId="4" fillId="2" fontId="4" numFmtId="167" xfId="0" applyAlignment="1" applyBorder="1" applyFill="1" applyFont="1" applyNumberFormat="1">
      <alignment horizontal="center" shrinkToFit="0" vertical="center" wrapText="0"/>
    </xf>
    <xf borderId="4" fillId="5" fontId="10" numFmtId="167" xfId="0" applyAlignment="1" applyBorder="1" applyFill="1" applyFont="1" applyNumberFormat="1">
      <alignment horizontal="right" shrinkToFit="0" vertical="center" wrapText="0"/>
    </xf>
    <xf borderId="4" fillId="6" fontId="10" numFmtId="167" xfId="0" applyAlignment="1" applyBorder="1" applyFill="1" applyFont="1" applyNumberFormat="1">
      <alignment horizontal="right" shrinkToFit="0" vertical="center" wrapText="0"/>
    </xf>
    <xf borderId="0" fillId="0" fontId="15" numFmtId="0" xfId="0" applyAlignment="1" applyFont="1">
      <alignment shrinkToFit="0" vertical="bottom" wrapText="0"/>
    </xf>
    <xf borderId="0" fillId="0" fontId="16" numFmtId="0" xfId="0" applyAlignment="1" applyFont="1">
      <alignment shrinkToFit="0" vertical="bottom" wrapText="0"/>
    </xf>
    <xf borderId="0" fillId="0" fontId="15" numFmtId="0" xfId="0" applyAlignment="1" applyFont="1">
      <alignment shrinkToFit="0" vertical="center" wrapText="1"/>
    </xf>
    <xf borderId="4" fillId="5" fontId="7" numFmtId="1" xfId="0" applyAlignment="1" applyBorder="1" applyFill="1" applyFont="1" applyNumberFormat="1">
      <alignment horizontal="center" shrinkToFit="0" vertical="center" wrapText="0"/>
    </xf>
    <xf borderId="4" fillId="6" fontId="7" numFmtId="1" xfId="0" applyAlignment="1" applyBorder="1" applyFill="1" applyFont="1" applyNumberFormat="1">
      <alignment horizontal="center" shrinkToFit="0" vertical="center" wrapText="0"/>
    </xf>
    <xf borderId="4" fillId="5" fontId="7" numFmtId="1" xfId="0" applyAlignment="1" applyBorder="1" applyFill="1" applyFont="1" applyNumberFormat="1">
      <alignment horizontal="left" shrinkToFit="0" vertical="center" wrapText="0"/>
    </xf>
    <xf borderId="4" fillId="6" fontId="7" numFmtId="1" xfId="0" applyAlignment="1" applyBorder="1" applyFill="1" applyFont="1" applyNumberFormat="1">
      <alignment horizontal="left" shrinkToFit="0" vertical="center" wrapText="0"/>
    </xf>
  </cellXfs>
  <cellStyles count="1">
    <cellStyle xfId="0" name="Normal" builtinId="0"/>
  </cellStyles>
  <dxfs count="6">
    <dxf>
      <font>
        <b/>
        <color rgb="FFDC2626"/>
        <name val="Inter Tight"/>
      </font>
      <fill>
        <patternFill patternType="solid">
          <fgColor rgb="FFFEE2E2"/>
          <bgColor rgb="FFFEE2E2"/>
        </patternFill>
      </fill>
      <border/>
    </dxf>
    <dxf>
      <font>
        <b/>
        <color rgb="FFF26A1B"/>
        <name val="Inter Tight"/>
      </font>
      <fill>
        <patternFill patternType="solid">
          <fgColor rgb="FFFDE9DB"/>
          <bgColor rgb="FFFDE9DB"/>
        </patternFill>
      </fill>
      <border/>
    </dxf>
    <dxf>
      <font>
        <b/>
        <color rgb="FFDC2626"/>
        <name val="Inter Tight"/>
      </font>
      <fill>
        <patternFill patternType="none"/>
      </fill>
      <border/>
    </dxf>
    <dxf>
      <font>
        <color rgb="FF71717A"/>
        <name val="Inter Tight"/>
      </font>
      <fill>
        <patternFill patternType="none"/>
      </fill>
      <border/>
    </dxf>
    <dxf>
      <font>
        <b/>
        <color rgb="FFB45309"/>
        <name val="Inter Tight"/>
      </font>
      <fill>
        <patternFill patternType="none"/>
      </fill>
      <border/>
    </dxf>
    <dxf>
      <font>
        <b/>
        <color rgb="FF3F3F46"/>
        <name val="Inter Tight"/>
      </font>
      <fill>
        <patternFill patternType="solid">
          <fgColor rgb="FFE4E4E7"/>
          <bgColor rgb="FFE4E4E7"/>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Bảo trì đã làm và sự cố theo tháng</a:t>
            </a:r>
          </a:p>
        </c:rich>
      </c:tx>
      <c:overlay val="0"/>
    </c:title>
    <c:plotArea>
      <c:layout/>
      <c:barChart>
        <c:barDir val="col"/>
        <c:ser>
          <c:idx val="0"/>
          <c:order val="0"/>
          <c:tx>
            <c:v>Bảo trì theo kế hoạch đã làm</c:v>
          </c:tx>
          <c:spPr>
            <a:solidFill>
              <a:srgbClr val="F26A1B"/>
            </a:solidFill>
            <a:ln cmpd="sng">
              <a:noFill/>
            </a:ln>
          </c:spPr>
          <c:invertIfNegative val="0"/>
          <c:cat>
            <c:strRef>
              <c:f>'Tổng quan'!$A$53:$A$64</c:f>
            </c:strRef>
          </c:cat>
          <c:val>
            <c:numRef>
              <c:f>'Tổng quan'!$B$53:$B$64</c:f>
              <c:numCache/>
            </c:numRef>
          </c:val>
        </c:ser>
        <c:ser>
          <c:idx val="1"/>
          <c:order val="1"/>
          <c:tx>
            <c:v>Số sự cố</c:v>
          </c:tx>
          <c:spPr>
            <a:solidFill>
              <a:srgbClr val="3F3F46"/>
            </a:solidFill>
            <a:ln cmpd="sng">
              <a:noFill/>
            </a:ln>
          </c:spPr>
          <c:invertIfNegative val="0"/>
          <c:cat>
            <c:strRef>
              <c:f>'Tổng quan'!$A$53:$A$64</c:f>
            </c:strRef>
          </c:cat>
          <c:val>
            <c:numRef>
              <c:f>'Tổng quan'!$D$53:$D$64</c:f>
              <c:numCache/>
            </c:numRef>
          </c:val>
        </c:ser>
        <c:axId val="1232857667"/>
        <c:axId val="56533863"/>
      </c:barChart>
      <c:catAx>
        <c:axId val="123285766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56533863"/>
      </c:catAx>
      <c:valAx>
        <c:axId val="5653386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1000">
                <a:solidFill>
                  <a:srgbClr val="000000"/>
                </a:solidFill>
                <a:latin typeface="Calibri"/>
              </a:defRPr>
            </a:pPr>
          </a:p>
        </c:txPr>
        <c:crossAx val="1232857667"/>
      </c:valAx>
    </c:plotArea>
    <c:legend>
      <c:legendPos val="r"/>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Chi phí bảo trì theo nhóm thiết bị (VNĐ)</a:t>
            </a:r>
          </a:p>
        </c:rich>
      </c:tx>
      <c:overlay val="0"/>
    </c:title>
    <c:plotArea>
      <c:layout/>
      <c:barChart>
        <c:barDir val="bar"/>
        <c:varyColors val="0"/>
        <c:ser>
          <c:idx val="0"/>
          <c:order val="0"/>
          <c:tx>
            <c:v>Chi phí bảo trì (VNĐ)</c:v>
          </c:tx>
          <c:spPr>
            <a:solidFill>
              <a:srgbClr val="F26A1B"/>
            </a:solidFill>
            <a:ln cmpd="sng">
              <a:noFill/>
            </a:ln>
          </c:spPr>
          <c:invertIfNegative val="0"/>
          <c:cat>
            <c:strRef>
              <c:f>'Tổng quan'!$A$41:$A$47</c:f>
            </c:strRef>
          </c:cat>
          <c:val>
            <c:numRef>
              <c:f>'Tổng quan'!$I$41:$I$47</c:f>
              <c:numCache/>
            </c:numRef>
          </c:val>
        </c:ser>
        <c:axId val="790799189"/>
        <c:axId val="1103373692"/>
      </c:barChart>
      <c:catAx>
        <c:axId val="79079918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1103373692"/>
      </c:catAx>
      <c:valAx>
        <c:axId val="1103373692"/>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1000">
                <a:solidFill>
                  <a:srgbClr val="000000"/>
                </a:solidFill>
                <a:latin typeface="Calibri"/>
              </a:defRPr>
            </a:pPr>
          </a:p>
        </c:txPr>
        <c:crossAx val="790799189"/>
        <c:crosses val="max"/>
      </c:valAx>
    </c:plotArea>
    <c:plotVisOnly val="1"/>
  </c:chart>
  <c:spPr>
    <a:solidFill>
      <a:srgbClr val="FFFFFF"/>
    </a:solidFill>
  </c:spPr>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Chi phí theo tháng (VNĐ)</a:t>
            </a:r>
          </a:p>
        </c:rich>
      </c:tx>
      <c:overlay val="0"/>
    </c:title>
    <c:plotArea>
      <c:layout/>
      <c:barChart>
        <c:barDir val="col"/>
        <c:varyColors val="0"/>
        <c:ser>
          <c:idx val="0"/>
          <c:order val="0"/>
          <c:tx>
            <c:v>Tổng chi phí (VNĐ)</c:v>
          </c:tx>
          <c:spPr>
            <a:solidFill>
              <a:srgbClr val="3F3F46"/>
            </a:solidFill>
            <a:ln cmpd="sng">
              <a:noFill/>
            </a:ln>
          </c:spPr>
          <c:invertIfNegative val="0"/>
          <c:cat>
            <c:strRef>
              <c:f>'Tổng quan'!$A$53:$A$64</c:f>
            </c:strRef>
          </c:cat>
          <c:val>
            <c:numRef>
              <c:f>'Tổng quan'!$I$53:$I$64</c:f>
              <c:numCache/>
            </c:numRef>
          </c:val>
        </c:ser>
        <c:axId val="1379752387"/>
        <c:axId val="803942304"/>
      </c:barChart>
      <c:catAx>
        <c:axId val="1379752387"/>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803942304"/>
      </c:catAx>
      <c:valAx>
        <c:axId val="80394230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1000">
                <a:solidFill>
                  <a:srgbClr val="000000"/>
                </a:solidFill>
                <a:latin typeface="Calibri"/>
              </a:defRPr>
            </a:pPr>
          </a:p>
        </c:txPr>
        <c:crossAx val="1379752387"/>
      </c:valAx>
    </c:plotArea>
    <c:plotVisOnly val="1"/>
  </c:chart>
  <c:spPr>
    <a:solidFill>
      <a:srgbClr val="FFFFFF"/>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0</xdr:colOff>
      <xdr:row>3</xdr:row>
      <xdr:rowOff>0</xdr:rowOff>
    </xdr:from>
    <xdr:ext cx="5810250" cy="2886075"/>
    <xdr:graphicFrame>
      <xdr:nvGraphicFramePr>
        <xdr:cNvPr id="859574261"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13</xdr:col>
      <xdr:colOff>0</xdr:colOff>
      <xdr:row>21</xdr:row>
      <xdr:rowOff>0</xdr:rowOff>
    </xdr:from>
    <xdr:ext cx="5810250" cy="2876550"/>
    <xdr:graphicFrame>
      <xdr:nvGraphicFramePr>
        <xdr:cNvPr id="1785312160" name="Chart 2"/>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13</xdr:col>
      <xdr:colOff>0</xdr:colOff>
      <xdr:row>39</xdr:row>
      <xdr:rowOff>0</xdr:rowOff>
    </xdr:from>
    <xdr:ext cx="5810250" cy="2886075"/>
    <xdr:graphicFrame>
      <xdr:nvGraphicFramePr>
        <xdr:cNvPr id="787136166" name="Chart 3"/>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34.0"/>
    <col customWidth="1" min="2" max="12" width="15.0"/>
    <col customWidth="1" min="13" max="26" width="8.71"/>
  </cols>
  <sheetData>
    <row r="1" ht="42.0" customHeight="1">
      <c r="A1" s="40" t="s">
        <v>123</v>
      </c>
      <c r="B1" s="2"/>
      <c r="C1" s="2"/>
      <c r="D1" s="2"/>
      <c r="E1" s="2"/>
      <c r="F1" s="2"/>
      <c r="G1" s="2"/>
      <c r="H1" s="2"/>
      <c r="I1" s="2"/>
      <c r="J1" s="2"/>
      <c r="K1" s="2"/>
      <c r="L1" s="2"/>
      <c r="M1" s="2"/>
      <c r="N1" s="2"/>
      <c r="O1" s="2"/>
      <c r="P1" s="2"/>
      <c r="Q1" s="2"/>
      <c r="R1" s="2"/>
      <c r="S1" s="2"/>
      <c r="T1" s="2"/>
      <c r="U1" s="2"/>
      <c r="V1" s="2"/>
      <c r="W1" s="3"/>
    </row>
    <row r="2" ht="19.5" customHeight="1">
      <c r="A2" s="4" t="str">
        <f>"Năm "&amp;B6&amp;"  |  "&amp;B4&amp;"  |  "&amp;B5&amp;"  |  Ngày đối chiếu: "&amp;TEXT(B11,"dd/mm/yyyy")</f>
        <v>Năm 2026  |  Công ty TNHH ABC  |  Nhà máy Bao bì – Khu A  |  Ngày đối chiếu: 30/10/2026</v>
      </c>
    </row>
    <row r="4" ht="21.75" customHeight="1">
      <c r="A4" s="41" t="s">
        <v>126</v>
      </c>
      <c r="B4" s="42" t="s">
        <v>127</v>
      </c>
      <c r="C4" s="2"/>
      <c r="D4" s="3"/>
      <c r="F4" s="43" t="s">
        <v>130</v>
      </c>
      <c r="H4" s="44" t="s">
        <v>131</v>
      </c>
      <c r="I4" s="45"/>
      <c r="J4" s="45"/>
      <c r="K4" s="45"/>
      <c r="L4" s="46"/>
    </row>
    <row r="5" ht="21.75" customHeight="1">
      <c r="A5" s="41" t="s">
        <v>132</v>
      </c>
      <c r="B5" s="42" t="s">
        <v>133</v>
      </c>
      <c r="C5" s="2"/>
      <c r="D5" s="3"/>
      <c r="H5" s="47"/>
      <c r="I5" s="48"/>
      <c r="J5" s="48"/>
      <c r="K5" s="48"/>
      <c r="L5" s="49"/>
    </row>
    <row r="6" ht="21.75" customHeight="1">
      <c r="A6" s="41" t="s">
        <v>139</v>
      </c>
      <c r="B6" s="50">
        <v>2026.0</v>
      </c>
      <c r="C6" s="2"/>
      <c r="D6" s="3"/>
      <c r="F6" s="43" t="s">
        <v>142</v>
      </c>
      <c r="H6" s="44" t="s">
        <v>143</v>
      </c>
      <c r="I6" s="45"/>
      <c r="J6" s="45"/>
      <c r="K6" s="45"/>
      <c r="L6" s="46"/>
    </row>
    <row r="7" ht="21.75" customHeight="1">
      <c r="A7" s="41" t="s">
        <v>144</v>
      </c>
      <c r="B7" s="42" t="s">
        <v>67</v>
      </c>
      <c r="C7" s="2"/>
      <c r="D7" s="3"/>
      <c r="H7" s="47"/>
      <c r="I7" s="48"/>
      <c r="J7" s="48"/>
      <c r="K7" s="48"/>
      <c r="L7" s="49"/>
    </row>
    <row r="8" ht="21.75" customHeight="1">
      <c r="A8" s="41" t="s">
        <v>145</v>
      </c>
      <c r="B8" s="51">
        <v>46024.0</v>
      </c>
      <c r="C8" s="2"/>
      <c r="D8" s="3"/>
      <c r="F8" s="43" t="s">
        <v>147</v>
      </c>
      <c r="H8" s="44" t="s">
        <v>148</v>
      </c>
      <c r="I8" s="45"/>
      <c r="J8" s="45"/>
      <c r="K8" s="45"/>
      <c r="L8" s="46"/>
    </row>
    <row r="9" ht="21.75" customHeight="1">
      <c r="A9" s="41" t="s">
        <v>150</v>
      </c>
      <c r="B9" s="52">
        <v>1.2E8</v>
      </c>
      <c r="C9" s="2"/>
      <c r="D9" s="3"/>
      <c r="H9" s="47"/>
      <c r="I9" s="48"/>
      <c r="J9" s="48"/>
      <c r="K9" s="48"/>
      <c r="L9" s="49"/>
    </row>
    <row r="10" ht="21.75" customHeight="1">
      <c r="A10" s="41" t="s">
        <v>151</v>
      </c>
      <c r="B10" s="51"/>
      <c r="C10" s="2"/>
      <c r="D10" s="3"/>
      <c r="F10" s="43" t="s">
        <v>152</v>
      </c>
      <c r="H10" s="44" t="s">
        <v>153</v>
      </c>
      <c r="I10" s="45"/>
      <c r="J10" s="45"/>
      <c r="K10" s="45"/>
      <c r="L10" s="46"/>
    </row>
    <row r="11" ht="21.75" customHeight="1">
      <c r="A11" s="41" t="s">
        <v>155</v>
      </c>
      <c r="B11" s="53">
        <f>IF(B10="",TODAY(),B10)</f>
        <v>46325</v>
      </c>
      <c r="H11" s="47"/>
      <c r="I11" s="48"/>
      <c r="J11" s="48"/>
      <c r="K11" s="48"/>
      <c r="L11" s="49"/>
    </row>
    <row r="13" ht="27.75" customHeight="1">
      <c r="A13" s="54" t="s">
        <v>156</v>
      </c>
      <c r="B13" s="55" t="s">
        <v>157</v>
      </c>
      <c r="C13" s="3"/>
      <c r="D13" s="55" t="s">
        <v>158</v>
      </c>
      <c r="E13" s="3"/>
      <c r="F13" s="55" t="s">
        <v>159</v>
      </c>
      <c r="G13" s="3"/>
      <c r="H13" s="55" t="s">
        <v>160</v>
      </c>
      <c r="I13" s="3"/>
      <c r="J13" s="55" t="s">
        <v>161</v>
      </c>
      <c r="K13" s="2"/>
      <c r="L13" s="3"/>
    </row>
    <row r="14">
      <c r="A14" s="57">
        <f>COUNTIFS('Danh mục thiết bị'!$B$6:$B$65,"&lt;&gt;",'Danh mục thiết bị'!$J$6:$J$65,"&lt;&gt;Ngừng sử dụng")</f>
        <v>10</v>
      </c>
      <c r="B14" s="58">
        <f>SUMPRODUCT(--('Kế hoạch định kỳ'!$B$6:$B$125&lt;&gt;""))</f>
        <v>21</v>
      </c>
      <c r="C14" s="46"/>
      <c r="D14" s="59">
        <f>SUMPRODUCT(--(LEFT('Kế hoạch định kỳ'!$O$6:$O$125,7)="Quá hạn"))</f>
        <v>4</v>
      </c>
      <c r="E14" s="46"/>
      <c r="F14" s="58">
        <f>(SUMPRODUCT(--(LEFT('Kế hoạch định kỳ'!$O$6:$O$125,8)="Sắp đến"))+COUNTIF('Kế hoạch định kỳ'!$O$6:$O$125,"Đến hạn hôm nay"))</f>
        <v>0</v>
      </c>
      <c r="G14" s="46"/>
      <c r="H14" s="60">
        <f>IF(B14=0,0,1-D14/B14)</f>
        <v>0.8095238095</v>
      </c>
      <c r="I14" s="46"/>
      <c r="J14" s="60">
        <f>IF(B9=0,0,SUMIFS('Nhật ký bảo trì'!$O$6:$O$405,'Nhật ký bảo trì'!$B$6:$B$405,"&gt;="&amp;DATE('Tổng quan'!$B$6,1,1),'Nhật ký bảo trì'!$B$6:$B$405,"&lt;="&amp;DATE('Tổng quan'!$B$6,12,31))/B9)</f>
        <v>0.84775</v>
      </c>
      <c r="K14" s="45"/>
      <c r="L14" s="46"/>
    </row>
    <row r="15">
      <c r="A15" s="62"/>
      <c r="B15" s="63"/>
      <c r="C15" s="49"/>
      <c r="D15" s="63"/>
      <c r="E15" s="49"/>
      <c r="F15" s="63"/>
      <c r="G15" s="49"/>
      <c r="H15" s="63"/>
      <c r="I15" s="49"/>
      <c r="J15" s="63"/>
      <c r="K15" s="48"/>
      <c r="L15" s="49"/>
    </row>
    <row r="17" ht="27.75" customHeight="1">
      <c r="A17" s="54" t="s">
        <v>40</v>
      </c>
      <c r="B17" s="55" t="s">
        <v>41</v>
      </c>
      <c r="C17" s="3"/>
      <c r="D17" s="55" t="s">
        <v>174</v>
      </c>
      <c r="E17" s="3"/>
      <c r="F17" s="55" t="s">
        <v>175</v>
      </c>
      <c r="G17" s="3"/>
      <c r="H17" s="55" t="s">
        <v>176</v>
      </c>
      <c r="I17" s="3"/>
      <c r="J17" s="55" t="s">
        <v>177</v>
      </c>
      <c r="K17" s="2"/>
      <c r="L17" s="3"/>
    </row>
    <row r="18">
      <c r="A18" s="64">
        <f>COUNTIFS('Nhật ký bảo trì'!$C$6:$C$405,"Sửa chữa sự cố",'Nhật ký bảo trì'!$B$6:$B$405,"&gt;="&amp;DATE('Tổng quan'!$B$6,1,1),'Nhật ký bảo trì'!$B$6:$B$405,"&lt;="&amp;DATE('Tổng quan'!$B$6,12,31))</f>
        <v>6</v>
      </c>
      <c r="B18" s="65">
        <f>SUMIFS('Nhật ký bảo trì'!$K$6:$K$405,'Nhật ký bảo trì'!$B$6:$B$405,"&gt;="&amp;DATE('Tổng quan'!$B$6,1,1),'Nhật ký bảo trì'!$B$6:$B$405,"&lt;="&amp;DATE('Tổng quan'!$B$6,12,31))</f>
        <v>28</v>
      </c>
      <c r="C18" s="46"/>
      <c r="D18" s="66">
        <f>IF(A18=0,0,SUMIFS('Nhật ký bảo trì'!$J$6:$J$405,'Nhật ký bảo trì'!$C$6:$C$405,"Sửa chữa sự cố",'Nhật ký bảo trì'!$B$6:$B$405,"&gt;="&amp;DATE('Tổng quan'!$B$6,1,1),'Nhật ký bảo trì'!$B$6:$B$405,"&lt;="&amp;DATE('Tổng quan'!$B$6,12,31))/A18)</f>
        <v>4.916666667</v>
      </c>
      <c r="E18" s="46"/>
      <c r="F18" s="58">
        <f>COUNTIFS('Nhật ký bảo trì'!$Q$6:$Q$405,"Chưa xong – cần theo dõi",'Nhật ký bảo trì'!$B$6:$B$405,"&gt;="&amp;DATE('Tổng quan'!$B$6,1,1),'Nhật ký bảo trì'!$B$6:$B$405,"&lt;="&amp;DATE('Tổng quan'!$B$6,12,31))+COUNTIFS('Nhật ký bảo trì'!$Q$6:$Q$405,"Hoãn",'Nhật ký bảo trì'!$B$6:$B$405,"&gt;="&amp;DATE('Tổng quan'!$B$6,1,1),'Nhật ký bảo trì'!$B$6:$B$405,"&lt;="&amp;DATE('Tổng quan'!$B$6,12,31))</f>
        <v>1</v>
      </c>
      <c r="G18" s="46"/>
      <c r="H18" s="58">
        <f>SUMPRODUCT(--(LEFT('Danh mục thiết bị'!$W$6:$W$65,4)="Sắp "))</f>
        <v>1</v>
      </c>
      <c r="I18" s="46"/>
      <c r="J18" s="67">
        <f>SUMIFS('Nhật ký bảo trì'!$O$6:$O$405,'Nhật ký bảo trì'!$B$6:$B$405,"&gt;="&amp;DATE('Tổng quan'!$B$6,1,1),'Nhật ký bảo trì'!$B$6:$B$405,"&lt;="&amp;DATE('Tổng quan'!$B$6,12,31))</f>
        <v>101730000</v>
      </c>
      <c r="K18" s="45"/>
      <c r="L18" s="46"/>
    </row>
    <row r="19">
      <c r="A19" s="62"/>
      <c r="B19" s="63"/>
      <c r="C19" s="49"/>
      <c r="D19" s="63"/>
      <c r="E19" s="49"/>
      <c r="F19" s="63"/>
      <c r="G19" s="49"/>
      <c r="H19" s="63"/>
      <c r="I19" s="49"/>
      <c r="J19" s="63"/>
      <c r="K19" s="48"/>
      <c r="L19" s="49"/>
    </row>
    <row r="21" ht="24.0" customHeight="1">
      <c r="A21" s="68" t="s">
        <v>190</v>
      </c>
      <c r="B21" s="2"/>
      <c r="C21" s="2"/>
      <c r="D21" s="2"/>
      <c r="E21" s="2"/>
      <c r="F21" s="2"/>
      <c r="G21" s="2"/>
      <c r="H21" s="2"/>
      <c r="I21" s="2"/>
      <c r="J21" s="2"/>
      <c r="K21" s="2"/>
      <c r="L21" s="3"/>
    </row>
    <row r="22" ht="36.0" customHeight="1">
      <c r="A22" s="8" t="s">
        <v>21</v>
      </c>
      <c r="B22" s="8" t="s">
        <v>16</v>
      </c>
      <c r="C22" s="8" t="s">
        <v>193</v>
      </c>
      <c r="D22" s="8" t="s">
        <v>37</v>
      </c>
      <c r="E22" s="8" t="s">
        <v>48</v>
      </c>
      <c r="F22" s="8" t="s">
        <v>50</v>
      </c>
      <c r="G22" s="69" t="s">
        <v>23</v>
      </c>
      <c r="H22" s="70"/>
      <c r="I22" s="70"/>
      <c r="J22" s="70"/>
      <c r="K22" s="70"/>
      <c r="L22" s="71"/>
    </row>
    <row r="23" ht="21.75" customHeight="1">
      <c r="A23" s="14" t="str">
        <f t="array" ref="A23">IFERROR(INDEX('Kế hoạch định kỳ'!$D$6:$D$125,MATCH(SMALL('Kế hoạch định kỳ'!$Y$6:$Y$125,ROWS($A$23:A23)),'Kế hoạch định kỳ'!$Y$6:$Y$125,0)),"")</f>
        <v>Xe nâng điện 2,5 tấn #1</v>
      </c>
      <c r="B23" s="10" t="str">
        <f t="array" ref="B23">IFERROR(INDEX('Kế hoạch định kỳ'!$B$6:$B$125,MATCH(SMALL('Kế hoạch định kỳ'!$Y$6:$Y$125,ROWS($A$23:A23)),'Kế hoạch định kỳ'!$Y$6:$Y$125,0)),"")</f>
        <v>KH015</v>
      </c>
      <c r="C23" s="17">
        <f t="array" ref="C23">IF($B23="","",IFERROR(INDEX('Kế hoạch định kỳ'!$M$6:$M$125,MATCH(SMALL('Kế hoạch định kỳ'!$Y$6:$Y$125,ROWS($A$23:A23)),'Kế hoạch định kỳ'!$Y$6:$Y$125,0)),""))</f>
        <v>46296</v>
      </c>
      <c r="D23" s="16">
        <f t="array" ref="D23">IF($B23="","",IFERROR(INDEX('Kế hoạch định kỳ'!$N$6:$N$125,MATCH(SMALL('Kế hoạch định kỳ'!$Y$6:$Y$125,ROWS($A$23:A23)),'Kế hoạch định kỳ'!$Y$6:$Y$125,0)),""))</f>
        <v>-29</v>
      </c>
      <c r="E23" s="72" t="str">
        <f t="array" ref="E23">IFERROR(INDEX('Kế hoạch định kỳ'!$O$6:$O$125,MATCH(SMALL('Kế hoạch định kỳ'!$Y$6:$Y$125,ROWS($A$23:A23)),'Kế hoạch định kỳ'!$Y$6:$Y$125,0)),"")</f>
        <v>Quá hạn 29 ngày</v>
      </c>
      <c r="F23" s="14" t="str">
        <f t="array" ref="F23">IFERROR(INDEX('Kế hoạch định kỳ'!$Q$6:$Q$125,MATCH(SMALL('Kế hoạch định kỳ'!$Y$6:$Y$125,ROWS($A$23:A23)),'Kế hoạch định kỳ'!$Y$6:$Y$125,0)),"")</f>
        <v>Nhà thầu ngoài</v>
      </c>
      <c r="G23" s="73" t="str">
        <f t="array" ref="G23">IFERROR(INDEX('Kế hoạch định kỳ'!$F$6:$F$125,MATCH(SMALL('Kế hoạch định kỳ'!$Y$6:$Y$125,ROWS($A$23:A23)),'Kế hoạch định kỳ'!$Y$6:$Y$125,0)),"")</f>
        <v>Kiểm định an toàn xe nâng</v>
      </c>
      <c r="H23" s="70"/>
      <c r="I23" s="70"/>
      <c r="J23" s="70"/>
      <c r="K23" s="70"/>
      <c r="L23" s="74"/>
    </row>
    <row r="24" ht="21.75" customHeight="1">
      <c r="A24" s="28" t="str">
        <f t="array" ref="A24">IFERROR(INDEX('Kế hoạch định kỳ'!$D$6:$D$125,MATCH(SMALL('Kế hoạch định kỳ'!$Y$6:$Y$125,ROWS($A$23:A24)),'Kế hoạch định kỳ'!$Y$6:$Y$125,0)),"")</f>
        <v>Trạm biến áp 1000kVA</v>
      </c>
      <c r="B24" s="26" t="str">
        <f t="array" ref="B24">IFERROR(INDEX('Kế hoạch định kỳ'!$B$6:$B$125,MATCH(SMALL('Kế hoạch định kỳ'!$Y$6:$Y$125,ROWS($A$23:A24)),'Kế hoạch định kỳ'!$Y$6:$Y$125,0)),"")</f>
        <v>KH009</v>
      </c>
      <c r="C24" s="33">
        <f t="array" ref="C24">IF($B24="","",IFERROR(INDEX('Kế hoạch định kỳ'!$M$6:$M$125,MATCH(SMALL('Kế hoạch định kỳ'!$Y$6:$Y$125,ROWS($A$23:A24)),'Kế hoạch định kỳ'!$Y$6:$Y$125,0)),""))</f>
        <v>46308</v>
      </c>
      <c r="D24" s="30">
        <f t="array" ref="D24">IF($B24="","",IFERROR(INDEX('Kế hoạch định kỳ'!$N$6:$N$125,MATCH(SMALL('Kế hoạch định kỳ'!$Y$6:$Y$125,ROWS($A$23:A24)),'Kế hoạch định kỳ'!$Y$6:$Y$125,0)),""))</f>
        <v>-17</v>
      </c>
      <c r="E24" s="75" t="str">
        <f t="array" ref="E24">IFERROR(INDEX('Kế hoạch định kỳ'!$O$6:$O$125,MATCH(SMALL('Kế hoạch định kỳ'!$Y$6:$Y$125,ROWS($A$23:A24)),'Kế hoạch định kỳ'!$Y$6:$Y$125,0)),"")</f>
        <v>Quá hạn 17 ngày</v>
      </c>
      <c r="F24" s="28" t="str">
        <f t="array" ref="F24">IFERROR(INDEX('Kế hoạch định kỳ'!$Q$6:$Q$125,MATCH(SMALL('Kế hoạch định kỳ'!$Y$6:$Y$125,ROWS($A$23:A24)),'Kế hoạch định kỳ'!$Y$6:$Y$125,0)),"")</f>
        <v>Đỗ Thanh Tùng</v>
      </c>
      <c r="G24" s="76" t="str">
        <f t="array" ref="G24">IFERROR(INDEX('Kế hoạch định kỳ'!$F$6:$F$125,MATCH(SMALL('Kế hoạch định kỳ'!$Y$6:$Y$125,ROWS($A$23:A24)),'Kế hoạch định kỳ'!$Y$6:$Y$125,0)),"")</f>
        <v>Đo nhiệt độ mối nối, vệ sinh tủ trung thế</v>
      </c>
      <c r="H24" s="70"/>
      <c r="I24" s="70"/>
      <c r="J24" s="70"/>
      <c r="K24" s="70"/>
      <c r="L24" s="74"/>
    </row>
    <row r="25" ht="21.75" customHeight="1">
      <c r="A25" s="14" t="str">
        <f t="array" ref="A25">IFERROR(INDEX('Kế hoạch định kỳ'!$D$6:$D$125,MATCH(SMALL('Kế hoạch định kỳ'!$Y$6:$Y$125,ROWS($A$23:A25)),'Kế hoạch định kỳ'!$Y$6:$Y$125,0)),"")</f>
        <v>Máy cắt thành phẩm tự động</v>
      </c>
      <c r="B25" s="10" t="str">
        <f t="array" ref="B25">IFERROR(INDEX('Kế hoạch định kỳ'!$B$6:$B$125,MATCH(SMALL('Kế hoạch định kỳ'!$Y$6:$Y$125,ROWS($A$23:A25)),'Kế hoạch định kỳ'!$Y$6:$Y$125,0)),"")</f>
        <v>KH005</v>
      </c>
      <c r="C25" s="17">
        <f t="array" ref="C25">IF($B25="","",IFERROR(INDEX('Kế hoạch định kỳ'!$M$6:$M$125,MATCH(SMALL('Kế hoạch định kỳ'!$Y$6:$Y$125,ROWS($A$23:A25)),'Kế hoạch định kỳ'!$Y$6:$Y$125,0)),""))</f>
        <v>46321</v>
      </c>
      <c r="D25" s="16">
        <f t="array" ref="D25">IF($B25="","",IFERROR(INDEX('Kế hoạch định kỳ'!$N$6:$N$125,MATCH(SMALL('Kế hoạch định kỳ'!$Y$6:$Y$125,ROWS($A$23:A25)),'Kế hoạch định kỳ'!$Y$6:$Y$125,0)),""))</f>
        <v>-4</v>
      </c>
      <c r="E25" s="72" t="str">
        <f t="array" ref="E25">IFERROR(INDEX('Kế hoạch định kỳ'!$O$6:$O$125,MATCH(SMALL('Kế hoạch định kỳ'!$Y$6:$Y$125,ROWS($A$23:A25)),'Kế hoạch định kỳ'!$Y$6:$Y$125,0)),"")</f>
        <v>Quá hạn 4 ngày</v>
      </c>
      <c r="F25" s="14" t="str">
        <f t="array" ref="F25">IFERROR(INDEX('Kế hoạch định kỳ'!$Q$6:$Q$125,MATCH(SMALL('Kế hoạch định kỳ'!$Y$6:$Y$125,ROWS($A$23:A25)),'Kế hoạch định kỳ'!$Y$6:$Y$125,0)),"")</f>
        <v>Đỗ Thanh Tùng</v>
      </c>
      <c r="G25" s="73" t="str">
        <f t="array" ref="G25">IFERROR(INDEX('Kế hoạch định kỳ'!$F$6:$F$125,MATCH(SMALL('Kế hoạch định kỳ'!$Y$6:$Y$125,ROWS($A$23:A25)),'Kế hoạch định kỳ'!$Y$6:$Y$125,0)),"")</f>
        <v>Kiểm tra cảm biến an toàn, bôi trơn ray dẫn</v>
      </c>
      <c r="H25" s="70"/>
      <c r="I25" s="70"/>
      <c r="J25" s="70"/>
      <c r="K25" s="70"/>
      <c r="L25" s="74"/>
    </row>
    <row r="26" ht="21.75" customHeight="1">
      <c r="A26" s="28" t="str">
        <f t="array" ref="A26">IFERROR(INDEX('Kế hoạch định kỳ'!$D$6:$D$125,MATCH(SMALL('Kế hoạch định kỳ'!$Y$6:$Y$125,ROWS($A$23:A26)),'Kế hoạch định kỳ'!$Y$6:$Y$125,0)),"")</f>
        <v>Xe nâng điện 2,5 tấn #2</v>
      </c>
      <c r="B26" s="26" t="str">
        <f t="array" ref="B26">IFERROR(INDEX('Kế hoạch định kỳ'!$B$6:$B$125,MATCH(SMALL('Kế hoạch định kỳ'!$Y$6:$Y$125,ROWS($A$23:A26)),'Kế hoạch định kỳ'!$Y$6:$Y$125,0)),"")</f>
        <v>KH016</v>
      </c>
      <c r="C26" s="33">
        <f t="array" ref="C26">IF($B26="","",IFERROR(INDEX('Kế hoạch định kỳ'!$M$6:$M$125,MATCH(SMALL('Kế hoạch định kỳ'!$Y$6:$Y$125,ROWS($A$23:A26)),'Kế hoạch định kỳ'!$Y$6:$Y$125,0)),""))</f>
        <v>46324</v>
      </c>
      <c r="D26" s="30">
        <f t="array" ref="D26">IF($B26="","",IFERROR(INDEX('Kế hoạch định kỳ'!$N$6:$N$125,MATCH(SMALL('Kế hoạch định kỳ'!$Y$6:$Y$125,ROWS($A$23:A26)),'Kế hoạch định kỳ'!$Y$6:$Y$125,0)),""))</f>
        <v>-1</v>
      </c>
      <c r="E26" s="75" t="str">
        <f t="array" ref="E26">IFERROR(INDEX('Kế hoạch định kỳ'!$O$6:$O$125,MATCH(SMALL('Kế hoạch định kỳ'!$Y$6:$Y$125,ROWS($A$23:A26)),'Kế hoạch định kỳ'!$Y$6:$Y$125,0)),"")</f>
        <v>Quá hạn 1 ngày</v>
      </c>
      <c r="F26" s="28" t="str">
        <f t="array" ref="F26">IFERROR(INDEX('Kế hoạch định kỳ'!$Q$6:$Q$125,MATCH(SMALL('Kế hoạch định kỳ'!$Y$6:$Y$125,ROWS($A$23:A26)),'Kế hoạch định kỳ'!$Y$6:$Y$125,0)),"")</f>
        <v>Phạm Đức Thịnh</v>
      </c>
      <c r="G26" s="76" t="str">
        <f t="array" ref="G26">IFERROR(INDEX('Kế hoạch định kỳ'!$F$6:$F$125,MATCH(SMALL('Kế hoạch định kỳ'!$Y$6:$Y$125,ROWS($A$23:A26)),'Kế hoạch định kỳ'!$Y$6:$Y$125,0)),"")</f>
        <v>Kiểm tra ắc quy, phanh, hệ thống thủy lực</v>
      </c>
      <c r="H26" s="70"/>
      <c r="I26" s="70"/>
      <c r="J26" s="70"/>
      <c r="K26" s="70"/>
      <c r="L26" s="74"/>
    </row>
    <row r="27" ht="21.75" customHeight="1">
      <c r="A27" s="14" t="str">
        <f t="array" ref="A27">IFERROR(INDEX('Kế hoạch định kỳ'!$D$6:$D$125,MATCH(SMALL('Kế hoạch định kỳ'!$Y$6:$Y$125,ROWS($A$23:A27)),'Kế hoạch định kỳ'!$Y$6:$Y$125,0)),"")</f>
        <v/>
      </c>
      <c r="B27" s="10" t="str">
        <f t="array" ref="B27">IFERROR(INDEX('Kế hoạch định kỳ'!$B$6:$B$125,MATCH(SMALL('Kế hoạch định kỳ'!$Y$6:$Y$125,ROWS($A$23:A27)),'Kế hoạch định kỳ'!$Y$6:$Y$125,0)),"")</f>
        <v/>
      </c>
      <c r="C27" s="17" t="str">
        <f t="array" ref="C27">IF($B27="","",IFERROR(INDEX('Kế hoạch định kỳ'!$M$6:$M$125,MATCH(SMALL('Kế hoạch định kỳ'!$Y$6:$Y$125,ROWS($A$23:A27)),'Kế hoạch định kỳ'!$Y$6:$Y$125,0)),""))</f>
        <v/>
      </c>
      <c r="D27" s="16" t="str">
        <f t="array" ref="D27">IF($B27="","",IFERROR(INDEX('Kế hoạch định kỳ'!$N$6:$N$125,MATCH(SMALL('Kế hoạch định kỳ'!$Y$6:$Y$125,ROWS($A$23:A27)),'Kế hoạch định kỳ'!$Y$6:$Y$125,0)),""))</f>
        <v/>
      </c>
      <c r="E27" s="72" t="str">
        <f t="array" ref="E27">IFERROR(INDEX('Kế hoạch định kỳ'!$O$6:$O$125,MATCH(SMALL('Kế hoạch định kỳ'!$Y$6:$Y$125,ROWS($A$23:A27)),'Kế hoạch định kỳ'!$Y$6:$Y$125,0)),"")</f>
        <v/>
      </c>
      <c r="F27" s="14" t="str">
        <f t="array" ref="F27">IFERROR(INDEX('Kế hoạch định kỳ'!$Q$6:$Q$125,MATCH(SMALL('Kế hoạch định kỳ'!$Y$6:$Y$125,ROWS($A$23:A27)),'Kế hoạch định kỳ'!$Y$6:$Y$125,0)),"")</f>
        <v/>
      </c>
      <c r="G27" s="73" t="str">
        <f t="array" ref="G27">IFERROR(INDEX('Kế hoạch định kỳ'!$F$6:$F$125,MATCH(SMALL('Kế hoạch định kỳ'!$Y$6:$Y$125,ROWS($A$23:A27)),'Kế hoạch định kỳ'!$Y$6:$Y$125,0)),"")</f>
        <v/>
      </c>
      <c r="H27" s="70"/>
      <c r="I27" s="70"/>
      <c r="J27" s="70"/>
      <c r="K27" s="70"/>
      <c r="L27" s="74"/>
    </row>
    <row r="28" ht="21.75" customHeight="1">
      <c r="A28" s="28" t="str">
        <f t="array" ref="A28">IFERROR(INDEX('Kế hoạch định kỳ'!$D$6:$D$125,MATCH(SMALL('Kế hoạch định kỳ'!$Y$6:$Y$125,ROWS($A$23:A28)),'Kế hoạch định kỳ'!$Y$6:$Y$125,0)),"")</f>
        <v/>
      </c>
      <c r="B28" s="26" t="str">
        <f t="array" ref="B28">IFERROR(INDEX('Kế hoạch định kỳ'!$B$6:$B$125,MATCH(SMALL('Kế hoạch định kỳ'!$Y$6:$Y$125,ROWS($A$23:A28)),'Kế hoạch định kỳ'!$Y$6:$Y$125,0)),"")</f>
        <v/>
      </c>
      <c r="C28" s="33" t="str">
        <f t="array" ref="C28">IF($B28="","",IFERROR(INDEX('Kế hoạch định kỳ'!$M$6:$M$125,MATCH(SMALL('Kế hoạch định kỳ'!$Y$6:$Y$125,ROWS($A$23:A28)),'Kế hoạch định kỳ'!$Y$6:$Y$125,0)),""))</f>
        <v/>
      </c>
      <c r="D28" s="30" t="str">
        <f t="array" ref="D28">IF($B28="","",IFERROR(INDEX('Kế hoạch định kỳ'!$N$6:$N$125,MATCH(SMALL('Kế hoạch định kỳ'!$Y$6:$Y$125,ROWS($A$23:A28)),'Kế hoạch định kỳ'!$Y$6:$Y$125,0)),""))</f>
        <v/>
      </c>
      <c r="E28" s="75" t="str">
        <f t="array" ref="E28">IFERROR(INDEX('Kế hoạch định kỳ'!$O$6:$O$125,MATCH(SMALL('Kế hoạch định kỳ'!$Y$6:$Y$125,ROWS($A$23:A28)),'Kế hoạch định kỳ'!$Y$6:$Y$125,0)),"")</f>
        <v/>
      </c>
      <c r="F28" s="28" t="str">
        <f t="array" ref="F28">IFERROR(INDEX('Kế hoạch định kỳ'!$Q$6:$Q$125,MATCH(SMALL('Kế hoạch định kỳ'!$Y$6:$Y$125,ROWS($A$23:A28)),'Kế hoạch định kỳ'!$Y$6:$Y$125,0)),"")</f>
        <v/>
      </c>
      <c r="G28" s="76" t="str">
        <f t="array" ref="G28">IFERROR(INDEX('Kế hoạch định kỳ'!$F$6:$F$125,MATCH(SMALL('Kế hoạch định kỳ'!$Y$6:$Y$125,ROWS($A$23:A28)),'Kế hoạch định kỳ'!$Y$6:$Y$125,0)),"")</f>
        <v/>
      </c>
      <c r="H28" s="70"/>
      <c r="I28" s="70"/>
      <c r="J28" s="70"/>
      <c r="K28" s="70"/>
      <c r="L28" s="74"/>
    </row>
    <row r="29" ht="21.75" customHeight="1">
      <c r="A29" s="14" t="str">
        <f t="array" ref="A29">IFERROR(INDEX('Kế hoạch định kỳ'!$D$6:$D$125,MATCH(SMALL('Kế hoạch định kỳ'!$Y$6:$Y$125,ROWS($A$23:A29)),'Kế hoạch định kỳ'!$Y$6:$Y$125,0)),"")</f>
        <v/>
      </c>
      <c r="B29" s="10" t="str">
        <f t="array" ref="B29">IFERROR(INDEX('Kế hoạch định kỳ'!$B$6:$B$125,MATCH(SMALL('Kế hoạch định kỳ'!$Y$6:$Y$125,ROWS($A$23:A29)),'Kế hoạch định kỳ'!$Y$6:$Y$125,0)),"")</f>
        <v/>
      </c>
      <c r="C29" s="17" t="str">
        <f t="array" ref="C29">IF($B29="","",IFERROR(INDEX('Kế hoạch định kỳ'!$M$6:$M$125,MATCH(SMALL('Kế hoạch định kỳ'!$Y$6:$Y$125,ROWS($A$23:A29)),'Kế hoạch định kỳ'!$Y$6:$Y$125,0)),""))</f>
        <v/>
      </c>
      <c r="D29" s="16" t="str">
        <f t="array" ref="D29">IF($B29="","",IFERROR(INDEX('Kế hoạch định kỳ'!$N$6:$N$125,MATCH(SMALL('Kế hoạch định kỳ'!$Y$6:$Y$125,ROWS($A$23:A29)),'Kế hoạch định kỳ'!$Y$6:$Y$125,0)),""))</f>
        <v/>
      </c>
      <c r="E29" s="72" t="str">
        <f t="array" ref="E29">IFERROR(INDEX('Kế hoạch định kỳ'!$O$6:$O$125,MATCH(SMALL('Kế hoạch định kỳ'!$Y$6:$Y$125,ROWS($A$23:A29)),'Kế hoạch định kỳ'!$Y$6:$Y$125,0)),"")</f>
        <v/>
      </c>
      <c r="F29" s="14" t="str">
        <f t="array" ref="F29">IFERROR(INDEX('Kế hoạch định kỳ'!$Q$6:$Q$125,MATCH(SMALL('Kế hoạch định kỳ'!$Y$6:$Y$125,ROWS($A$23:A29)),'Kế hoạch định kỳ'!$Y$6:$Y$125,0)),"")</f>
        <v/>
      </c>
      <c r="G29" s="73" t="str">
        <f t="array" ref="G29">IFERROR(INDEX('Kế hoạch định kỳ'!$F$6:$F$125,MATCH(SMALL('Kế hoạch định kỳ'!$Y$6:$Y$125,ROWS($A$23:A29)),'Kế hoạch định kỳ'!$Y$6:$Y$125,0)),"")</f>
        <v/>
      </c>
      <c r="H29" s="70"/>
      <c r="I29" s="70"/>
      <c r="J29" s="70"/>
      <c r="K29" s="70"/>
      <c r="L29" s="74"/>
    </row>
    <row r="30" ht="21.75" customHeight="1">
      <c r="A30" s="28" t="str">
        <f t="array" ref="A30">IFERROR(INDEX('Kế hoạch định kỳ'!$D$6:$D$125,MATCH(SMALL('Kế hoạch định kỳ'!$Y$6:$Y$125,ROWS($A$23:A30)),'Kế hoạch định kỳ'!$Y$6:$Y$125,0)),"")</f>
        <v/>
      </c>
      <c r="B30" s="26" t="str">
        <f t="array" ref="B30">IFERROR(INDEX('Kế hoạch định kỳ'!$B$6:$B$125,MATCH(SMALL('Kế hoạch định kỳ'!$Y$6:$Y$125,ROWS($A$23:A30)),'Kế hoạch định kỳ'!$Y$6:$Y$125,0)),"")</f>
        <v/>
      </c>
      <c r="C30" s="33" t="str">
        <f t="array" ref="C30">IF($B30="","",IFERROR(INDEX('Kế hoạch định kỳ'!$M$6:$M$125,MATCH(SMALL('Kế hoạch định kỳ'!$Y$6:$Y$125,ROWS($A$23:A30)),'Kế hoạch định kỳ'!$Y$6:$Y$125,0)),""))</f>
        <v/>
      </c>
      <c r="D30" s="30" t="str">
        <f t="array" ref="D30">IF($B30="","",IFERROR(INDEX('Kế hoạch định kỳ'!$N$6:$N$125,MATCH(SMALL('Kế hoạch định kỳ'!$Y$6:$Y$125,ROWS($A$23:A30)),'Kế hoạch định kỳ'!$Y$6:$Y$125,0)),""))</f>
        <v/>
      </c>
      <c r="E30" s="75" t="str">
        <f t="array" ref="E30">IFERROR(INDEX('Kế hoạch định kỳ'!$O$6:$O$125,MATCH(SMALL('Kế hoạch định kỳ'!$Y$6:$Y$125,ROWS($A$23:A30)),'Kế hoạch định kỳ'!$Y$6:$Y$125,0)),"")</f>
        <v/>
      </c>
      <c r="F30" s="28" t="str">
        <f t="array" ref="F30">IFERROR(INDEX('Kế hoạch định kỳ'!$Q$6:$Q$125,MATCH(SMALL('Kế hoạch định kỳ'!$Y$6:$Y$125,ROWS($A$23:A30)),'Kế hoạch định kỳ'!$Y$6:$Y$125,0)),"")</f>
        <v/>
      </c>
      <c r="G30" s="76" t="str">
        <f t="array" ref="G30">IFERROR(INDEX('Kế hoạch định kỳ'!$F$6:$F$125,MATCH(SMALL('Kế hoạch định kỳ'!$Y$6:$Y$125,ROWS($A$23:A30)),'Kế hoạch định kỳ'!$Y$6:$Y$125,0)),"")</f>
        <v/>
      </c>
      <c r="H30" s="70"/>
      <c r="I30" s="70"/>
      <c r="J30" s="70"/>
      <c r="K30" s="70"/>
      <c r="L30" s="74"/>
    </row>
    <row r="31" ht="21.75" customHeight="1">
      <c r="A31" s="14" t="str">
        <f t="array" ref="A31">IFERROR(INDEX('Kế hoạch định kỳ'!$D$6:$D$125,MATCH(SMALL('Kế hoạch định kỳ'!$Y$6:$Y$125,ROWS($A$23:A31)),'Kế hoạch định kỳ'!$Y$6:$Y$125,0)),"")</f>
        <v/>
      </c>
      <c r="B31" s="10" t="str">
        <f t="array" ref="B31">IFERROR(INDEX('Kế hoạch định kỳ'!$B$6:$B$125,MATCH(SMALL('Kế hoạch định kỳ'!$Y$6:$Y$125,ROWS($A$23:A31)),'Kế hoạch định kỳ'!$Y$6:$Y$125,0)),"")</f>
        <v/>
      </c>
      <c r="C31" s="17" t="str">
        <f t="array" ref="C31">IF($B31="","",IFERROR(INDEX('Kế hoạch định kỳ'!$M$6:$M$125,MATCH(SMALL('Kế hoạch định kỳ'!$Y$6:$Y$125,ROWS($A$23:A31)),'Kế hoạch định kỳ'!$Y$6:$Y$125,0)),""))</f>
        <v/>
      </c>
      <c r="D31" s="16" t="str">
        <f t="array" ref="D31">IF($B31="","",IFERROR(INDEX('Kế hoạch định kỳ'!$N$6:$N$125,MATCH(SMALL('Kế hoạch định kỳ'!$Y$6:$Y$125,ROWS($A$23:A31)),'Kế hoạch định kỳ'!$Y$6:$Y$125,0)),""))</f>
        <v/>
      </c>
      <c r="E31" s="72" t="str">
        <f t="array" ref="E31">IFERROR(INDEX('Kế hoạch định kỳ'!$O$6:$O$125,MATCH(SMALL('Kế hoạch định kỳ'!$Y$6:$Y$125,ROWS($A$23:A31)),'Kế hoạch định kỳ'!$Y$6:$Y$125,0)),"")</f>
        <v/>
      </c>
      <c r="F31" s="14" t="str">
        <f t="array" ref="F31">IFERROR(INDEX('Kế hoạch định kỳ'!$Q$6:$Q$125,MATCH(SMALL('Kế hoạch định kỳ'!$Y$6:$Y$125,ROWS($A$23:A31)),'Kế hoạch định kỳ'!$Y$6:$Y$125,0)),"")</f>
        <v/>
      </c>
      <c r="G31" s="73" t="str">
        <f t="array" ref="G31">IFERROR(INDEX('Kế hoạch định kỳ'!$F$6:$F$125,MATCH(SMALL('Kế hoạch định kỳ'!$Y$6:$Y$125,ROWS($A$23:A31)),'Kế hoạch định kỳ'!$Y$6:$Y$125,0)),"")</f>
        <v/>
      </c>
      <c r="H31" s="70"/>
      <c r="I31" s="70"/>
      <c r="J31" s="70"/>
      <c r="K31" s="70"/>
      <c r="L31" s="74"/>
    </row>
    <row r="32" ht="21.75" customHeight="1">
      <c r="A32" s="28" t="str">
        <f t="array" ref="A32">IFERROR(INDEX('Kế hoạch định kỳ'!$D$6:$D$125,MATCH(SMALL('Kế hoạch định kỳ'!$Y$6:$Y$125,ROWS($A$23:A32)),'Kế hoạch định kỳ'!$Y$6:$Y$125,0)),"")</f>
        <v/>
      </c>
      <c r="B32" s="26" t="str">
        <f t="array" ref="B32">IFERROR(INDEX('Kế hoạch định kỳ'!$B$6:$B$125,MATCH(SMALL('Kế hoạch định kỳ'!$Y$6:$Y$125,ROWS($A$23:A32)),'Kế hoạch định kỳ'!$Y$6:$Y$125,0)),"")</f>
        <v/>
      </c>
      <c r="C32" s="33" t="str">
        <f t="array" ref="C32">IF($B32="","",IFERROR(INDEX('Kế hoạch định kỳ'!$M$6:$M$125,MATCH(SMALL('Kế hoạch định kỳ'!$Y$6:$Y$125,ROWS($A$23:A32)),'Kế hoạch định kỳ'!$Y$6:$Y$125,0)),""))</f>
        <v/>
      </c>
      <c r="D32" s="30" t="str">
        <f t="array" ref="D32">IF($B32="","",IFERROR(INDEX('Kế hoạch định kỳ'!$N$6:$N$125,MATCH(SMALL('Kế hoạch định kỳ'!$Y$6:$Y$125,ROWS($A$23:A32)),'Kế hoạch định kỳ'!$Y$6:$Y$125,0)),""))</f>
        <v/>
      </c>
      <c r="E32" s="75" t="str">
        <f t="array" ref="E32">IFERROR(INDEX('Kế hoạch định kỳ'!$O$6:$O$125,MATCH(SMALL('Kế hoạch định kỳ'!$Y$6:$Y$125,ROWS($A$23:A32)),'Kế hoạch định kỳ'!$Y$6:$Y$125,0)),"")</f>
        <v/>
      </c>
      <c r="F32" s="28" t="str">
        <f t="array" ref="F32">IFERROR(INDEX('Kế hoạch định kỳ'!$Q$6:$Q$125,MATCH(SMALL('Kế hoạch định kỳ'!$Y$6:$Y$125,ROWS($A$23:A32)),'Kế hoạch định kỳ'!$Y$6:$Y$125,0)),"")</f>
        <v/>
      </c>
      <c r="G32" s="76" t="str">
        <f t="array" ref="G32">IFERROR(INDEX('Kế hoạch định kỳ'!$F$6:$F$125,MATCH(SMALL('Kế hoạch định kỳ'!$Y$6:$Y$125,ROWS($A$23:A32)),'Kế hoạch định kỳ'!$Y$6:$Y$125,0)),"")</f>
        <v/>
      </c>
      <c r="H32" s="70"/>
      <c r="I32" s="70"/>
      <c r="J32" s="70"/>
      <c r="K32" s="70"/>
      <c r="L32" s="74"/>
    </row>
    <row r="33" ht="21.75" customHeight="1">
      <c r="A33" s="14" t="str">
        <f t="array" ref="A33">IFERROR(INDEX('Kế hoạch định kỳ'!$D$6:$D$125,MATCH(SMALL('Kế hoạch định kỳ'!$Y$6:$Y$125,ROWS($A$23:A33)),'Kế hoạch định kỳ'!$Y$6:$Y$125,0)),"")</f>
        <v/>
      </c>
      <c r="B33" s="10" t="str">
        <f t="array" ref="B33">IFERROR(INDEX('Kế hoạch định kỳ'!$B$6:$B$125,MATCH(SMALL('Kế hoạch định kỳ'!$Y$6:$Y$125,ROWS($A$23:A33)),'Kế hoạch định kỳ'!$Y$6:$Y$125,0)),"")</f>
        <v/>
      </c>
      <c r="C33" s="17" t="str">
        <f t="array" ref="C33">IF($B33="","",IFERROR(INDEX('Kế hoạch định kỳ'!$M$6:$M$125,MATCH(SMALL('Kế hoạch định kỳ'!$Y$6:$Y$125,ROWS($A$23:A33)),'Kế hoạch định kỳ'!$Y$6:$Y$125,0)),""))</f>
        <v/>
      </c>
      <c r="D33" s="16" t="str">
        <f t="array" ref="D33">IF($B33="","",IFERROR(INDEX('Kế hoạch định kỳ'!$N$6:$N$125,MATCH(SMALL('Kế hoạch định kỳ'!$Y$6:$Y$125,ROWS($A$23:A33)),'Kế hoạch định kỳ'!$Y$6:$Y$125,0)),""))</f>
        <v/>
      </c>
      <c r="E33" s="72" t="str">
        <f t="array" ref="E33">IFERROR(INDEX('Kế hoạch định kỳ'!$O$6:$O$125,MATCH(SMALL('Kế hoạch định kỳ'!$Y$6:$Y$125,ROWS($A$23:A33)),'Kế hoạch định kỳ'!$Y$6:$Y$125,0)),"")</f>
        <v/>
      </c>
      <c r="F33" s="14" t="str">
        <f t="array" ref="F33">IFERROR(INDEX('Kế hoạch định kỳ'!$Q$6:$Q$125,MATCH(SMALL('Kế hoạch định kỳ'!$Y$6:$Y$125,ROWS($A$23:A33)),'Kế hoạch định kỳ'!$Y$6:$Y$125,0)),"")</f>
        <v/>
      </c>
      <c r="G33" s="73" t="str">
        <f t="array" ref="G33">IFERROR(INDEX('Kế hoạch định kỳ'!$F$6:$F$125,MATCH(SMALL('Kế hoạch định kỳ'!$Y$6:$Y$125,ROWS($A$23:A33)),'Kế hoạch định kỳ'!$Y$6:$Y$125,0)),"")</f>
        <v/>
      </c>
      <c r="H33" s="70"/>
      <c r="I33" s="70"/>
      <c r="J33" s="70"/>
      <c r="K33" s="70"/>
      <c r="L33" s="74"/>
    </row>
    <row r="34" ht="21.75" customHeight="1">
      <c r="A34" s="28" t="str">
        <f t="array" ref="A34">IFERROR(INDEX('Kế hoạch định kỳ'!$D$6:$D$125,MATCH(SMALL('Kế hoạch định kỳ'!$Y$6:$Y$125,ROWS($A$23:A34)),'Kế hoạch định kỳ'!$Y$6:$Y$125,0)),"")</f>
        <v/>
      </c>
      <c r="B34" s="26" t="str">
        <f t="array" ref="B34">IFERROR(INDEX('Kế hoạch định kỳ'!$B$6:$B$125,MATCH(SMALL('Kế hoạch định kỳ'!$Y$6:$Y$125,ROWS($A$23:A34)),'Kế hoạch định kỳ'!$Y$6:$Y$125,0)),"")</f>
        <v/>
      </c>
      <c r="C34" s="33" t="str">
        <f t="array" ref="C34">IF($B34="","",IFERROR(INDEX('Kế hoạch định kỳ'!$M$6:$M$125,MATCH(SMALL('Kế hoạch định kỳ'!$Y$6:$Y$125,ROWS($A$23:A34)),'Kế hoạch định kỳ'!$Y$6:$Y$125,0)),""))</f>
        <v/>
      </c>
      <c r="D34" s="30" t="str">
        <f t="array" ref="D34">IF($B34="","",IFERROR(INDEX('Kế hoạch định kỳ'!$N$6:$N$125,MATCH(SMALL('Kế hoạch định kỳ'!$Y$6:$Y$125,ROWS($A$23:A34)),'Kế hoạch định kỳ'!$Y$6:$Y$125,0)),""))</f>
        <v/>
      </c>
      <c r="E34" s="75" t="str">
        <f t="array" ref="E34">IFERROR(INDEX('Kế hoạch định kỳ'!$O$6:$O$125,MATCH(SMALL('Kế hoạch định kỳ'!$Y$6:$Y$125,ROWS($A$23:A34)),'Kế hoạch định kỳ'!$Y$6:$Y$125,0)),"")</f>
        <v/>
      </c>
      <c r="F34" s="28" t="str">
        <f t="array" ref="F34">IFERROR(INDEX('Kế hoạch định kỳ'!$Q$6:$Q$125,MATCH(SMALL('Kế hoạch định kỳ'!$Y$6:$Y$125,ROWS($A$23:A34)),'Kế hoạch định kỳ'!$Y$6:$Y$125,0)),"")</f>
        <v/>
      </c>
      <c r="G34" s="76" t="str">
        <f t="array" ref="G34">IFERROR(INDEX('Kế hoạch định kỳ'!$F$6:$F$125,MATCH(SMALL('Kế hoạch định kỳ'!$Y$6:$Y$125,ROWS($A$23:A34)),'Kế hoạch định kỳ'!$Y$6:$Y$125,0)),"")</f>
        <v/>
      </c>
      <c r="H34" s="70"/>
      <c r="I34" s="70"/>
      <c r="J34" s="70"/>
      <c r="K34" s="70"/>
      <c r="L34" s="74"/>
    </row>
    <row r="35" ht="21.75" customHeight="1">
      <c r="A35" s="14" t="str">
        <f t="array" ref="A35">IFERROR(INDEX('Kế hoạch định kỳ'!$D$6:$D$125,MATCH(SMALL('Kế hoạch định kỳ'!$Y$6:$Y$125,ROWS($A$23:A35)),'Kế hoạch định kỳ'!$Y$6:$Y$125,0)),"")</f>
        <v/>
      </c>
      <c r="B35" s="10" t="str">
        <f t="array" ref="B35">IFERROR(INDEX('Kế hoạch định kỳ'!$B$6:$B$125,MATCH(SMALL('Kế hoạch định kỳ'!$Y$6:$Y$125,ROWS($A$23:A35)),'Kế hoạch định kỳ'!$Y$6:$Y$125,0)),"")</f>
        <v/>
      </c>
      <c r="C35" s="17" t="str">
        <f t="array" ref="C35">IF($B35="","",IFERROR(INDEX('Kế hoạch định kỳ'!$M$6:$M$125,MATCH(SMALL('Kế hoạch định kỳ'!$Y$6:$Y$125,ROWS($A$23:A35)),'Kế hoạch định kỳ'!$Y$6:$Y$125,0)),""))</f>
        <v/>
      </c>
      <c r="D35" s="16" t="str">
        <f t="array" ref="D35">IF($B35="","",IFERROR(INDEX('Kế hoạch định kỳ'!$N$6:$N$125,MATCH(SMALL('Kế hoạch định kỳ'!$Y$6:$Y$125,ROWS($A$23:A35)),'Kế hoạch định kỳ'!$Y$6:$Y$125,0)),""))</f>
        <v/>
      </c>
      <c r="E35" s="72" t="str">
        <f t="array" ref="E35">IFERROR(INDEX('Kế hoạch định kỳ'!$O$6:$O$125,MATCH(SMALL('Kế hoạch định kỳ'!$Y$6:$Y$125,ROWS($A$23:A35)),'Kế hoạch định kỳ'!$Y$6:$Y$125,0)),"")</f>
        <v/>
      </c>
      <c r="F35" s="14" t="str">
        <f t="array" ref="F35">IFERROR(INDEX('Kế hoạch định kỳ'!$Q$6:$Q$125,MATCH(SMALL('Kế hoạch định kỳ'!$Y$6:$Y$125,ROWS($A$23:A35)),'Kế hoạch định kỳ'!$Y$6:$Y$125,0)),"")</f>
        <v/>
      </c>
      <c r="G35" s="73" t="str">
        <f t="array" ref="G35">IFERROR(INDEX('Kế hoạch định kỳ'!$F$6:$F$125,MATCH(SMALL('Kế hoạch định kỳ'!$Y$6:$Y$125,ROWS($A$23:A35)),'Kế hoạch định kỳ'!$Y$6:$Y$125,0)),"")</f>
        <v/>
      </c>
      <c r="H35" s="70"/>
      <c r="I35" s="70"/>
      <c r="J35" s="70"/>
      <c r="K35" s="70"/>
      <c r="L35" s="74"/>
    </row>
    <row r="36" ht="21.75" customHeight="1">
      <c r="A36" s="28" t="str">
        <f t="array" ref="A36">IFERROR(INDEX('Kế hoạch định kỳ'!$D$6:$D$125,MATCH(SMALL('Kế hoạch định kỳ'!$Y$6:$Y$125,ROWS($A$23:A36)),'Kế hoạch định kỳ'!$Y$6:$Y$125,0)),"")</f>
        <v/>
      </c>
      <c r="B36" s="26" t="str">
        <f t="array" ref="B36">IFERROR(INDEX('Kế hoạch định kỳ'!$B$6:$B$125,MATCH(SMALL('Kế hoạch định kỳ'!$Y$6:$Y$125,ROWS($A$23:A36)),'Kế hoạch định kỳ'!$Y$6:$Y$125,0)),"")</f>
        <v/>
      </c>
      <c r="C36" s="33" t="str">
        <f t="array" ref="C36">IF($B36="","",IFERROR(INDEX('Kế hoạch định kỳ'!$M$6:$M$125,MATCH(SMALL('Kế hoạch định kỳ'!$Y$6:$Y$125,ROWS($A$23:A36)),'Kế hoạch định kỳ'!$Y$6:$Y$125,0)),""))</f>
        <v/>
      </c>
      <c r="D36" s="30" t="str">
        <f t="array" ref="D36">IF($B36="","",IFERROR(INDEX('Kế hoạch định kỳ'!$N$6:$N$125,MATCH(SMALL('Kế hoạch định kỳ'!$Y$6:$Y$125,ROWS($A$23:A36)),'Kế hoạch định kỳ'!$Y$6:$Y$125,0)),""))</f>
        <v/>
      </c>
      <c r="E36" s="75" t="str">
        <f t="array" ref="E36">IFERROR(INDEX('Kế hoạch định kỳ'!$O$6:$O$125,MATCH(SMALL('Kế hoạch định kỳ'!$Y$6:$Y$125,ROWS($A$23:A36)),'Kế hoạch định kỳ'!$Y$6:$Y$125,0)),"")</f>
        <v/>
      </c>
      <c r="F36" s="28" t="str">
        <f t="array" ref="F36">IFERROR(INDEX('Kế hoạch định kỳ'!$Q$6:$Q$125,MATCH(SMALL('Kế hoạch định kỳ'!$Y$6:$Y$125,ROWS($A$23:A36)),'Kế hoạch định kỳ'!$Y$6:$Y$125,0)),"")</f>
        <v/>
      </c>
      <c r="G36" s="76" t="str">
        <f t="array" ref="G36">IFERROR(INDEX('Kế hoạch định kỳ'!$F$6:$F$125,MATCH(SMALL('Kế hoạch định kỳ'!$Y$6:$Y$125,ROWS($A$23:A36)),'Kế hoạch định kỳ'!$Y$6:$Y$125,0)),"")</f>
        <v/>
      </c>
      <c r="H36" s="70"/>
      <c r="I36" s="70"/>
      <c r="J36" s="70"/>
      <c r="K36" s="70"/>
      <c r="L36" s="74"/>
    </row>
    <row r="37" ht="21.75" customHeight="1">
      <c r="A37" s="14" t="str">
        <f t="array" ref="A37">IFERROR(INDEX('Kế hoạch định kỳ'!$D$6:$D$125,MATCH(SMALL('Kế hoạch định kỳ'!$Y$6:$Y$125,ROWS($A$23:A37)),'Kế hoạch định kỳ'!$Y$6:$Y$125,0)),"")</f>
        <v/>
      </c>
      <c r="B37" s="10" t="str">
        <f t="array" ref="B37">IFERROR(INDEX('Kế hoạch định kỳ'!$B$6:$B$125,MATCH(SMALL('Kế hoạch định kỳ'!$Y$6:$Y$125,ROWS($A$23:A37)),'Kế hoạch định kỳ'!$Y$6:$Y$125,0)),"")</f>
        <v/>
      </c>
      <c r="C37" s="17" t="str">
        <f t="array" ref="C37">IF($B37="","",IFERROR(INDEX('Kế hoạch định kỳ'!$M$6:$M$125,MATCH(SMALL('Kế hoạch định kỳ'!$Y$6:$Y$125,ROWS($A$23:A37)),'Kế hoạch định kỳ'!$Y$6:$Y$125,0)),""))</f>
        <v/>
      </c>
      <c r="D37" s="16" t="str">
        <f t="array" ref="D37">IF($B37="","",IFERROR(INDEX('Kế hoạch định kỳ'!$N$6:$N$125,MATCH(SMALL('Kế hoạch định kỳ'!$Y$6:$Y$125,ROWS($A$23:A37)),'Kế hoạch định kỳ'!$Y$6:$Y$125,0)),""))</f>
        <v/>
      </c>
      <c r="E37" s="72" t="str">
        <f t="array" ref="E37">IFERROR(INDEX('Kế hoạch định kỳ'!$O$6:$O$125,MATCH(SMALL('Kế hoạch định kỳ'!$Y$6:$Y$125,ROWS($A$23:A37)),'Kế hoạch định kỳ'!$Y$6:$Y$125,0)),"")</f>
        <v/>
      </c>
      <c r="F37" s="14" t="str">
        <f t="array" ref="F37">IFERROR(INDEX('Kế hoạch định kỳ'!$Q$6:$Q$125,MATCH(SMALL('Kế hoạch định kỳ'!$Y$6:$Y$125,ROWS($A$23:A37)),'Kế hoạch định kỳ'!$Y$6:$Y$125,0)),"")</f>
        <v/>
      </c>
      <c r="G37" s="73" t="str">
        <f t="array" ref="G37">IFERROR(INDEX('Kế hoạch định kỳ'!$F$6:$F$125,MATCH(SMALL('Kế hoạch định kỳ'!$Y$6:$Y$125,ROWS($A$23:A37)),'Kế hoạch định kỳ'!$Y$6:$Y$125,0)),"")</f>
        <v/>
      </c>
      <c r="H37" s="70"/>
      <c r="I37" s="70"/>
      <c r="J37" s="70"/>
      <c r="K37" s="70"/>
      <c r="L37" s="74"/>
    </row>
    <row r="38" ht="15.75" customHeight="1"/>
    <row r="39" ht="24.0" customHeight="1">
      <c r="A39" s="68" t="s">
        <v>233</v>
      </c>
      <c r="B39" s="2"/>
      <c r="C39" s="2"/>
      <c r="D39" s="2"/>
      <c r="E39" s="2"/>
      <c r="F39" s="2"/>
      <c r="G39" s="2"/>
      <c r="H39" s="2"/>
      <c r="I39" s="2"/>
      <c r="J39" s="2"/>
      <c r="K39" s="2"/>
      <c r="L39" s="3"/>
    </row>
    <row r="40" ht="36.0" customHeight="1">
      <c r="A40" s="8" t="s">
        <v>18</v>
      </c>
      <c r="B40" s="8" t="s">
        <v>234</v>
      </c>
      <c r="C40" s="8" t="s">
        <v>235</v>
      </c>
      <c r="D40" s="8" t="s">
        <v>236</v>
      </c>
      <c r="E40" s="8" t="s">
        <v>237</v>
      </c>
      <c r="F40" s="8" t="s">
        <v>238</v>
      </c>
      <c r="G40" s="8" t="s">
        <v>40</v>
      </c>
      <c r="H40" s="8" t="s">
        <v>239</v>
      </c>
      <c r="I40" s="8" t="s">
        <v>240</v>
      </c>
    </row>
    <row r="41" ht="21.75" customHeight="1">
      <c r="A41" s="14" t="str">
        <f>IF('Cài đặt'!A6="","",'Cài đặt'!A6)</f>
        <v>Máy sản xuất</v>
      </c>
      <c r="B41" s="16">
        <f>IF($A41="","",COUNTIFS('Danh mục thiết bị'!$D$6:$D$65,$A41,'Danh mục thiết bị'!$J$6:$J$65,"&lt;&gt;Ngừng sử dụng"))</f>
        <v>3</v>
      </c>
      <c r="C41" s="16">
        <f>IF($A41="","",COUNTIFS('Kế hoạch định kỳ'!$E$6:$E$125,$A41))</f>
        <v>7</v>
      </c>
      <c r="D41" s="16">
        <f>IF($A41="","",SUMPRODUCT(('Kế hoạch định kỳ'!$E$6:$E$125=$A41)*(LEFT('Kế hoạch định kỳ'!$O$6:$O$125,7)="Quá hạn")))</f>
        <v>1</v>
      </c>
      <c r="E41" s="16">
        <f>IF($A41="","",SUMPRODUCT(('Kế hoạch định kỳ'!$E$6:$E$125=$A41)*((LEFT('Kế hoạch định kỳ'!$O$6:$O$125,8)="Sắp đến")+('Kế hoạch định kỳ'!$O$6:$O$125="Đến hạn hôm nay"))))</f>
        <v>0</v>
      </c>
      <c r="F41" s="77">
        <f t="shared" ref="F41:F48" si="1">IF(OR($A41="",N(C41)=0),"",1-D41/C41)</f>
        <v>0.8571428571</v>
      </c>
      <c r="G41" s="16">
        <f>IF($A41="","",COUNTIFS('Nhật ký bảo trì'!$G$6:$G$405,$A41,'Nhật ký bảo trì'!$C$6:$C$405,"Sửa chữa sự cố",'Nhật ký bảo trì'!$B$6:$B$405,"&gt;="&amp;DATE('Tổng quan'!$B$6,1,1),'Nhật ký bảo trì'!$B$6:$B$405,"&lt;="&amp;DATE('Tổng quan'!$B$6,12,31)))</f>
        <v>3</v>
      </c>
      <c r="H41" s="22">
        <f>IF($A41="","",SUMIFS('Nhật ký bảo trì'!$K$6:$K$405,'Nhật ký bảo trì'!$G$6:$G$405,$A41,'Nhật ký bảo trì'!$B$6:$B$405,"&gt;="&amp;DATE('Tổng quan'!$B$6,1,1),'Nhật ký bảo trì'!$B$6:$B$405,"&lt;="&amp;DATE('Tổng quan'!$B$6,12,31)))</f>
        <v>12</v>
      </c>
      <c r="I41" s="21">
        <f>IF($A41="","",SUMIFS('Nhật ký bảo trì'!$O$6:$O$405,'Nhật ký bảo trì'!$G$6:$G$405,$A41,'Nhật ký bảo trì'!$B$6:$B$405,"&gt;="&amp;DATE('Tổng quan'!$B$6,1,1),'Nhật ký bảo trì'!$B$6:$B$405,"&lt;="&amp;DATE('Tổng quan'!$B$6,12,31)))</f>
        <v>46550000</v>
      </c>
    </row>
    <row r="42" ht="21.75" customHeight="1">
      <c r="A42" s="28" t="str">
        <f>IF('Cài đặt'!A7="","",'Cài đặt'!A7)</f>
        <v>Hệ thống điện</v>
      </c>
      <c r="B42" s="30">
        <f>IF($A42="","",COUNTIFS('Danh mục thiết bị'!$D$6:$D$65,$A42,'Danh mục thiết bị'!$J$6:$J$65,"&lt;&gt;Ngừng sử dụng"))</f>
        <v>1</v>
      </c>
      <c r="C42" s="30">
        <f>IF($A42="","",COUNTIFS('Kế hoạch định kỳ'!$E$6:$E$125,$A42))</f>
        <v>2</v>
      </c>
      <c r="D42" s="30">
        <f>IF($A42="","",SUMPRODUCT(('Kế hoạch định kỳ'!$E$6:$E$125=$A42)*(LEFT('Kế hoạch định kỳ'!$O$6:$O$125,7)="Quá hạn")))</f>
        <v>1</v>
      </c>
      <c r="E42" s="30">
        <f>IF($A42="","",SUMPRODUCT(('Kế hoạch định kỳ'!$E$6:$E$125=$A42)*((LEFT('Kế hoạch định kỳ'!$O$6:$O$125,8)="Sắp đến")+('Kế hoạch định kỳ'!$O$6:$O$125="Đến hạn hôm nay"))))</f>
        <v>0</v>
      </c>
      <c r="F42" s="78">
        <f t="shared" si="1"/>
        <v>0.5</v>
      </c>
      <c r="G42" s="30">
        <f>IF($A42="","",COUNTIFS('Nhật ký bảo trì'!$G$6:$G$405,$A42,'Nhật ký bảo trì'!$C$6:$C$405,"Sửa chữa sự cố",'Nhật ký bảo trì'!$B$6:$B$405,"&gt;="&amp;DATE('Tổng quan'!$B$6,1,1),'Nhật ký bảo trì'!$B$6:$B$405,"&lt;="&amp;DATE('Tổng quan'!$B$6,12,31)))</f>
        <v>0</v>
      </c>
      <c r="H42" s="39">
        <f>IF($A42="","",SUMIFS('Nhật ký bảo trì'!$K$6:$K$405,'Nhật ký bảo trì'!$G$6:$G$405,$A42,'Nhật ký bảo trì'!$B$6:$B$405,"&gt;="&amp;DATE('Tổng quan'!$B$6,1,1),'Nhật ký bảo trì'!$B$6:$B$405,"&lt;="&amp;DATE('Tổng quan'!$B$6,12,31)))</f>
        <v>0</v>
      </c>
      <c r="I42" s="36">
        <f>IF($A42="","",SUMIFS('Nhật ký bảo trì'!$O$6:$O$405,'Nhật ký bảo trì'!$G$6:$G$405,$A42,'Nhật ký bảo trì'!$B$6:$B$405,"&gt;="&amp;DATE('Tổng quan'!$B$6,1,1),'Nhật ký bảo trì'!$B$6:$B$405,"&lt;="&amp;DATE('Tổng quan'!$B$6,12,31)))</f>
        <v>12500000</v>
      </c>
    </row>
    <row r="43" ht="21.75" customHeight="1">
      <c r="A43" s="14" t="str">
        <f>IF('Cài đặt'!A8="","",'Cài đặt'!A8)</f>
        <v>Máy nén khí</v>
      </c>
      <c r="B43" s="16">
        <f>IF($A43="","",COUNTIFS('Danh mục thiết bị'!$D$6:$D$65,$A43,'Danh mục thiết bị'!$J$6:$J$65,"&lt;&gt;Ngừng sử dụng"))</f>
        <v>1</v>
      </c>
      <c r="C43" s="16">
        <f>IF($A43="","",COUNTIFS('Kế hoạch định kỳ'!$E$6:$E$125,$A43))</f>
        <v>3</v>
      </c>
      <c r="D43" s="16">
        <f>IF($A43="","",SUMPRODUCT(('Kế hoạch định kỳ'!$E$6:$E$125=$A43)*(LEFT('Kế hoạch định kỳ'!$O$6:$O$125,7)="Quá hạn")))</f>
        <v>0</v>
      </c>
      <c r="E43" s="16">
        <f>IF($A43="","",SUMPRODUCT(('Kế hoạch định kỳ'!$E$6:$E$125=$A43)*((LEFT('Kế hoạch định kỳ'!$O$6:$O$125,8)="Sắp đến")+('Kế hoạch định kỳ'!$O$6:$O$125="Đến hạn hôm nay"))))</f>
        <v>0</v>
      </c>
      <c r="F43" s="77">
        <f t="shared" si="1"/>
        <v>1</v>
      </c>
      <c r="G43" s="16">
        <f>IF($A43="","",COUNTIFS('Nhật ký bảo trì'!$G$6:$G$405,$A43,'Nhật ký bảo trì'!$C$6:$C$405,"Sửa chữa sự cố",'Nhật ký bảo trì'!$B$6:$B$405,"&gt;="&amp;DATE('Tổng quan'!$B$6,1,1),'Nhật ký bảo trì'!$B$6:$B$405,"&lt;="&amp;DATE('Tổng quan'!$B$6,12,31)))</f>
        <v>1</v>
      </c>
      <c r="H43" s="22">
        <f>IF($A43="","",SUMIFS('Nhật ký bảo trì'!$K$6:$K$405,'Nhật ký bảo trì'!$G$6:$G$405,$A43,'Nhật ký bảo trì'!$B$6:$B$405,"&gt;="&amp;DATE('Tổng quan'!$B$6,1,1),'Nhật ký bảo trì'!$B$6:$B$405,"&lt;="&amp;DATE('Tổng quan'!$B$6,12,31)))</f>
        <v>3</v>
      </c>
      <c r="I43" s="21">
        <f>IF($A43="","",SUMIFS('Nhật ký bảo trì'!$O$6:$O$405,'Nhật ký bảo trì'!$G$6:$G$405,$A43,'Nhật ký bảo trì'!$B$6:$B$405,"&gt;="&amp;DATE('Tổng quan'!$B$6,1,1),'Nhật ký bảo trì'!$B$6:$B$405,"&lt;="&amp;DATE('Tổng quan'!$B$6,12,31)))</f>
        <v>13700000</v>
      </c>
    </row>
    <row r="44" ht="21.75" customHeight="1">
      <c r="A44" s="28" t="str">
        <f>IF('Cài đặt'!A9="","",'Cài đặt'!A9)</f>
        <v>Điều hòa – thông gió</v>
      </c>
      <c r="B44" s="30">
        <f>IF($A44="","",COUNTIFS('Danh mục thiết bị'!$D$6:$D$65,$A44,'Danh mục thiết bị'!$J$6:$J$65,"&lt;&gt;Ngừng sử dụng"))</f>
        <v>1</v>
      </c>
      <c r="C44" s="30">
        <f>IF($A44="","",COUNTIFS('Kế hoạch định kỳ'!$E$6:$E$125,$A44))</f>
        <v>2</v>
      </c>
      <c r="D44" s="30">
        <f>IF($A44="","",SUMPRODUCT(('Kế hoạch định kỳ'!$E$6:$E$125=$A44)*(LEFT('Kế hoạch định kỳ'!$O$6:$O$125,7)="Quá hạn")))</f>
        <v>0</v>
      </c>
      <c r="E44" s="30">
        <f>IF($A44="","",SUMPRODUCT(('Kế hoạch định kỳ'!$E$6:$E$125=$A44)*((LEFT('Kế hoạch định kỳ'!$O$6:$O$125,8)="Sắp đến")+('Kế hoạch định kỳ'!$O$6:$O$125="Đến hạn hôm nay"))))</f>
        <v>0</v>
      </c>
      <c r="F44" s="78">
        <f t="shared" si="1"/>
        <v>1</v>
      </c>
      <c r="G44" s="30">
        <f>IF($A44="","",COUNTIFS('Nhật ký bảo trì'!$G$6:$G$405,$A44,'Nhật ký bảo trì'!$C$6:$C$405,"Sửa chữa sự cố",'Nhật ký bảo trì'!$B$6:$B$405,"&gt;="&amp;DATE('Tổng quan'!$B$6,1,1),'Nhật ký bảo trì'!$B$6:$B$405,"&lt;="&amp;DATE('Tổng quan'!$B$6,12,31)))</f>
        <v>1</v>
      </c>
      <c r="H44" s="39">
        <f>IF($A44="","",SUMIFS('Nhật ký bảo trì'!$K$6:$K$405,'Nhật ký bảo trì'!$G$6:$G$405,$A44,'Nhật ký bảo trì'!$B$6:$B$405,"&gt;="&amp;DATE('Tổng quan'!$B$6,1,1),'Nhật ký bảo trì'!$B$6:$B$405,"&lt;="&amp;DATE('Tổng quan'!$B$6,12,31)))</f>
        <v>5</v>
      </c>
      <c r="I44" s="36">
        <f>IF($A44="","",SUMIFS('Nhật ký bảo trì'!$O$6:$O$405,'Nhật ký bảo trì'!$G$6:$G$405,$A44,'Nhật ký bảo trì'!$B$6:$B$405,"&gt;="&amp;DATE('Tổng quan'!$B$6,1,1),'Nhật ký bảo trì'!$B$6:$B$405,"&lt;="&amp;DATE('Tổng quan'!$B$6,12,31)))</f>
        <v>15400000</v>
      </c>
    </row>
    <row r="45" ht="21.75" customHeight="1">
      <c r="A45" s="14" t="str">
        <f>IF('Cài đặt'!A10="","",'Cài đặt'!A10)</f>
        <v>Băng tải – nâng hạ</v>
      </c>
      <c r="B45" s="16">
        <f>IF($A45="","",COUNTIFS('Danh mục thiết bị'!$D$6:$D$65,$A45,'Danh mục thiết bị'!$J$6:$J$65,"&lt;&gt;Ngừng sử dụng"))</f>
        <v>1</v>
      </c>
      <c r="C45" s="16">
        <f>IF($A45="","",COUNTIFS('Kế hoạch định kỳ'!$E$6:$E$125,$A45))</f>
        <v>2</v>
      </c>
      <c r="D45" s="16">
        <f>IF($A45="","",SUMPRODUCT(('Kế hoạch định kỳ'!$E$6:$E$125=$A45)*(LEFT('Kế hoạch định kỳ'!$O$6:$O$125,7)="Quá hạn")))</f>
        <v>0</v>
      </c>
      <c r="E45" s="16">
        <f>IF($A45="","",SUMPRODUCT(('Kế hoạch định kỳ'!$E$6:$E$125=$A45)*((LEFT('Kế hoạch định kỳ'!$O$6:$O$125,8)="Sắp đến")+('Kế hoạch định kỳ'!$O$6:$O$125="Đến hạn hôm nay"))))</f>
        <v>0</v>
      </c>
      <c r="F45" s="77">
        <f t="shared" si="1"/>
        <v>1</v>
      </c>
      <c r="G45" s="16">
        <f>IF($A45="","",COUNTIFS('Nhật ký bảo trì'!$G$6:$G$405,$A45,'Nhật ký bảo trì'!$C$6:$C$405,"Sửa chữa sự cố",'Nhật ký bảo trì'!$B$6:$B$405,"&gt;="&amp;DATE('Tổng quan'!$B$6,1,1),'Nhật ký bảo trì'!$B$6:$B$405,"&lt;="&amp;DATE('Tổng quan'!$B$6,12,31)))</f>
        <v>0</v>
      </c>
      <c r="H45" s="22">
        <f>IF($A45="","",SUMIFS('Nhật ký bảo trì'!$K$6:$K$405,'Nhật ký bảo trì'!$G$6:$G$405,$A45,'Nhật ký bảo trì'!$B$6:$B$405,"&gt;="&amp;DATE('Tổng quan'!$B$6,1,1),'Nhật ký bảo trì'!$B$6:$B$405,"&lt;="&amp;DATE('Tổng quan'!$B$6,12,31)))</f>
        <v>0</v>
      </c>
      <c r="I45" s="21">
        <f>IF($A45="","",SUMIFS('Nhật ký bảo trì'!$O$6:$O$405,'Nhật ký bảo trì'!$G$6:$G$405,$A45,'Nhật ký bảo trì'!$B$6:$B$405,"&gt;="&amp;DATE('Tổng quan'!$B$6,1,1),'Nhật ký bảo trì'!$B$6:$B$405,"&lt;="&amp;DATE('Tổng quan'!$B$6,12,31)))</f>
        <v>2440000</v>
      </c>
    </row>
    <row r="46" ht="21.75" customHeight="1">
      <c r="A46" s="28" t="str">
        <f>IF('Cài đặt'!A11="","",'Cài đặt'!A11)</f>
        <v>Phương tiện – xe nâng</v>
      </c>
      <c r="B46" s="30">
        <f>IF($A46="","",COUNTIFS('Danh mục thiết bị'!$D$6:$D$65,$A46,'Danh mục thiết bị'!$J$6:$J$65,"&lt;&gt;Ngừng sử dụng"))</f>
        <v>2</v>
      </c>
      <c r="C46" s="30">
        <f>IF($A46="","",COUNTIFS('Kế hoạch định kỳ'!$E$6:$E$125,$A46))</f>
        <v>3</v>
      </c>
      <c r="D46" s="30">
        <f>IF($A46="","",SUMPRODUCT(('Kế hoạch định kỳ'!$E$6:$E$125=$A46)*(LEFT('Kế hoạch định kỳ'!$O$6:$O$125,7)="Quá hạn")))</f>
        <v>2</v>
      </c>
      <c r="E46" s="30">
        <f>IF($A46="","",SUMPRODUCT(('Kế hoạch định kỳ'!$E$6:$E$125=$A46)*((LEFT('Kế hoạch định kỳ'!$O$6:$O$125,8)="Sắp đến")+('Kế hoạch định kỳ'!$O$6:$O$125="Đến hạn hôm nay"))))</f>
        <v>0</v>
      </c>
      <c r="F46" s="78">
        <f t="shared" si="1"/>
        <v>0.3333333333</v>
      </c>
      <c r="G46" s="30">
        <f>IF($A46="","",COUNTIFS('Nhật ký bảo trì'!$G$6:$G$405,$A46,'Nhật ký bảo trì'!$C$6:$C$405,"Sửa chữa sự cố",'Nhật ký bảo trì'!$B$6:$B$405,"&gt;="&amp;DATE('Tổng quan'!$B$6,1,1),'Nhật ký bảo trì'!$B$6:$B$405,"&lt;="&amp;DATE('Tổng quan'!$B$6,12,31)))</f>
        <v>1</v>
      </c>
      <c r="H46" s="39">
        <f>IF($A46="","",SUMIFS('Nhật ký bảo trì'!$K$6:$K$405,'Nhật ký bảo trì'!$G$6:$G$405,$A46,'Nhật ký bảo trì'!$B$6:$B$405,"&gt;="&amp;DATE('Tổng quan'!$B$6,1,1),'Nhật ký bảo trì'!$B$6:$B$405,"&lt;="&amp;DATE('Tổng quan'!$B$6,12,31)))</f>
        <v>8</v>
      </c>
      <c r="I46" s="36">
        <f>IF($A46="","",SUMIFS('Nhật ký bảo trì'!$O$6:$O$405,'Nhật ký bảo trì'!$G$6:$G$405,$A46,'Nhật ký bảo trì'!$B$6:$B$405,"&gt;="&amp;DATE('Tổng quan'!$B$6,1,1),'Nhật ký bảo trì'!$B$6:$B$405,"&lt;="&amp;DATE('Tổng quan'!$B$6,12,31)))</f>
        <v>8860000</v>
      </c>
    </row>
    <row r="47" ht="21.75" customHeight="1">
      <c r="A47" s="14" t="str">
        <f>IF('Cài đặt'!A12="","",'Cài đặt'!A12)</f>
        <v>Thiết bị CNTT</v>
      </c>
      <c r="B47" s="16">
        <f>IF($A47="","",COUNTIFS('Danh mục thiết bị'!$D$6:$D$65,$A47,'Danh mục thiết bị'!$J$6:$J$65,"&lt;&gt;Ngừng sử dụng"))</f>
        <v>1</v>
      </c>
      <c r="C47" s="16">
        <f>IF($A47="","",COUNTIFS('Kế hoạch định kỳ'!$E$6:$E$125,$A47))</f>
        <v>2</v>
      </c>
      <c r="D47" s="16">
        <f>IF($A47="","",SUMPRODUCT(('Kế hoạch định kỳ'!$E$6:$E$125=$A47)*(LEFT('Kế hoạch định kỳ'!$O$6:$O$125,7)="Quá hạn")))</f>
        <v>0</v>
      </c>
      <c r="E47" s="16">
        <f>IF($A47="","",SUMPRODUCT(('Kế hoạch định kỳ'!$E$6:$E$125=$A47)*((LEFT('Kế hoạch định kỳ'!$O$6:$O$125,8)="Sắp đến")+('Kế hoạch định kỳ'!$O$6:$O$125="Đến hạn hôm nay"))))</f>
        <v>0</v>
      </c>
      <c r="F47" s="77">
        <f t="shared" si="1"/>
        <v>1</v>
      </c>
      <c r="G47" s="16">
        <f>IF($A47="","",COUNTIFS('Nhật ký bảo trì'!$G$6:$G$405,$A47,'Nhật ký bảo trì'!$C$6:$C$405,"Sửa chữa sự cố",'Nhật ký bảo trì'!$B$6:$B$405,"&gt;="&amp;DATE('Tổng quan'!$B$6,1,1),'Nhật ký bảo trì'!$B$6:$B$405,"&lt;="&amp;DATE('Tổng quan'!$B$6,12,31)))</f>
        <v>0</v>
      </c>
      <c r="H47" s="22">
        <f>IF($A47="","",SUMIFS('Nhật ký bảo trì'!$K$6:$K$405,'Nhật ký bảo trì'!$G$6:$G$405,$A47,'Nhật ký bảo trì'!$B$6:$B$405,"&gt;="&amp;DATE('Tổng quan'!$B$6,1,1),'Nhật ký bảo trì'!$B$6:$B$405,"&lt;="&amp;DATE('Tổng quan'!$B$6,12,31)))</f>
        <v>0</v>
      </c>
      <c r="I47" s="21">
        <f>IF($A47="","",SUMIFS('Nhật ký bảo trì'!$O$6:$O$405,'Nhật ký bảo trì'!$G$6:$G$405,$A47,'Nhật ký bảo trì'!$B$6:$B$405,"&gt;="&amp;DATE('Tổng quan'!$B$6,1,1),'Nhật ký bảo trì'!$B$6:$B$405,"&lt;="&amp;DATE('Tổng quan'!$B$6,12,31)))</f>
        <v>2280000</v>
      </c>
    </row>
    <row r="48" ht="21.75" customHeight="1">
      <c r="A48" s="28" t="str">
        <f>IF('Cài đặt'!A13="","",'Cài đặt'!A13)</f>
        <v>Khác</v>
      </c>
      <c r="B48" s="30">
        <f>IF($A48="","",COUNTIFS('Danh mục thiết bị'!$D$6:$D$65,$A48,'Danh mục thiết bị'!$J$6:$J$65,"&lt;&gt;Ngừng sử dụng"))</f>
        <v>0</v>
      </c>
      <c r="C48" s="30">
        <f>IF($A48="","",COUNTIFS('Kế hoạch định kỳ'!$E$6:$E$125,$A48))</f>
        <v>0</v>
      </c>
      <c r="D48" s="30">
        <f>IF($A48="","",SUMPRODUCT(('Kế hoạch định kỳ'!$E$6:$E$125=$A48)*(LEFT('Kế hoạch định kỳ'!$O$6:$O$125,7)="Quá hạn")))</f>
        <v>0</v>
      </c>
      <c r="E48" s="30">
        <f>IF($A48="","",SUMPRODUCT(('Kế hoạch định kỳ'!$E$6:$E$125=$A48)*((LEFT('Kế hoạch định kỳ'!$O$6:$O$125,8)="Sắp đến")+('Kế hoạch định kỳ'!$O$6:$O$125="Đến hạn hôm nay"))))</f>
        <v>0</v>
      </c>
      <c r="F48" s="78" t="str">
        <f t="shared" si="1"/>
        <v/>
      </c>
      <c r="G48" s="30">
        <f>IF($A48="","",COUNTIFS('Nhật ký bảo trì'!$G$6:$G$405,$A48,'Nhật ký bảo trì'!$C$6:$C$405,"Sửa chữa sự cố",'Nhật ký bảo trì'!$B$6:$B$405,"&gt;="&amp;DATE('Tổng quan'!$B$6,1,1),'Nhật ký bảo trì'!$B$6:$B$405,"&lt;="&amp;DATE('Tổng quan'!$B$6,12,31)))</f>
        <v>0</v>
      </c>
      <c r="H48" s="39">
        <f>IF($A48="","",SUMIFS('Nhật ký bảo trì'!$K$6:$K$405,'Nhật ký bảo trì'!$G$6:$G$405,$A48,'Nhật ký bảo trì'!$B$6:$B$405,"&gt;="&amp;DATE('Tổng quan'!$B$6,1,1),'Nhật ký bảo trì'!$B$6:$B$405,"&lt;="&amp;DATE('Tổng quan'!$B$6,12,31)))</f>
        <v>0</v>
      </c>
      <c r="I48" s="36">
        <f>IF($A48="","",SUMIFS('Nhật ký bảo trì'!$O$6:$O$405,'Nhật ký bảo trì'!$G$6:$G$405,$A48,'Nhật ký bảo trì'!$B$6:$B$405,"&gt;="&amp;DATE('Tổng quan'!$B$6,1,1),'Nhật ký bảo trì'!$B$6:$B$405,"&lt;="&amp;DATE('Tổng quan'!$B$6,12,31)))</f>
        <v>0</v>
      </c>
    </row>
    <row r="49" ht="15.75" customHeight="1">
      <c r="A49" s="79" t="s">
        <v>241</v>
      </c>
      <c r="B49" s="80">
        <f t="shared" ref="B49:E49" si="2">SUM(B41:B48)</f>
        <v>10</v>
      </c>
      <c r="C49" s="80">
        <f t="shared" si="2"/>
        <v>21</v>
      </c>
      <c r="D49" s="80">
        <f t="shared" si="2"/>
        <v>4</v>
      </c>
      <c r="E49" s="80">
        <f t="shared" si="2"/>
        <v>0</v>
      </c>
      <c r="F49" s="81">
        <f>IF(N(C49)=0,"",1-D49/C49)</f>
        <v>0.8095238095</v>
      </c>
      <c r="G49" s="80">
        <f t="shared" ref="G49:I49" si="3">SUM(G41:G48)</f>
        <v>6</v>
      </c>
      <c r="H49" s="82">
        <f t="shared" si="3"/>
        <v>28</v>
      </c>
      <c r="I49" s="83">
        <f t="shared" si="3"/>
        <v>101730000</v>
      </c>
    </row>
    <row r="50" ht="15.75" customHeight="1"/>
    <row r="51" ht="24.0" customHeight="1">
      <c r="A51" s="68" t="s">
        <v>242</v>
      </c>
      <c r="B51" s="2"/>
      <c r="C51" s="2"/>
      <c r="D51" s="2"/>
      <c r="E51" s="2"/>
      <c r="F51" s="2"/>
      <c r="G51" s="2"/>
      <c r="H51" s="2"/>
      <c r="I51" s="2"/>
      <c r="J51" s="2"/>
      <c r="K51" s="2"/>
      <c r="L51" s="3"/>
    </row>
    <row r="52" ht="43.5" customHeight="1">
      <c r="A52" s="8" t="s">
        <v>243</v>
      </c>
      <c r="B52" s="8" t="s">
        <v>244</v>
      </c>
      <c r="C52" s="8" t="s">
        <v>245</v>
      </c>
      <c r="D52" s="8" t="s">
        <v>246</v>
      </c>
      <c r="E52" s="8" t="s">
        <v>239</v>
      </c>
      <c r="F52" s="8" t="s">
        <v>247</v>
      </c>
      <c r="G52" s="8" t="s">
        <v>248</v>
      </c>
      <c r="H52" s="8" t="s">
        <v>249</v>
      </c>
      <c r="I52" s="8" t="s">
        <v>250</v>
      </c>
      <c r="J52" s="8" t="s">
        <v>251</v>
      </c>
      <c r="K52" s="8" t="s">
        <v>252</v>
      </c>
    </row>
    <row r="53" ht="21.75" customHeight="1">
      <c r="A53" s="14" t="str">
        <f>"Tháng 1/"&amp;'Tổng quan'!$B$6</f>
        <v>Tháng 1/2026</v>
      </c>
      <c r="B53" s="16">
        <f>COUNTIFS('Nhật ký bảo trì'!$D$6:$D$405,"&lt;&gt;",'Nhật ký bảo trì'!$Q$6:$Q$405,"Hoàn thành",'Nhật ký bảo trì'!$B$6:$B$405,"&gt;="&amp;DATE('Tổng quan'!$B$6,1,1),'Nhật ký bảo trì'!$B$6:$B$405,"&lt;="&amp;EOMONTH(DATE('Tổng quan'!$B$6,1,1),0))</f>
        <v>2</v>
      </c>
      <c r="C53" s="16">
        <f>SUMPRODUCT((EOMONTH(DATE('Tổng quan'!$B$6,1,1),0)&gt;='Kế hoạch định kỳ'!$W$6:$W$125)*(INT((EOMONTH(DATE('Tổng quan'!$B$6,1,1),0)-'Kế hoạch định kỳ'!$W$6:$W$125)/'Kế hoạch định kỳ'!$X$6:$X$125)+1)-(DATE('Tổng quan'!$B$6,1,1)-1&gt;='Kế hoạch định kỳ'!$W$6:$W$125)*(INT((DATE('Tổng quan'!$B$6,1,1)-1-'Kế hoạch định kỳ'!$W$6:$W$125)/'Kế hoạch định kỳ'!$X$6:$X$125)+1))</f>
        <v>0</v>
      </c>
      <c r="D53" s="16">
        <f>COUNTIFS('Nhật ký bảo trì'!$C$6:$C$405,"Sửa chữa sự cố",'Nhật ký bảo trì'!$B$6:$B$405,"&gt;="&amp;DATE('Tổng quan'!$B$6,1,1),'Nhật ký bảo trì'!$B$6:$B$405,"&lt;="&amp;EOMONTH(DATE('Tổng quan'!$B$6,1,1),0))</f>
        <v>0</v>
      </c>
      <c r="E53" s="22">
        <f>SUMIFS('Nhật ký bảo trì'!$K$6:$K$405,'Nhật ký bảo trì'!$B$6:$B$405,"&gt;="&amp;DATE('Tổng quan'!$B$6,1,1),'Nhật ký bảo trì'!$B$6:$B$405,"&lt;="&amp;EOMONTH(DATE('Tổng quan'!$B$6,1,1),0))</f>
        <v>0</v>
      </c>
      <c r="F53" s="21">
        <f>SUMIFS('Nhật ký bảo trì'!$L$6:$L$405,'Nhật ký bảo trì'!$B$6:$B$405,"&gt;="&amp;DATE('Tổng quan'!$B$6,1,1),'Nhật ký bảo trì'!$B$6:$B$405,"&lt;="&amp;EOMONTH(DATE('Tổng quan'!$B$6,1,1),0))</f>
        <v>840000</v>
      </c>
      <c r="G53" s="21">
        <f>SUMIFS('Nhật ký bảo trì'!$M$6:$M$405,'Nhật ký bảo trì'!$B$6:$B$405,"&gt;="&amp;DATE('Tổng quan'!$B$6,1,1),'Nhật ký bảo trì'!$B$6:$B$405,"&lt;="&amp;EOMONTH(DATE('Tổng quan'!$B$6,1,1),0))</f>
        <v>1200000</v>
      </c>
      <c r="H53" s="21">
        <f>SUMIFS('Nhật ký bảo trì'!$N$6:$N$405,'Nhật ký bảo trì'!$B$6:$B$405,"&gt;="&amp;DATE('Tổng quan'!$B$6,1,1),'Nhật ký bảo trì'!$B$6:$B$405,"&lt;="&amp;EOMONTH(DATE('Tổng quan'!$B$6,1,1),0))</f>
        <v>4500000</v>
      </c>
      <c r="I53" s="84">
        <f t="shared" ref="I53:I64" si="4">SUM(F53:H53)</f>
        <v>6540000</v>
      </c>
      <c r="J53" s="21">
        <f t="shared" ref="J53:J64" si="5">SUM(I$53:I53)</f>
        <v>6540000</v>
      </c>
      <c r="K53" s="77">
        <f t="shared" ref="K53:K64" si="6">IF($B$9=0,"",J53/$B$9)</f>
        <v>0.0545</v>
      </c>
    </row>
    <row r="54" ht="21.75" customHeight="1">
      <c r="A54" s="28" t="str">
        <f>"Tháng 2/"&amp;'Tổng quan'!$B$6</f>
        <v>Tháng 2/2026</v>
      </c>
      <c r="B54" s="30">
        <f>COUNTIFS('Nhật ký bảo trì'!$D$6:$D$405,"&lt;&gt;",'Nhật ký bảo trì'!$Q$6:$Q$405,"Hoàn thành",'Nhật ký bảo trì'!$B$6:$B$405,"&gt;="&amp;DATE('Tổng quan'!$B$6,2,1),'Nhật ký bảo trì'!$B$6:$B$405,"&lt;="&amp;EOMONTH(DATE('Tổng quan'!$B$6,2,1),0))</f>
        <v>2</v>
      </c>
      <c r="C54" s="30">
        <f>SUMPRODUCT((EOMONTH(DATE('Tổng quan'!$B$6,2,1),0)&gt;='Kế hoạch định kỳ'!$W$6:$W$125)*(INT((EOMONTH(DATE('Tổng quan'!$B$6,2,1),0)-'Kế hoạch định kỳ'!$W$6:$W$125)/'Kế hoạch định kỳ'!$X$6:$X$125)+1)-(DATE('Tổng quan'!$B$6,2,1)-1&gt;='Kế hoạch định kỳ'!$W$6:$W$125)*(INT((DATE('Tổng quan'!$B$6,2,1)-1-'Kế hoạch định kỳ'!$W$6:$W$125)/'Kế hoạch định kỳ'!$X$6:$X$125)+1))</f>
        <v>0</v>
      </c>
      <c r="D54" s="30">
        <f>COUNTIFS('Nhật ký bảo trì'!$C$6:$C$405,"Sửa chữa sự cố",'Nhật ký bảo trì'!$B$6:$B$405,"&gt;="&amp;DATE('Tổng quan'!$B$6,2,1),'Nhật ký bảo trì'!$B$6:$B$405,"&lt;="&amp;EOMONTH(DATE('Tổng quan'!$B$6,2,1),0))</f>
        <v>0</v>
      </c>
      <c r="E54" s="39">
        <f>SUMIFS('Nhật ký bảo trì'!$K$6:$K$405,'Nhật ký bảo trì'!$B$6:$B$405,"&gt;="&amp;DATE('Tổng quan'!$B$6,2,1),'Nhật ký bảo trì'!$B$6:$B$405,"&lt;="&amp;EOMONTH(DATE('Tổng quan'!$B$6,2,1),0))</f>
        <v>0</v>
      </c>
      <c r="F54" s="36">
        <f>SUMIFS('Nhật ký bảo trì'!$L$6:$L$405,'Nhật ký bảo trì'!$B$6:$B$405,"&gt;="&amp;DATE('Tổng quan'!$B$6,2,1),'Nhật ký bảo trì'!$B$6:$B$405,"&lt;="&amp;EOMONTH(DATE('Tổng quan'!$B$6,2,1),0))</f>
        <v>480000</v>
      </c>
      <c r="G54" s="36">
        <f>SUMIFS('Nhật ký bảo trì'!$M$6:$M$405,'Nhật ký bảo trì'!$B$6:$B$405,"&gt;="&amp;DATE('Tổng quan'!$B$6,2,1),'Nhật ký bảo trì'!$B$6:$B$405,"&lt;="&amp;EOMONTH(DATE('Tổng quan'!$B$6,2,1),0))</f>
        <v>1700000</v>
      </c>
      <c r="H54" s="36">
        <f>SUMIFS('Nhật ký bảo trì'!$N$6:$N$405,'Nhật ký bảo trì'!$B$6:$B$405,"&gt;="&amp;DATE('Tổng quan'!$B$6,2,1),'Nhật ký bảo trì'!$B$6:$B$405,"&lt;="&amp;EOMONTH(DATE('Tổng quan'!$B$6,2,1),0))</f>
        <v>0</v>
      </c>
      <c r="I54" s="85">
        <f t="shared" si="4"/>
        <v>2180000</v>
      </c>
      <c r="J54" s="36">
        <f t="shared" si="5"/>
        <v>8720000</v>
      </c>
      <c r="K54" s="78">
        <f t="shared" si="6"/>
        <v>0.07266666667</v>
      </c>
    </row>
    <row r="55" ht="21.75" customHeight="1">
      <c r="A55" s="14" t="str">
        <f>"Tháng 3/"&amp;'Tổng quan'!$B$6</f>
        <v>Tháng 3/2026</v>
      </c>
      <c r="B55" s="16">
        <f>COUNTIFS('Nhật ký bảo trì'!$D$6:$D$405,"&lt;&gt;",'Nhật ký bảo trì'!$Q$6:$Q$405,"Hoàn thành",'Nhật ký bảo trì'!$B$6:$B$405,"&gt;="&amp;DATE('Tổng quan'!$B$6,3,1),'Nhật ký bảo trì'!$B$6:$B$405,"&lt;="&amp;EOMONTH(DATE('Tổng quan'!$B$6,3,1),0))</f>
        <v>3</v>
      </c>
      <c r="C55" s="16">
        <f>SUMPRODUCT((EOMONTH(DATE('Tổng quan'!$B$6,3,1),0)&gt;='Kế hoạch định kỳ'!$W$6:$W$125)*(INT((EOMONTH(DATE('Tổng quan'!$B$6,3,1),0)-'Kế hoạch định kỳ'!$W$6:$W$125)/'Kế hoạch định kỳ'!$X$6:$X$125)+1)-(DATE('Tổng quan'!$B$6,3,1)-1&gt;='Kế hoạch định kỳ'!$W$6:$W$125)*(INT((DATE('Tổng quan'!$B$6,3,1)-1-'Kế hoạch định kỳ'!$W$6:$W$125)/'Kế hoạch định kỳ'!$X$6:$X$125)+1))</f>
        <v>0</v>
      </c>
      <c r="D55" s="16">
        <f>COUNTIFS('Nhật ký bảo trì'!$C$6:$C$405,"Sửa chữa sự cố",'Nhật ký bảo trì'!$B$6:$B$405,"&gt;="&amp;DATE('Tổng quan'!$B$6,3,1),'Nhật ký bảo trì'!$B$6:$B$405,"&lt;="&amp;EOMONTH(DATE('Tổng quan'!$B$6,3,1),0))</f>
        <v>1</v>
      </c>
      <c r="E55" s="22">
        <f>SUMIFS('Nhật ký bảo trì'!$K$6:$K$405,'Nhật ký bảo trì'!$B$6:$B$405,"&gt;="&amp;DATE('Tổng quan'!$B$6,3,1),'Nhật ký bảo trì'!$B$6:$B$405,"&lt;="&amp;EOMONTH(DATE('Tổng quan'!$B$6,3,1),0))</f>
        <v>6</v>
      </c>
      <c r="F55" s="21">
        <f>SUMIFS('Nhật ký bảo trì'!$L$6:$L$405,'Nhật ký bảo trì'!$B$6:$B$405,"&gt;="&amp;DATE('Tổng quan'!$B$6,3,1),'Nhật ký bảo trì'!$B$6:$B$405,"&lt;="&amp;EOMONTH(DATE('Tổng quan'!$B$6,3,1),0))</f>
        <v>3720000</v>
      </c>
      <c r="G55" s="21">
        <f>SUMIFS('Nhật ký bảo trì'!$M$6:$M$405,'Nhật ký bảo trì'!$B$6:$B$405,"&gt;="&amp;DATE('Tổng quan'!$B$6,3,1),'Nhật ký bảo trì'!$B$6:$B$405,"&lt;="&amp;EOMONTH(DATE('Tổng quan'!$B$6,3,1),0))</f>
        <v>21800000</v>
      </c>
      <c r="H55" s="21">
        <f>SUMIFS('Nhật ký bảo trì'!$N$6:$N$405,'Nhật ký bảo trì'!$B$6:$B$405,"&gt;="&amp;DATE('Tổng quan'!$B$6,3,1),'Nhật ký bảo trì'!$B$6:$B$405,"&lt;="&amp;EOMONTH(DATE('Tổng quan'!$B$6,3,1),0))</f>
        <v>0</v>
      </c>
      <c r="I55" s="84">
        <f t="shared" si="4"/>
        <v>25520000</v>
      </c>
      <c r="J55" s="21">
        <f t="shared" si="5"/>
        <v>34240000</v>
      </c>
      <c r="K55" s="77">
        <f t="shared" si="6"/>
        <v>0.2853333333</v>
      </c>
    </row>
    <row r="56" ht="21.75" customHeight="1">
      <c r="A56" s="28" t="str">
        <f>"Tháng 4/"&amp;'Tổng quan'!$B$6</f>
        <v>Tháng 4/2026</v>
      </c>
      <c r="B56" s="30">
        <f>COUNTIFS('Nhật ký bảo trì'!$D$6:$D$405,"&lt;&gt;",'Nhật ký bảo trì'!$Q$6:$Q$405,"Hoàn thành",'Nhật ký bảo trì'!$B$6:$B$405,"&gt;="&amp;DATE('Tổng quan'!$B$6,4,1),'Nhật ký bảo trì'!$B$6:$B$405,"&lt;="&amp;EOMONTH(DATE('Tổng quan'!$B$6,4,1),0))</f>
        <v>1</v>
      </c>
      <c r="C56" s="30">
        <f>SUMPRODUCT((EOMONTH(DATE('Tổng quan'!$B$6,4,1),0)&gt;='Kế hoạch định kỳ'!$W$6:$W$125)*(INT((EOMONTH(DATE('Tổng quan'!$B$6,4,1),0)-'Kế hoạch định kỳ'!$W$6:$W$125)/'Kế hoạch định kỳ'!$X$6:$X$125)+1)-(DATE('Tổng quan'!$B$6,4,1)-1&gt;='Kế hoạch định kỳ'!$W$6:$W$125)*(INT((DATE('Tổng quan'!$B$6,4,1)-1-'Kế hoạch định kỳ'!$W$6:$W$125)/'Kế hoạch định kỳ'!$X$6:$X$125)+1))</f>
        <v>0</v>
      </c>
      <c r="D56" s="30">
        <f>COUNTIFS('Nhật ký bảo trì'!$C$6:$C$405,"Sửa chữa sự cố",'Nhật ký bảo trì'!$B$6:$B$405,"&gt;="&amp;DATE('Tổng quan'!$B$6,4,1),'Nhật ký bảo trì'!$B$6:$B$405,"&lt;="&amp;EOMONTH(DATE('Tổng quan'!$B$6,4,1),0))</f>
        <v>0</v>
      </c>
      <c r="E56" s="39">
        <f>SUMIFS('Nhật ký bảo trì'!$K$6:$K$405,'Nhật ký bảo trì'!$B$6:$B$405,"&gt;="&amp;DATE('Tổng quan'!$B$6,4,1),'Nhật ký bảo trì'!$B$6:$B$405,"&lt;="&amp;EOMONTH(DATE('Tổng quan'!$B$6,4,1),0))</f>
        <v>0</v>
      </c>
      <c r="F56" s="36">
        <f>SUMIFS('Nhật ký bảo trì'!$L$6:$L$405,'Nhật ký bảo trì'!$B$6:$B$405,"&gt;="&amp;DATE('Tổng quan'!$B$6,4,1),'Nhật ký bảo trì'!$B$6:$B$405,"&lt;="&amp;EOMONTH(DATE('Tổng quan'!$B$6,4,1),0))</f>
        <v>480000</v>
      </c>
      <c r="G56" s="36">
        <f>SUMIFS('Nhật ký bảo trì'!$M$6:$M$405,'Nhật ký bảo trì'!$B$6:$B$405,"&gt;="&amp;DATE('Tổng quan'!$B$6,4,1),'Nhật ký bảo trì'!$B$6:$B$405,"&lt;="&amp;EOMONTH(DATE('Tổng quan'!$B$6,4,1),0))</f>
        <v>1200000</v>
      </c>
      <c r="H56" s="36">
        <f>SUMIFS('Nhật ký bảo trì'!$N$6:$N$405,'Nhật ký bảo trì'!$B$6:$B$405,"&gt;="&amp;DATE('Tổng quan'!$B$6,4,1),'Nhật ký bảo trì'!$B$6:$B$405,"&lt;="&amp;EOMONTH(DATE('Tổng quan'!$B$6,4,1),0))</f>
        <v>0</v>
      </c>
      <c r="I56" s="85">
        <f t="shared" si="4"/>
        <v>1680000</v>
      </c>
      <c r="J56" s="36">
        <f t="shared" si="5"/>
        <v>35920000</v>
      </c>
      <c r="K56" s="78">
        <f t="shared" si="6"/>
        <v>0.2993333333</v>
      </c>
    </row>
    <row r="57" ht="21.75" customHeight="1">
      <c r="A57" s="14" t="str">
        <f>"Tháng 5/"&amp;'Tổng quan'!$B$6</f>
        <v>Tháng 5/2026</v>
      </c>
      <c r="B57" s="16">
        <f>COUNTIFS('Nhật ký bảo trì'!$D$6:$D$405,"&lt;&gt;",'Nhật ký bảo trì'!$Q$6:$Q$405,"Hoàn thành",'Nhật ký bảo trì'!$B$6:$B$405,"&gt;="&amp;DATE('Tổng quan'!$B$6,5,1),'Nhật ký bảo trì'!$B$6:$B$405,"&lt;="&amp;EOMONTH(DATE('Tổng quan'!$B$6,5,1),0))</f>
        <v>6</v>
      </c>
      <c r="C57" s="16">
        <f>SUMPRODUCT((EOMONTH(DATE('Tổng quan'!$B$6,5,1),0)&gt;='Kế hoạch định kỳ'!$W$6:$W$125)*(INT((EOMONTH(DATE('Tổng quan'!$B$6,5,1),0)-'Kế hoạch định kỳ'!$W$6:$W$125)/'Kế hoạch định kỳ'!$X$6:$X$125)+1)-(DATE('Tổng quan'!$B$6,5,1)-1&gt;='Kế hoạch định kỳ'!$W$6:$W$125)*(INT((DATE('Tổng quan'!$B$6,5,1)-1-'Kế hoạch định kỳ'!$W$6:$W$125)/'Kế hoạch định kỳ'!$X$6:$X$125)+1))</f>
        <v>0</v>
      </c>
      <c r="D57" s="16">
        <f>COUNTIFS('Nhật ký bảo trì'!$C$6:$C$405,"Sửa chữa sự cố",'Nhật ký bảo trì'!$B$6:$B$405,"&gt;="&amp;DATE('Tổng quan'!$B$6,5,1),'Nhật ký bảo trì'!$B$6:$B$405,"&lt;="&amp;EOMONTH(DATE('Tổng quan'!$B$6,5,1),0))</f>
        <v>0</v>
      </c>
      <c r="E57" s="22">
        <f>SUMIFS('Nhật ký bảo trì'!$K$6:$K$405,'Nhật ký bảo trì'!$B$6:$B$405,"&gt;="&amp;DATE('Tổng quan'!$B$6,5,1),'Nhật ký bảo trì'!$B$6:$B$405,"&lt;="&amp;EOMONTH(DATE('Tổng quan'!$B$6,5,1),0))</f>
        <v>0</v>
      </c>
      <c r="F57" s="21">
        <f>SUMIFS('Nhật ký bảo trì'!$L$6:$L$405,'Nhật ký bảo trì'!$B$6:$B$405,"&gt;="&amp;DATE('Tổng quan'!$B$6,5,1),'Nhật ký bảo trì'!$B$6:$B$405,"&lt;="&amp;EOMONTH(DATE('Tổng quan'!$B$6,5,1),0))</f>
        <v>1560000</v>
      </c>
      <c r="G57" s="21">
        <f>SUMIFS('Nhật ký bảo trì'!$M$6:$M$405,'Nhật ký bảo trì'!$B$6:$B$405,"&gt;="&amp;DATE('Tổng quan'!$B$6,5,1),'Nhật ký bảo trì'!$B$6:$B$405,"&lt;="&amp;EOMONTH(DATE('Tổng quan'!$B$6,5,1),0))</f>
        <v>6000000</v>
      </c>
      <c r="H57" s="21">
        <f>SUMIFS('Nhật ký bảo trì'!$N$6:$N$405,'Nhật ký bảo trì'!$B$6:$B$405,"&gt;="&amp;DATE('Tổng quan'!$B$6,5,1),'Nhật ký bảo trì'!$B$6:$B$405,"&lt;="&amp;EOMONTH(DATE('Tổng quan'!$B$6,5,1),0))</f>
        <v>3000000</v>
      </c>
      <c r="I57" s="84">
        <f t="shared" si="4"/>
        <v>10560000</v>
      </c>
      <c r="J57" s="21">
        <f t="shared" si="5"/>
        <v>46480000</v>
      </c>
      <c r="K57" s="77">
        <f t="shared" si="6"/>
        <v>0.3873333333</v>
      </c>
    </row>
    <row r="58" ht="21.75" customHeight="1">
      <c r="A58" s="28" t="str">
        <f>"Tháng 6/"&amp;'Tổng quan'!$B$6</f>
        <v>Tháng 6/2026</v>
      </c>
      <c r="B58" s="30">
        <f>COUNTIFS('Nhật ký bảo trì'!$D$6:$D$405,"&lt;&gt;",'Nhật ký bảo trì'!$Q$6:$Q$405,"Hoàn thành",'Nhật ký bảo trì'!$B$6:$B$405,"&gt;="&amp;DATE('Tổng quan'!$B$6,6,1),'Nhật ký bảo trì'!$B$6:$B$405,"&lt;="&amp;EOMONTH(DATE('Tổng quan'!$B$6,6,1),0))</f>
        <v>3</v>
      </c>
      <c r="C58" s="30">
        <f>SUMPRODUCT((EOMONTH(DATE('Tổng quan'!$B$6,6,1),0)&gt;='Kế hoạch định kỳ'!$W$6:$W$125)*(INT((EOMONTH(DATE('Tổng quan'!$B$6,6,1),0)-'Kế hoạch định kỳ'!$W$6:$W$125)/'Kế hoạch định kỳ'!$X$6:$X$125)+1)-(DATE('Tổng quan'!$B$6,6,1)-1&gt;='Kế hoạch định kỳ'!$W$6:$W$125)*(INT((DATE('Tổng quan'!$B$6,6,1)-1-'Kế hoạch định kỳ'!$W$6:$W$125)/'Kế hoạch định kỳ'!$X$6:$X$125)+1))</f>
        <v>0</v>
      </c>
      <c r="D58" s="30">
        <f>COUNTIFS('Nhật ký bảo trì'!$C$6:$C$405,"Sửa chữa sự cố",'Nhật ký bảo trì'!$B$6:$B$405,"&gt;="&amp;DATE('Tổng quan'!$B$6,6,1),'Nhật ký bảo trì'!$B$6:$B$405,"&lt;="&amp;EOMONTH(DATE('Tổng quan'!$B$6,6,1),0))</f>
        <v>1</v>
      </c>
      <c r="E58" s="39">
        <f>SUMIFS('Nhật ký bảo trì'!$K$6:$K$405,'Nhật ký bảo trì'!$B$6:$B$405,"&gt;="&amp;DATE('Tổng quan'!$B$6,6,1),'Nhật ký bảo trì'!$B$6:$B$405,"&lt;="&amp;EOMONTH(DATE('Tổng quan'!$B$6,6,1),0))</f>
        <v>3</v>
      </c>
      <c r="F58" s="36">
        <f>SUMIFS('Nhật ký bảo trì'!$L$6:$L$405,'Nhật ký bảo trì'!$B$6:$B$405,"&gt;="&amp;DATE('Tổng quan'!$B$6,6,1),'Nhật ký bảo trì'!$B$6:$B$405,"&lt;="&amp;EOMONTH(DATE('Tổng quan'!$B$6,6,1),0))</f>
        <v>1740000</v>
      </c>
      <c r="G58" s="36">
        <f>SUMIFS('Nhật ký bảo trì'!$M$6:$M$405,'Nhật ký bảo trì'!$B$6:$B$405,"&gt;="&amp;DATE('Tổng quan'!$B$6,6,1),'Nhật ký bảo trì'!$B$6:$B$405,"&lt;="&amp;EOMONTH(DATE('Tổng quan'!$B$6,6,1),0))</f>
        <v>10700000</v>
      </c>
      <c r="H58" s="36">
        <f>SUMIFS('Nhật ký bảo trì'!$N$6:$N$405,'Nhật ký bảo trì'!$B$6:$B$405,"&gt;="&amp;DATE('Tổng quan'!$B$6,6,1),'Nhật ký bảo trì'!$B$6:$B$405,"&lt;="&amp;EOMONTH(DATE('Tổng quan'!$B$6,6,1),0))</f>
        <v>0</v>
      </c>
      <c r="I58" s="85">
        <f t="shared" si="4"/>
        <v>12440000</v>
      </c>
      <c r="J58" s="36">
        <f t="shared" si="5"/>
        <v>58920000</v>
      </c>
      <c r="K58" s="78">
        <f t="shared" si="6"/>
        <v>0.491</v>
      </c>
    </row>
    <row r="59" ht="21.75" customHeight="1">
      <c r="A59" s="14" t="str">
        <f>"Tháng 7/"&amp;'Tổng quan'!$B$6</f>
        <v>Tháng 7/2026</v>
      </c>
      <c r="B59" s="16">
        <f>COUNTIFS('Nhật ký bảo trì'!$D$6:$D$405,"&lt;&gt;",'Nhật ký bảo trì'!$Q$6:$Q$405,"Hoàn thành",'Nhật ký bảo trì'!$B$6:$B$405,"&gt;="&amp;DATE('Tổng quan'!$B$6,7,1),'Nhật ký bảo trì'!$B$6:$B$405,"&lt;="&amp;EOMONTH(DATE('Tổng quan'!$B$6,7,1),0))</f>
        <v>10</v>
      </c>
      <c r="C59" s="16">
        <f>SUMPRODUCT((EOMONTH(DATE('Tổng quan'!$B$6,7,1),0)&gt;='Kế hoạch định kỳ'!$W$6:$W$125)*(INT((EOMONTH(DATE('Tổng quan'!$B$6,7,1),0)-'Kế hoạch định kỳ'!$W$6:$W$125)/'Kế hoạch định kỳ'!$X$6:$X$125)+1)-(DATE('Tổng quan'!$B$6,7,1)-1&gt;='Kế hoạch định kỳ'!$W$6:$W$125)*(INT((DATE('Tổng quan'!$B$6,7,1)-1-'Kế hoạch định kỳ'!$W$6:$W$125)/'Kế hoạch định kỳ'!$X$6:$X$125)+1))</f>
        <v>0</v>
      </c>
      <c r="D59" s="16">
        <f>COUNTIFS('Nhật ký bảo trì'!$C$6:$C$405,"Sửa chữa sự cố",'Nhật ký bảo trì'!$B$6:$B$405,"&gt;="&amp;DATE('Tổng quan'!$B$6,7,1),'Nhật ký bảo trì'!$B$6:$B$405,"&lt;="&amp;EOMONTH(DATE('Tổng quan'!$B$6,7,1),0))</f>
        <v>0</v>
      </c>
      <c r="E59" s="22">
        <f>SUMIFS('Nhật ký bảo trì'!$K$6:$K$405,'Nhật ký bảo trì'!$B$6:$B$405,"&gt;="&amp;DATE('Tổng quan'!$B$6,7,1),'Nhật ký bảo trì'!$B$6:$B$405,"&lt;="&amp;EOMONTH(DATE('Tổng quan'!$B$6,7,1),0))</f>
        <v>0</v>
      </c>
      <c r="F59" s="21">
        <f>SUMIFS('Nhật ký bảo trì'!$L$6:$L$405,'Nhật ký bảo trì'!$B$6:$B$405,"&gt;="&amp;DATE('Tổng quan'!$B$6,7,1),'Nhật ký bảo trì'!$B$6:$B$405,"&lt;="&amp;EOMONTH(DATE('Tổng quan'!$B$6,7,1),0))</f>
        <v>3000000</v>
      </c>
      <c r="G59" s="21">
        <f>SUMIFS('Nhật ký bảo trì'!$M$6:$M$405,'Nhật ký bảo trì'!$B$6:$B$405,"&gt;="&amp;DATE('Tổng quan'!$B$6,7,1),'Nhật ký bảo trì'!$B$6:$B$405,"&lt;="&amp;EOMONTH(DATE('Tổng quan'!$B$6,7,1),0))</f>
        <v>7300000</v>
      </c>
      <c r="H59" s="21">
        <f>SUMIFS('Nhật ký bảo trì'!$N$6:$N$405,'Nhật ký bảo trì'!$B$6:$B$405,"&gt;="&amp;DATE('Tổng quan'!$B$6,7,1),'Nhật ký bảo trì'!$B$6:$B$405,"&lt;="&amp;EOMONTH(DATE('Tổng quan'!$B$6,7,1),0))</f>
        <v>0</v>
      </c>
      <c r="I59" s="84">
        <f t="shared" si="4"/>
        <v>10300000</v>
      </c>
      <c r="J59" s="21">
        <f t="shared" si="5"/>
        <v>69220000</v>
      </c>
      <c r="K59" s="77">
        <f t="shared" si="6"/>
        <v>0.5768333333</v>
      </c>
    </row>
    <row r="60" ht="21.75" customHeight="1">
      <c r="A60" s="28" t="str">
        <f>"Tháng 8/"&amp;'Tổng quan'!$B$6</f>
        <v>Tháng 8/2026</v>
      </c>
      <c r="B60" s="30">
        <f>COUNTIFS('Nhật ký bảo trì'!$D$6:$D$405,"&lt;&gt;",'Nhật ký bảo trì'!$Q$6:$Q$405,"Hoàn thành",'Nhật ký bảo trì'!$B$6:$B$405,"&gt;="&amp;DATE('Tổng quan'!$B$6,8,1),'Nhật ký bảo trì'!$B$6:$B$405,"&lt;="&amp;EOMONTH(DATE('Tổng quan'!$B$6,8,1),0))</f>
        <v>11</v>
      </c>
      <c r="C60" s="30">
        <f>SUMPRODUCT((EOMONTH(DATE('Tổng quan'!$B$6,8,1),0)&gt;='Kế hoạch định kỳ'!$W$6:$W$125)*(INT((EOMONTH(DATE('Tổng quan'!$B$6,8,1),0)-'Kế hoạch định kỳ'!$W$6:$W$125)/'Kế hoạch định kỳ'!$X$6:$X$125)+1)-(DATE('Tổng quan'!$B$6,8,1)-1&gt;='Kế hoạch định kỳ'!$W$6:$W$125)*(INT((DATE('Tổng quan'!$B$6,8,1)-1-'Kế hoạch định kỳ'!$W$6:$W$125)/'Kế hoạch định kỳ'!$X$6:$X$125)+1))</f>
        <v>0</v>
      </c>
      <c r="D60" s="30">
        <f>COUNTIFS('Nhật ký bảo trì'!$C$6:$C$405,"Sửa chữa sự cố",'Nhật ký bảo trì'!$B$6:$B$405,"&gt;="&amp;DATE('Tổng quan'!$B$6,8,1),'Nhật ký bảo trì'!$B$6:$B$405,"&lt;="&amp;EOMONTH(DATE('Tổng quan'!$B$6,8,1),0))</f>
        <v>1</v>
      </c>
      <c r="E60" s="39">
        <f>SUMIFS('Nhật ký bảo trì'!$K$6:$K$405,'Nhật ký bảo trì'!$B$6:$B$405,"&gt;="&amp;DATE('Tổng quan'!$B$6,8,1),'Nhật ký bảo trì'!$B$6:$B$405,"&lt;="&amp;EOMONTH(DATE('Tổng quan'!$B$6,8,1),0))</f>
        <v>2</v>
      </c>
      <c r="F60" s="36">
        <f>SUMIFS('Nhật ký bảo trì'!$L$6:$L$405,'Nhật ký bảo trì'!$B$6:$B$405,"&gt;="&amp;DATE('Tổng quan'!$B$6,8,1),'Nhật ký bảo trì'!$B$6:$B$405,"&lt;="&amp;EOMONTH(DATE('Tổng quan'!$B$6,8,1),0))</f>
        <v>2760000</v>
      </c>
      <c r="G60" s="36">
        <f>SUMIFS('Nhật ký bảo trì'!$M$6:$M$405,'Nhật ký bảo trì'!$B$6:$B$405,"&gt;="&amp;DATE('Tổng quan'!$B$6,8,1),'Nhật ký bảo trì'!$B$6:$B$405,"&lt;="&amp;EOMONTH(DATE('Tổng quan'!$B$6,8,1),0))</f>
        <v>4000000</v>
      </c>
      <c r="H60" s="36">
        <f>SUMIFS('Nhật ký bảo trì'!$N$6:$N$405,'Nhật ký bảo trì'!$B$6:$B$405,"&gt;="&amp;DATE('Tổng quan'!$B$6,8,1),'Nhật ký bảo trì'!$B$6:$B$405,"&lt;="&amp;EOMONTH(DATE('Tổng quan'!$B$6,8,1),0))</f>
        <v>0</v>
      </c>
      <c r="I60" s="85">
        <f t="shared" si="4"/>
        <v>6760000</v>
      </c>
      <c r="J60" s="36">
        <f t="shared" si="5"/>
        <v>75980000</v>
      </c>
      <c r="K60" s="78">
        <f t="shared" si="6"/>
        <v>0.6331666667</v>
      </c>
    </row>
    <row r="61" ht="21.75" customHeight="1">
      <c r="A61" s="14" t="str">
        <f>"Tháng 9/"&amp;'Tổng quan'!$B$6</f>
        <v>Tháng 9/2026</v>
      </c>
      <c r="B61" s="16">
        <f>COUNTIFS('Nhật ký bảo trì'!$D$6:$D$405,"&lt;&gt;",'Nhật ký bảo trì'!$Q$6:$Q$405,"Hoàn thành",'Nhật ký bảo trì'!$B$6:$B$405,"&gt;="&amp;DATE('Tổng quan'!$B$6,9,1),'Nhật ký bảo trì'!$B$6:$B$405,"&lt;="&amp;EOMONTH(DATE('Tổng quan'!$B$6,9,1),0))</f>
        <v>11</v>
      </c>
      <c r="C61" s="16">
        <f>SUMPRODUCT((EOMONTH(DATE('Tổng quan'!$B$6,9,1),0)&gt;='Kế hoạch định kỳ'!$W$6:$W$125)*(INT((EOMONTH(DATE('Tổng quan'!$B$6,9,1),0)-'Kế hoạch định kỳ'!$W$6:$W$125)/'Kế hoạch định kỳ'!$X$6:$X$125)+1)-(DATE('Tổng quan'!$B$6,9,1)-1&gt;='Kế hoạch định kỳ'!$W$6:$W$125)*(INT((DATE('Tổng quan'!$B$6,9,1)-1-'Kế hoạch định kỳ'!$W$6:$W$125)/'Kế hoạch định kỳ'!$X$6:$X$125)+1))</f>
        <v>0</v>
      </c>
      <c r="D61" s="16">
        <f>COUNTIFS('Nhật ký bảo trì'!$C$6:$C$405,"Sửa chữa sự cố",'Nhật ký bảo trì'!$B$6:$B$405,"&gt;="&amp;DATE('Tổng quan'!$B$6,9,1),'Nhật ký bảo trì'!$B$6:$B$405,"&lt;="&amp;EOMONTH(DATE('Tổng quan'!$B$6,9,1),0))</f>
        <v>1</v>
      </c>
      <c r="E61" s="22">
        <f>SUMIFS('Nhật ký bảo trì'!$K$6:$K$405,'Nhật ký bảo trì'!$B$6:$B$405,"&gt;="&amp;DATE('Tổng quan'!$B$6,9,1),'Nhật ký bảo trì'!$B$6:$B$405,"&lt;="&amp;EOMONTH(DATE('Tổng quan'!$B$6,9,1),0))</f>
        <v>5</v>
      </c>
      <c r="F61" s="21">
        <f>SUMIFS('Nhật ký bảo trì'!$L$6:$L$405,'Nhật ký bảo trì'!$B$6:$B$405,"&gt;="&amp;DATE('Tổng quan'!$B$6,9,1),'Nhật ký bảo trì'!$B$6:$B$405,"&lt;="&amp;EOMONTH(DATE('Tổng quan'!$B$6,9,1),0))</f>
        <v>2700000</v>
      </c>
      <c r="G61" s="21">
        <f>SUMIFS('Nhật ký bảo trì'!$M$6:$M$405,'Nhật ký bảo trì'!$B$6:$B$405,"&gt;="&amp;DATE('Tổng quan'!$B$6,9,1),'Nhật ký bảo trì'!$B$6:$B$405,"&lt;="&amp;EOMONTH(DATE('Tổng quan'!$B$6,9,1),0))</f>
        <v>9550000</v>
      </c>
      <c r="H61" s="21">
        <f>SUMIFS('Nhật ký bảo trì'!$N$6:$N$405,'Nhật ký bảo trì'!$B$6:$B$405,"&gt;="&amp;DATE('Tổng quan'!$B$6,9,1),'Nhật ký bảo trì'!$B$6:$B$405,"&lt;="&amp;EOMONTH(DATE('Tổng quan'!$B$6,9,1),0))</f>
        <v>3000000</v>
      </c>
      <c r="I61" s="84">
        <f t="shared" si="4"/>
        <v>15250000</v>
      </c>
      <c r="J61" s="21">
        <f t="shared" si="5"/>
        <v>91230000</v>
      </c>
      <c r="K61" s="77">
        <f t="shared" si="6"/>
        <v>0.76025</v>
      </c>
    </row>
    <row r="62" ht="21.75" customHeight="1">
      <c r="A62" s="28" t="str">
        <f>"Tháng 10/"&amp;'Tổng quan'!$B$6</f>
        <v>Tháng 10/2026</v>
      </c>
      <c r="B62" s="30">
        <f>COUNTIFS('Nhật ký bảo trì'!$D$6:$D$405,"&lt;&gt;",'Nhật ký bảo trì'!$Q$6:$Q$405,"Hoàn thành",'Nhật ký bảo trì'!$B$6:$B$405,"&gt;="&amp;DATE('Tổng quan'!$B$6,10,1),'Nhật ký bảo trì'!$B$6:$B$405,"&lt;="&amp;EOMONTH(DATE('Tổng quan'!$B$6,10,1),0))</f>
        <v>8</v>
      </c>
      <c r="C62" s="30">
        <f>SUMPRODUCT((EOMONTH(DATE('Tổng quan'!$B$6,10,1),0)&gt;='Kế hoạch định kỳ'!$W$6:$W$125)*(INT((EOMONTH(DATE('Tổng quan'!$B$6,10,1),0)-'Kế hoạch định kỳ'!$W$6:$W$125)/'Kế hoạch định kỳ'!$X$6:$X$125)+1)-(DATE('Tổng quan'!$B$6,10,1)-1&gt;='Kế hoạch định kỳ'!$W$6:$W$125)*(INT((DATE('Tổng quan'!$B$6,10,1)-1-'Kế hoạch định kỳ'!$W$6:$W$125)/'Kế hoạch định kỳ'!$X$6:$X$125)+1))</f>
        <v>4</v>
      </c>
      <c r="D62" s="30">
        <f>COUNTIFS('Nhật ký bảo trì'!$C$6:$C$405,"Sửa chữa sự cố",'Nhật ký bảo trì'!$B$6:$B$405,"&gt;="&amp;DATE('Tổng quan'!$B$6,10,1),'Nhật ký bảo trì'!$B$6:$B$405,"&lt;="&amp;EOMONTH(DATE('Tổng quan'!$B$6,10,1),0))</f>
        <v>2</v>
      </c>
      <c r="E62" s="39">
        <f>SUMIFS('Nhật ký bảo trì'!$K$6:$K$405,'Nhật ký bảo trì'!$B$6:$B$405,"&gt;="&amp;DATE('Tổng quan'!$B$6,10,1),'Nhật ký bảo trì'!$B$6:$B$405,"&lt;="&amp;EOMONTH(DATE('Tổng quan'!$B$6,10,1),0))</f>
        <v>12</v>
      </c>
      <c r="F62" s="36">
        <f>SUMIFS('Nhật ký bảo trì'!$L$6:$L$405,'Nhật ký bảo trì'!$B$6:$B$405,"&gt;="&amp;DATE('Tổng quan'!$B$6,10,1),'Nhật ký bảo trì'!$B$6:$B$405,"&lt;="&amp;EOMONTH(DATE('Tổng quan'!$B$6,10,1),0))</f>
        <v>2700000</v>
      </c>
      <c r="G62" s="36">
        <f>SUMIFS('Nhật ký bảo trì'!$M$6:$M$405,'Nhật ký bảo trì'!$B$6:$B$405,"&gt;="&amp;DATE('Tổng quan'!$B$6,10,1),'Nhật ký bảo trì'!$B$6:$B$405,"&lt;="&amp;EOMONTH(DATE('Tổng quan'!$B$6,10,1),0))</f>
        <v>7800000</v>
      </c>
      <c r="H62" s="36">
        <f>SUMIFS('Nhật ký bảo trì'!$N$6:$N$405,'Nhật ký bảo trì'!$B$6:$B$405,"&gt;="&amp;DATE('Tổng quan'!$B$6,10,1),'Nhật ký bảo trì'!$B$6:$B$405,"&lt;="&amp;EOMONTH(DATE('Tổng quan'!$B$6,10,1),0))</f>
        <v>0</v>
      </c>
      <c r="I62" s="85">
        <f t="shared" si="4"/>
        <v>10500000</v>
      </c>
      <c r="J62" s="36">
        <f t="shared" si="5"/>
        <v>101730000</v>
      </c>
      <c r="K62" s="78">
        <f t="shared" si="6"/>
        <v>0.84775</v>
      </c>
    </row>
    <row r="63" ht="21.75" customHeight="1">
      <c r="A63" s="14" t="str">
        <f>"Tháng 11/"&amp;'Tổng quan'!$B$6</f>
        <v>Tháng 11/2026</v>
      </c>
      <c r="B63" s="16">
        <f>COUNTIFS('Nhật ký bảo trì'!$D$6:$D$405,"&lt;&gt;",'Nhật ký bảo trì'!$Q$6:$Q$405,"Hoàn thành",'Nhật ký bảo trì'!$B$6:$B$405,"&gt;="&amp;DATE('Tổng quan'!$B$6,11,1),'Nhật ký bảo trì'!$B$6:$B$405,"&lt;="&amp;EOMONTH(DATE('Tổng quan'!$B$6,11,1),0))</f>
        <v>0</v>
      </c>
      <c r="C63" s="16">
        <f>SUMPRODUCT((EOMONTH(DATE('Tổng quan'!$B$6,11,1),0)&gt;='Kế hoạch định kỳ'!$W$6:$W$125)*(INT((EOMONTH(DATE('Tổng quan'!$B$6,11,1),0)-'Kế hoạch định kỳ'!$W$6:$W$125)/'Kế hoạch định kỳ'!$X$6:$X$125)+1)-(DATE('Tổng quan'!$B$6,11,1)-1&gt;='Kế hoạch định kỳ'!$W$6:$W$125)*(INT((DATE('Tổng quan'!$B$6,11,1)-1-'Kế hoạch định kỳ'!$W$6:$W$125)/'Kế hoạch định kỳ'!$X$6:$X$125)+1))</f>
        <v>15</v>
      </c>
      <c r="D63" s="16">
        <f>COUNTIFS('Nhật ký bảo trì'!$C$6:$C$405,"Sửa chữa sự cố",'Nhật ký bảo trì'!$B$6:$B$405,"&gt;="&amp;DATE('Tổng quan'!$B$6,11,1),'Nhật ký bảo trì'!$B$6:$B$405,"&lt;="&amp;EOMONTH(DATE('Tổng quan'!$B$6,11,1),0))</f>
        <v>0</v>
      </c>
      <c r="E63" s="22">
        <f>SUMIFS('Nhật ký bảo trì'!$K$6:$K$405,'Nhật ký bảo trì'!$B$6:$B$405,"&gt;="&amp;DATE('Tổng quan'!$B$6,11,1),'Nhật ký bảo trì'!$B$6:$B$405,"&lt;="&amp;EOMONTH(DATE('Tổng quan'!$B$6,11,1),0))</f>
        <v>0</v>
      </c>
      <c r="F63" s="21">
        <f>SUMIFS('Nhật ký bảo trì'!$L$6:$L$405,'Nhật ký bảo trì'!$B$6:$B$405,"&gt;="&amp;DATE('Tổng quan'!$B$6,11,1),'Nhật ký bảo trì'!$B$6:$B$405,"&lt;="&amp;EOMONTH(DATE('Tổng quan'!$B$6,11,1),0))</f>
        <v>0</v>
      </c>
      <c r="G63" s="21">
        <f>SUMIFS('Nhật ký bảo trì'!$M$6:$M$405,'Nhật ký bảo trì'!$B$6:$B$405,"&gt;="&amp;DATE('Tổng quan'!$B$6,11,1),'Nhật ký bảo trì'!$B$6:$B$405,"&lt;="&amp;EOMONTH(DATE('Tổng quan'!$B$6,11,1),0))</f>
        <v>0</v>
      </c>
      <c r="H63" s="21">
        <f>SUMIFS('Nhật ký bảo trì'!$N$6:$N$405,'Nhật ký bảo trì'!$B$6:$B$405,"&gt;="&amp;DATE('Tổng quan'!$B$6,11,1),'Nhật ký bảo trì'!$B$6:$B$405,"&lt;="&amp;EOMONTH(DATE('Tổng quan'!$B$6,11,1),0))</f>
        <v>0</v>
      </c>
      <c r="I63" s="84">
        <f t="shared" si="4"/>
        <v>0</v>
      </c>
      <c r="J63" s="21">
        <f t="shared" si="5"/>
        <v>101730000</v>
      </c>
      <c r="K63" s="77">
        <f t="shared" si="6"/>
        <v>0.84775</v>
      </c>
    </row>
    <row r="64" ht="21.75" customHeight="1">
      <c r="A64" s="28" t="str">
        <f>"Tháng 12/"&amp;'Tổng quan'!$B$6</f>
        <v>Tháng 12/2026</v>
      </c>
      <c r="B64" s="30">
        <f>COUNTIFS('Nhật ký bảo trì'!$D$6:$D$405,"&lt;&gt;",'Nhật ký bảo trì'!$Q$6:$Q$405,"Hoàn thành",'Nhật ký bảo trì'!$B$6:$B$405,"&gt;="&amp;DATE('Tổng quan'!$B$6,12,1),'Nhật ký bảo trì'!$B$6:$B$405,"&lt;="&amp;EOMONTH(DATE('Tổng quan'!$B$6,12,1),0))</f>
        <v>0</v>
      </c>
      <c r="C64" s="30">
        <f>SUMPRODUCT((EOMONTH(DATE('Tổng quan'!$B$6,12,1),0)&gt;='Kế hoạch định kỳ'!$W$6:$W$125)*(INT((EOMONTH(DATE('Tổng quan'!$B$6,12,1),0)-'Kế hoạch định kỳ'!$W$6:$W$125)/'Kế hoạch định kỳ'!$X$6:$X$125)+1)-(DATE('Tổng quan'!$B$6,12,1)-1&gt;='Kế hoạch định kỳ'!$W$6:$W$125)*(INT((DATE('Tổng quan'!$B$6,12,1)-1-'Kế hoạch định kỳ'!$W$6:$W$125)/'Kế hoạch định kỳ'!$X$6:$X$125)+1))</f>
        <v>12</v>
      </c>
      <c r="D64" s="30">
        <f>COUNTIFS('Nhật ký bảo trì'!$C$6:$C$405,"Sửa chữa sự cố",'Nhật ký bảo trì'!$B$6:$B$405,"&gt;="&amp;DATE('Tổng quan'!$B$6,12,1),'Nhật ký bảo trì'!$B$6:$B$405,"&lt;="&amp;EOMONTH(DATE('Tổng quan'!$B$6,12,1),0))</f>
        <v>0</v>
      </c>
      <c r="E64" s="39">
        <f>SUMIFS('Nhật ký bảo trì'!$K$6:$K$405,'Nhật ký bảo trì'!$B$6:$B$405,"&gt;="&amp;DATE('Tổng quan'!$B$6,12,1),'Nhật ký bảo trì'!$B$6:$B$405,"&lt;="&amp;EOMONTH(DATE('Tổng quan'!$B$6,12,1),0))</f>
        <v>0</v>
      </c>
      <c r="F64" s="36">
        <f>SUMIFS('Nhật ký bảo trì'!$L$6:$L$405,'Nhật ký bảo trì'!$B$6:$B$405,"&gt;="&amp;DATE('Tổng quan'!$B$6,12,1),'Nhật ký bảo trì'!$B$6:$B$405,"&lt;="&amp;EOMONTH(DATE('Tổng quan'!$B$6,12,1),0))</f>
        <v>0</v>
      </c>
      <c r="G64" s="36">
        <f>SUMIFS('Nhật ký bảo trì'!$M$6:$M$405,'Nhật ký bảo trì'!$B$6:$B$405,"&gt;="&amp;DATE('Tổng quan'!$B$6,12,1),'Nhật ký bảo trì'!$B$6:$B$405,"&lt;="&amp;EOMONTH(DATE('Tổng quan'!$B$6,12,1),0))</f>
        <v>0</v>
      </c>
      <c r="H64" s="36">
        <f>SUMIFS('Nhật ký bảo trì'!$N$6:$N$405,'Nhật ký bảo trì'!$B$6:$B$405,"&gt;="&amp;DATE('Tổng quan'!$B$6,12,1),'Nhật ký bảo trì'!$B$6:$B$405,"&lt;="&amp;EOMONTH(DATE('Tổng quan'!$B$6,12,1),0))</f>
        <v>0</v>
      </c>
      <c r="I64" s="85">
        <f t="shared" si="4"/>
        <v>0</v>
      </c>
      <c r="J64" s="36">
        <f t="shared" si="5"/>
        <v>101730000</v>
      </c>
      <c r="K64" s="78">
        <f t="shared" si="6"/>
        <v>0.84775</v>
      </c>
    </row>
    <row r="65" ht="15.75" customHeight="1">
      <c r="A65" s="79" t="s">
        <v>241</v>
      </c>
      <c r="B65" s="80">
        <f t="shared" ref="B65:I65" si="7">SUM(B53:B64)</f>
        <v>57</v>
      </c>
      <c r="C65" s="80">
        <f t="shared" si="7"/>
        <v>31</v>
      </c>
      <c r="D65" s="80">
        <f t="shared" si="7"/>
        <v>6</v>
      </c>
      <c r="E65" s="82">
        <f t="shared" si="7"/>
        <v>28</v>
      </c>
      <c r="F65" s="83">
        <f t="shared" si="7"/>
        <v>19980000</v>
      </c>
      <c r="G65" s="83">
        <f t="shared" si="7"/>
        <v>71250000</v>
      </c>
      <c r="H65" s="83">
        <f t="shared" si="7"/>
        <v>10500000</v>
      </c>
      <c r="I65" s="83">
        <f t="shared" si="7"/>
        <v>101730000</v>
      </c>
      <c r="J65" s="83">
        <f>I65</f>
        <v>101730000</v>
      </c>
      <c r="K65" s="81">
        <f>IF($B$9=0,"",I65/$B$9)</f>
        <v>0.84775</v>
      </c>
    </row>
    <row r="66" ht="15.75" customHeight="1">
      <c r="A66" s="86" t="s">
        <v>253</v>
      </c>
    </row>
    <row r="67" ht="15.75" customHeight="1"/>
    <row r="68" ht="24.0" customHeight="1">
      <c r="A68" s="68" t="s">
        <v>254</v>
      </c>
      <c r="B68" s="2"/>
      <c r="C68" s="2"/>
      <c r="D68" s="2"/>
      <c r="E68" s="2"/>
      <c r="F68" s="2"/>
      <c r="G68" s="2"/>
      <c r="H68" s="2"/>
      <c r="I68" s="2"/>
      <c r="J68" s="2"/>
      <c r="K68" s="2"/>
      <c r="L68" s="3"/>
    </row>
    <row r="69" ht="36.0" customHeight="1">
      <c r="A69" s="8" t="s">
        <v>255</v>
      </c>
      <c r="B69" s="8" t="s">
        <v>256</v>
      </c>
      <c r="C69" s="8" t="s">
        <v>257</v>
      </c>
      <c r="D69" s="8" t="s">
        <v>258</v>
      </c>
      <c r="E69" s="8" t="s">
        <v>259</v>
      </c>
      <c r="F69" s="8" t="s">
        <v>260</v>
      </c>
    </row>
    <row r="70" ht="21.75" customHeight="1">
      <c r="A70" s="14" t="str">
        <f>IF('Cài đặt'!A85="","",'Cài đặt'!A85)</f>
        <v>Trần Quốc Bảo</v>
      </c>
      <c r="B70" s="16">
        <f>IF($A70="","",COUNTIF('Kế hoạch định kỳ'!$Q$6:$Q$125,$A70))</f>
        <v>1</v>
      </c>
      <c r="C70" s="16">
        <f>IF($A70="","",COUNTIFS('Nhật ký bảo trì'!$I$6:$I$405,$A70,'Nhật ký bảo trì'!$Q$6:$Q$405,"Hoàn thành",'Nhật ký bảo trì'!$B$6:$B$405,"&gt;="&amp;DATE('Tổng quan'!$B$6,1,1),'Nhật ký bảo trì'!$B$6:$B$405,"&lt;="&amp;DATE('Tổng quan'!$B$6,12,31)))</f>
        <v>1</v>
      </c>
      <c r="D70" s="22">
        <f>IF($A70="","",SUMIFS('Nhật ký bảo trì'!$J$6:$J$405,'Nhật ký bảo trì'!$I$6:$I$405,$A70,'Nhật ký bảo trì'!$B$6:$B$405,"&gt;="&amp;DATE('Tổng quan'!$B$6,1,1),'Nhật ký bảo trì'!$B$6:$B$405,"&lt;="&amp;DATE('Tổng quan'!$B$6,12,31)))</f>
        <v>16</v>
      </c>
      <c r="E70" s="16">
        <f>IF($A70="","",COUNTIFS('Nhật ký bảo trì'!$I$6:$I$405,$A70,'Nhật ký bảo trì'!$C$6:$C$405,"Sửa chữa sự cố",'Nhật ký bảo trì'!$B$6:$B$405,"&gt;="&amp;DATE('Tổng quan'!$B$6,1,1),'Nhật ký bảo trì'!$B$6:$B$405,"&lt;="&amp;DATE('Tổng quan'!$B$6,12,31)))</f>
        <v>0</v>
      </c>
      <c r="F70" s="21">
        <f>IF($A70="","",SUMIFS('Nhật ký bảo trì'!$O$6:$O$405,'Nhật ký bảo trì'!$I$6:$I$405,$A70,'Nhật ký bảo trì'!$B$6:$B$405,"&gt;="&amp;DATE('Tổng quan'!$B$6,1,1),'Nhật ký bảo trì'!$B$6:$B$405,"&lt;="&amp;DATE('Tổng quan'!$B$6,12,31)))</f>
        <v>13920000</v>
      </c>
    </row>
    <row r="71" ht="21.75" customHeight="1">
      <c r="A71" s="28" t="str">
        <f>IF('Cài đặt'!A86="","",'Cài đặt'!A86)</f>
        <v>Hoàng Văn Sơn</v>
      </c>
      <c r="B71" s="30">
        <f>IF($A71="","",COUNTIF('Kế hoạch định kỳ'!$Q$6:$Q$125,$A71))</f>
        <v>7</v>
      </c>
      <c r="C71" s="30">
        <f>IF($A71="","",COUNTIFS('Nhật ký bảo trì'!$I$6:$I$405,$A71,'Nhật ký bảo trì'!$Q$6:$Q$405,"Hoàn thành",'Nhật ký bảo trì'!$B$6:$B$405,"&gt;="&amp;DATE('Tổng quan'!$B$6,1,1),'Nhật ký bảo trì'!$B$6:$B$405,"&lt;="&amp;DATE('Tổng quan'!$B$6,12,31)))</f>
        <v>24</v>
      </c>
      <c r="D71" s="39">
        <f>IF($A71="","",SUMIFS('Nhật ký bảo trì'!$J$6:$J$405,'Nhật ký bảo trì'!$I$6:$I$405,$A71,'Nhật ký bảo trì'!$B$6:$B$405,"&gt;="&amp;DATE('Tổng quan'!$B$6,1,1),'Nhật ký bảo trì'!$B$6:$B$405,"&lt;="&amp;DATE('Tổng quan'!$B$6,12,31)))</f>
        <v>64</v>
      </c>
      <c r="E71" s="30">
        <f>IF($A71="","",COUNTIFS('Nhật ký bảo trì'!$I$6:$I$405,$A71,'Nhật ký bảo trì'!$C$6:$C$405,"Sửa chữa sự cố",'Nhật ký bảo trì'!$B$6:$B$405,"&gt;="&amp;DATE('Tổng quan'!$B$6,1,1),'Nhật ký bảo trì'!$B$6:$B$405,"&lt;="&amp;DATE('Tổng quan'!$B$6,12,31)))</f>
        <v>3</v>
      </c>
      <c r="F71" s="36">
        <f>IF($A71="","",SUMIFS('Nhật ký bảo trì'!$O$6:$O$405,'Nhật ký bảo trì'!$I$6:$I$405,$A71,'Nhật ký bảo trì'!$B$6:$B$405,"&gt;="&amp;DATE('Tổng quan'!$B$6,1,1),'Nhật ký bảo trì'!$B$6:$B$405,"&lt;="&amp;DATE('Tổng quan'!$B$6,12,31)))</f>
        <v>40580000</v>
      </c>
    </row>
    <row r="72" ht="21.75" customHeight="1">
      <c r="A72" s="14" t="str">
        <f>IF('Cài đặt'!A87="","",'Cài đặt'!A87)</f>
        <v>Đỗ Thanh Tùng</v>
      </c>
      <c r="B72" s="16">
        <f>IF($A72="","",COUNTIF('Kế hoạch định kỳ'!$Q$6:$Q$125,$A72))</f>
        <v>5</v>
      </c>
      <c r="C72" s="16">
        <f>IF($A72="","",COUNTIFS('Nhật ký bảo trì'!$I$6:$I$405,$A72,'Nhật ký bảo trì'!$Q$6:$Q$405,"Hoàn thành",'Nhật ký bảo trì'!$B$6:$B$405,"&gt;="&amp;DATE('Tổng quan'!$B$6,1,1),'Nhật ký bảo trì'!$B$6:$B$405,"&lt;="&amp;DATE('Tổng quan'!$B$6,12,31)))</f>
        <v>15</v>
      </c>
      <c r="D72" s="22">
        <f>IF($A72="","",SUMIFS('Nhật ký bảo trì'!$J$6:$J$405,'Nhật ký bảo trì'!$I$6:$I$405,$A72,'Nhật ký bảo trì'!$B$6:$B$405,"&gt;="&amp;DATE('Tổng quan'!$B$6,1,1),'Nhật ký bảo trì'!$B$6:$B$405,"&lt;="&amp;DATE('Tổng quan'!$B$6,12,31)))</f>
        <v>35.5</v>
      </c>
      <c r="E72" s="16">
        <f>IF($A72="","",COUNTIFS('Nhật ký bảo trì'!$I$6:$I$405,$A72,'Nhật ký bảo trì'!$C$6:$C$405,"Sửa chữa sự cố",'Nhật ký bảo trì'!$B$6:$B$405,"&gt;="&amp;DATE('Tổng quan'!$B$6,1,1),'Nhật ký bảo trì'!$B$6:$B$405,"&lt;="&amp;DATE('Tổng quan'!$B$6,12,31)))</f>
        <v>1</v>
      </c>
      <c r="F72" s="21">
        <f>IF($A72="","",SUMIFS('Nhật ký bảo trì'!$O$6:$O$405,'Nhật ký bảo trì'!$I$6:$I$405,$A72,'Nhật ký bảo trì'!$B$6:$B$405,"&gt;="&amp;DATE('Tổng quan'!$B$6,1,1),'Nhật ký bảo trì'!$B$6:$B$405,"&lt;="&amp;DATE('Tổng quan'!$B$6,12,31)))</f>
        <v>19010000</v>
      </c>
    </row>
    <row r="73" ht="21.75" customHeight="1">
      <c r="A73" s="28" t="str">
        <f>IF('Cài đặt'!A88="","",'Cài đặt'!A88)</f>
        <v>Phạm Đức Thịnh</v>
      </c>
      <c r="B73" s="30">
        <f>IF($A73="","",COUNTIF('Kế hoạch định kỳ'!$Q$6:$Q$125,$A73))</f>
        <v>4</v>
      </c>
      <c r="C73" s="30">
        <f>IF($A73="","",COUNTIFS('Nhật ký bảo trì'!$I$6:$I$405,$A73,'Nhật ký bảo trì'!$Q$6:$Q$405,"Hoàn thành",'Nhật ký bảo trì'!$B$6:$B$405,"&gt;="&amp;DATE('Tổng quan'!$B$6,1,1),'Nhật ký bảo trì'!$B$6:$B$405,"&lt;="&amp;DATE('Tổng quan'!$B$6,12,31)))</f>
        <v>15</v>
      </c>
      <c r="D73" s="39">
        <f>IF($A73="","",SUMIFS('Nhật ký bảo trì'!$J$6:$J$405,'Nhật ký bảo trì'!$I$6:$I$405,$A73,'Nhật ký bảo trì'!$B$6:$B$405,"&gt;="&amp;DATE('Tổng quan'!$B$6,1,1),'Nhật ký bảo trì'!$B$6:$B$405,"&lt;="&amp;DATE('Tổng quan'!$B$6,12,31)))</f>
        <v>37</v>
      </c>
      <c r="E73" s="30">
        <f>IF($A73="","",COUNTIFS('Nhật ký bảo trì'!$I$6:$I$405,$A73,'Nhật ký bảo trì'!$C$6:$C$405,"Sửa chữa sự cố",'Nhật ký bảo trì'!$B$6:$B$405,"&gt;="&amp;DATE('Tổng quan'!$B$6,1,1),'Nhật ký bảo trì'!$B$6:$B$405,"&lt;="&amp;DATE('Tổng quan'!$B$6,12,31)))</f>
        <v>1</v>
      </c>
      <c r="F73" s="36">
        <f>IF($A73="","",SUMIFS('Nhật ký bảo trì'!$O$6:$O$405,'Nhật ký bảo trì'!$I$6:$I$405,$A73,'Nhật ký bảo trì'!$B$6:$B$405,"&gt;="&amp;DATE('Tổng quan'!$B$6,1,1),'Nhật ký bảo trì'!$B$6:$B$405,"&lt;="&amp;DATE('Tổng quan'!$B$6,12,31)))</f>
        <v>20740000</v>
      </c>
    </row>
    <row r="74" ht="21.75" customHeight="1">
      <c r="A74" s="14" t="str">
        <f>IF('Cài đặt'!A89="","",'Cài đặt'!A89)</f>
        <v>Vũ Thị Mai</v>
      </c>
      <c r="B74" s="16">
        <f>IF($A74="","",COUNTIF('Kế hoạch định kỳ'!$Q$6:$Q$125,$A74))</f>
        <v>2</v>
      </c>
      <c r="C74" s="16">
        <f>IF($A74="","",COUNTIFS('Nhật ký bảo trì'!$I$6:$I$405,$A74,'Nhật ký bảo trì'!$Q$6:$Q$405,"Hoàn thành",'Nhật ký bảo trì'!$B$6:$B$405,"&gt;="&amp;DATE('Tổng quan'!$B$6,1,1),'Nhật ký bảo trì'!$B$6:$B$405,"&lt;="&amp;DATE('Tổng quan'!$B$6,12,31)))</f>
        <v>7</v>
      </c>
      <c r="D74" s="22">
        <f>IF($A74="","",SUMIFS('Nhật ký bảo trì'!$J$6:$J$405,'Nhật ký bảo trì'!$I$6:$I$405,$A74,'Nhật ký bảo trì'!$B$6:$B$405,"&gt;="&amp;DATE('Tổng quan'!$B$6,1,1),'Nhật ký bảo trì'!$B$6:$B$405,"&lt;="&amp;DATE('Tổng quan'!$B$6,12,31)))</f>
        <v>14</v>
      </c>
      <c r="E74" s="16">
        <f>IF($A74="","",COUNTIFS('Nhật ký bảo trì'!$I$6:$I$405,$A74,'Nhật ký bảo trì'!$C$6:$C$405,"Sửa chữa sự cố",'Nhật ký bảo trì'!$B$6:$B$405,"&gt;="&amp;DATE('Tổng quan'!$B$6,1,1),'Nhật ký bảo trì'!$B$6:$B$405,"&lt;="&amp;DATE('Tổng quan'!$B$6,12,31)))</f>
        <v>0</v>
      </c>
      <c r="F74" s="21">
        <f>IF($A74="","",SUMIFS('Nhật ký bảo trì'!$O$6:$O$405,'Nhật ký bảo trì'!$I$6:$I$405,$A74,'Nhật ký bảo trì'!$B$6:$B$405,"&gt;="&amp;DATE('Tổng quan'!$B$6,1,1),'Nhật ký bảo trì'!$B$6:$B$405,"&lt;="&amp;DATE('Tổng quan'!$B$6,12,31)))</f>
        <v>2280000</v>
      </c>
    </row>
    <row r="75" ht="21.75" customHeight="1">
      <c r="A75" s="28" t="str">
        <f>IF('Cài đặt'!A90="","",'Cài đặt'!A90)</f>
        <v>Nhà thầu ngoài</v>
      </c>
      <c r="B75" s="30">
        <f>IF($A75="","",COUNTIF('Kế hoạch định kỳ'!$Q$6:$Q$125,$A75))</f>
        <v>2</v>
      </c>
      <c r="C75" s="30">
        <f>IF($A75="","",COUNTIFS('Nhật ký bảo trì'!$I$6:$I$405,$A75,'Nhật ký bảo trì'!$Q$6:$Q$405,"Hoàn thành",'Nhật ký bảo trì'!$B$6:$B$405,"&gt;="&amp;DATE('Tổng quan'!$B$6,1,1),'Nhật ký bảo trì'!$B$6:$B$405,"&lt;="&amp;DATE('Tổng quan'!$B$6,12,31)))</f>
        <v>1</v>
      </c>
      <c r="D75" s="39">
        <f>IF($A75="","",SUMIFS('Nhật ký bảo trì'!$J$6:$J$405,'Nhật ký bảo trì'!$I$6:$I$405,$A75,'Nhật ký bảo trì'!$B$6:$B$405,"&gt;="&amp;DATE('Tổng quan'!$B$6,1,1),'Nhật ký bảo trì'!$B$6:$B$405,"&lt;="&amp;DATE('Tổng quan'!$B$6,12,31)))</f>
        <v>6</v>
      </c>
      <c r="E75" s="30">
        <f>IF($A75="","",COUNTIFS('Nhật ký bảo trì'!$I$6:$I$405,$A75,'Nhật ký bảo trì'!$C$6:$C$405,"Sửa chữa sự cố",'Nhật ký bảo trì'!$B$6:$B$405,"&gt;="&amp;DATE('Tổng quan'!$B$6,1,1),'Nhật ký bảo trì'!$B$6:$B$405,"&lt;="&amp;DATE('Tổng quan'!$B$6,12,31)))</f>
        <v>1</v>
      </c>
      <c r="F75" s="36">
        <f>IF($A75="","",SUMIFS('Nhật ký bảo trì'!$O$6:$O$405,'Nhật ký bảo trì'!$I$6:$I$405,$A75,'Nhật ký bảo trì'!$B$6:$B$405,"&gt;="&amp;DATE('Tổng quan'!$B$6,1,1),'Nhật ký bảo trì'!$B$6:$B$405,"&lt;="&amp;DATE('Tổng quan'!$B$6,12,31)))</f>
        <v>5200000</v>
      </c>
    </row>
    <row r="76" ht="21.75" customHeight="1">
      <c r="A76" s="14" t="str">
        <f>IF('Cài đặt'!A91="","",'Cài đặt'!A91)</f>
        <v/>
      </c>
      <c r="B76" s="16" t="str">
        <f>IF($A76="","",COUNTIF('Kế hoạch định kỳ'!$Q$6:$Q$125,$A76))</f>
        <v/>
      </c>
      <c r="C76" s="16" t="str">
        <f>IF($A76="","",COUNTIFS('Nhật ký bảo trì'!$I$6:$I$405,$A76,'Nhật ký bảo trì'!$Q$6:$Q$405,"Hoàn thành",'Nhật ký bảo trì'!$B$6:$B$405,"&gt;="&amp;DATE('Tổng quan'!$B$6,1,1),'Nhật ký bảo trì'!$B$6:$B$405,"&lt;="&amp;DATE('Tổng quan'!$B$6,12,31)))</f>
        <v/>
      </c>
      <c r="D76" s="22" t="str">
        <f>IF($A76="","",SUMIFS('Nhật ký bảo trì'!$J$6:$J$405,'Nhật ký bảo trì'!$I$6:$I$405,$A76,'Nhật ký bảo trì'!$B$6:$B$405,"&gt;="&amp;DATE('Tổng quan'!$B$6,1,1),'Nhật ký bảo trì'!$B$6:$B$405,"&lt;="&amp;DATE('Tổng quan'!$B$6,12,31)))</f>
        <v/>
      </c>
      <c r="E76" s="16" t="str">
        <f>IF($A76="","",COUNTIFS('Nhật ký bảo trì'!$I$6:$I$405,$A76,'Nhật ký bảo trì'!$C$6:$C$405,"Sửa chữa sự cố",'Nhật ký bảo trì'!$B$6:$B$405,"&gt;="&amp;DATE('Tổng quan'!$B$6,1,1),'Nhật ký bảo trì'!$B$6:$B$405,"&lt;="&amp;DATE('Tổng quan'!$B$6,12,31)))</f>
        <v/>
      </c>
      <c r="F76" s="21" t="str">
        <f>IF($A76="","",SUMIFS('Nhật ký bảo trì'!$O$6:$O$405,'Nhật ký bảo trì'!$I$6:$I$405,$A76,'Nhật ký bảo trì'!$B$6:$B$405,"&gt;="&amp;DATE('Tổng quan'!$B$6,1,1),'Nhật ký bảo trì'!$B$6:$B$405,"&lt;="&amp;DATE('Tổng quan'!$B$6,12,31)))</f>
        <v/>
      </c>
    </row>
    <row r="77" ht="21.75" customHeight="1">
      <c r="A77" s="28" t="str">
        <f>IF('Cài đặt'!A92="","",'Cài đặt'!A92)</f>
        <v/>
      </c>
      <c r="B77" s="30" t="str">
        <f>IF($A77="","",COUNTIF('Kế hoạch định kỳ'!$Q$6:$Q$125,$A77))</f>
        <v/>
      </c>
      <c r="C77" s="30" t="str">
        <f>IF($A77="","",COUNTIFS('Nhật ký bảo trì'!$I$6:$I$405,$A77,'Nhật ký bảo trì'!$Q$6:$Q$405,"Hoàn thành",'Nhật ký bảo trì'!$B$6:$B$405,"&gt;="&amp;DATE('Tổng quan'!$B$6,1,1),'Nhật ký bảo trì'!$B$6:$B$405,"&lt;="&amp;DATE('Tổng quan'!$B$6,12,31)))</f>
        <v/>
      </c>
      <c r="D77" s="39" t="str">
        <f>IF($A77="","",SUMIFS('Nhật ký bảo trì'!$J$6:$J$405,'Nhật ký bảo trì'!$I$6:$I$405,$A77,'Nhật ký bảo trì'!$B$6:$B$405,"&gt;="&amp;DATE('Tổng quan'!$B$6,1,1),'Nhật ký bảo trì'!$B$6:$B$405,"&lt;="&amp;DATE('Tổng quan'!$B$6,12,31)))</f>
        <v/>
      </c>
      <c r="E77" s="30" t="str">
        <f>IF($A77="","",COUNTIFS('Nhật ký bảo trì'!$I$6:$I$405,$A77,'Nhật ký bảo trì'!$C$6:$C$405,"Sửa chữa sự cố",'Nhật ký bảo trì'!$B$6:$B$405,"&gt;="&amp;DATE('Tổng quan'!$B$6,1,1),'Nhật ký bảo trì'!$B$6:$B$405,"&lt;="&amp;DATE('Tổng quan'!$B$6,12,31)))</f>
        <v/>
      </c>
      <c r="F77" s="36" t="str">
        <f>IF($A77="","",SUMIFS('Nhật ký bảo trì'!$O$6:$O$405,'Nhật ký bảo trì'!$I$6:$I$405,$A77,'Nhật ký bảo trì'!$B$6:$B$405,"&gt;="&amp;DATE('Tổng quan'!$B$6,1,1),'Nhật ký bảo trì'!$B$6:$B$405,"&lt;="&amp;DATE('Tổng quan'!$B$6,12,31)))</f>
        <v/>
      </c>
    </row>
    <row r="78" ht="21.75" customHeight="1">
      <c r="A78" s="14" t="str">
        <f>IF('Cài đặt'!A93="","",'Cài đặt'!A93)</f>
        <v/>
      </c>
      <c r="B78" s="16" t="str">
        <f>IF($A78="","",COUNTIF('Kế hoạch định kỳ'!$Q$6:$Q$125,$A78))</f>
        <v/>
      </c>
      <c r="C78" s="16" t="str">
        <f>IF($A78="","",COUNTIFS('Nhật ký bảo trì'!$I$6:$I$405,$A78,'Nhật ký bảo trì'!$Q$6:$Q$405,"Hoàn thành",'Nhật ký bảo trì'!$B$6:$B$405,"&gt;="&amp;DATE('Tổng quan'!$B$6,1,1),'Nhật ký bảo trì'!$B$6:$B$405,"&lt;="&amp;DATE('Tổng quan'!$B$6,12,31)))</f>
        <v/>
      </c>
      <c r="D78" s="22" t="str">
        <f>IF($A78="","",SUMIFS('Nhật ký bảo trì'!$J$6:$J$405,'Nhật ký bảo trì'!$I$6:$I$405,$A78,'Nhật ký bảo trì'!$B$6:$B$405,"&gt;="&amp;DATE('Tổng quan'!$B$6,1,1),'Nhật ký bảo trì'!$B$6:$B$405,"&lt;="&amp;DATE('Tổng quan'!$B$6,12,31)))</f>
        <v/>
      </c>
      <c r="E78" s="16" t="str">
        <f>IF($A78="","",COUNTIFS('Nhật ký bảo trì'!$I$6:$I$405,$A78,'Nhật ký bảo trì'!$C$6:$C$405,"Sửa chữa sự cố",'Nhật ký bảo trì'!$B$6:$B$405,"&gt;="&amp;DATE('Tổng quan'!$B$6,1,1),'Nhật ký bảo trì'!$B$6:$B$405,"&lt;="&amp;DATE('Tổng quan'!$B$6,12,31)))</f>
        <v/>
      </c>
      <c r="F78" s="21" t="str">
        <f>IF($A78="","",SUMIFS('Nhật ký bảo trì'!$O$6:$O$405,'Nhật ký bảo trì'!$I$6:$I$405,$A78,'Nhật ký bảo trì'!$B$6:$B$405,"&gt;="&amp;DATE('Tổng quan'!$B$6,1,1),'Nhật ký bảo trì'!$B$6:$B$405,"&lt;="&amp;DATE('Tổng quan'!$B$6,12,31)))</f>
        <v/>
      </c>
    </row>
    <row r="79" ht="21.75" customHeight="1">
      <c r="A79" s="28" t="str">
        <f>IF('Cài đặt'!A94="","",'Cài đặt'!A94)</f>
        <v/>
      </c>
      <c r="B79" s="30" t="str">
        <f>IF($A79="","",COUNTIF('Kế hoạch định kỳ'!$Q$6:$Q$125,$A79))</f>
        <v/>
      </c>
      <c r="C79" s="30" t="str">
        <f>IF($A79="","",COUNTIFS('Nhật ký bảo trì'!$I$6:$I$405,$A79,'Nhật ký bảo trì'!$Q$6:$Q$405,"Hoàn thành",'Nhật ký bảo trì'!$B$6:$B$405,"&gt;="&amp;DATE('Tổng quan'!$B$6,1,1),'Nhật ký bảo trì'!$B$6:$B$405,"&lt;="&amp;DATE('Tổng quan'!$B$6,12,31)))</f>
        <v/>
      </c>
      <c r="D79" s="39" t="str">
        <f>IF($A79="","",SUMIFS('Nhật ký bảo trì'!$J$6:$J$405,'Nhật ký bảo trì'!$I$6:$I$405,$A79,'Nhật ký bảo trì'!$B$6:$B$405,"&gt;="&amp;DATE('Tổng quan'!$B$6,1,1),'Nhật ký bảo trì'!$B$6:$B$405,"&lt;="&amp;DATE('Tổng quan'!$B$6,12,31)))</f>
        <v/>
      </c>
      <c r="E79" s="30" t="str">
        <f>IF($A79="","",COUNTIFS('Nhật ký bảo trì'!$I$6:$I$405,$A79,'Nhật ký bảo trì'!$C$6:$C$405,"Sửa chữa sự cố",'Nhật ký bảo trì'!$B$6:$B$405,"&gt;="&amp;DATE('Tổng quan'!$B$6,1,1),'Nhật ký bảo trì'!$B$6:$B$405,"&lt;="&amp;DATE('Tổng quan'!$B$6,12,31)))</f>
        <v/>
      </c>
      <c r="F79" s="36" t="str">
        <f>IF($A79="","",SUMIFS('Nhật ký bảo trì'!$O$6:$O$405,'Nhật ký bảo trì'!$I$6:$I$405,$A79,'Nhật ký bảo trì'!$B$6:$B$405,"&gt;="&amp;DATE('Tổng quan'!$B$6,1,1),'Nhật ký bảo trì'!$B$6:$B$405,"&lt;="&amp;DATE('Tổng quan'!$B$6,12,31)))</f>
        <v/>
      </c>
    </row>
    <row r="80" ht="21.75" customHeight="1">
      <c r="A80" s="14" t="str">
        <f>IF('Cài đặt'!A95="","",'Cài đặt'!A95)</f>
        <v/>
      </c>
      <c r="B80" s="16" t="str">
        <f>IF($A80="","",COUNTIF('Kế hoạch định kỳ'!$Q$6:$Q$125,$A80))</f>
        <v/>
      </c>
      <c r="C80" s="16" t="str">
        <f>IF($A80="","",COUNTIFS('Nhật ký bảo trì'!$I$6:$I$405,$A80,'Nhật ký bảo trì'!$Q$6:$Q$405,"Hoàn thành",'Nhật ký bảo trì'!$B$6:$B$405,"&gt;="&amp;DATE('Tổng quan'!$B$6,1,1),'Nhật ký bảo trì'!$B$6:$B$405,"&lt;="&amp;DATE('Tổng quan'!$B$6,12,31)))</f>
        <v/>
      </c>
      <c r="D80" s="22" t="str">
        <f>IF($A80="","",SUMIFS('Nhật ký bảo trì'!$J$6:$J$405,'Nhật ký bảo trì'!$I$6:$I$405,$A80,'Nhật ký bảo trì'!$B$6:$B$405,"&gt;="&amp;DATE('Tổng quan'!$B$6,1,1),'Nhật ký bảo trì'!$B$6:$B$405,"&lt;="&amp;DATE('Tổng quan'!$B$6,12,31)))</f>
        <v/>
      </c>
      <c r="E80" s="16" t="str">
        <f>IF($A80="","",COUNTIFS('Nhật ký bảo trì'!$I$6:$I$405,$A80,'Nhật ký bảo trì'!$C$6:$C$405,"Sửa chữa sự cố",'Nhật ký bảo trì'!$B$6:$B$405,"&gt;="&amp;DATE('Tổng quan'!$B$6,1,1),'Nhật ký bảo trì'!$B$6:$B$405,"&lt;="&amp;DATE('Tổng quan'!$B$6,12,31)))</f>
        <v/>
      </c>
      <c r="F80" s="21" t="str">
        <f>IF($A80="","",SUMIFS('Nhật ký bảo trì'!$O$6:$O$405,'Nhật ký bảo trì'!$I$6:$I$405,$A80,'Nhật ký bảo trì'!$B$6:$B$405,"&gt;="&amp;DATE('Tổng quan'!$B$6,1,1),'Nhật ký bảo trì'!$B$6:$B$405,"&lt;="&amp;DATE('Tổng quan'!$B$6,12,31)))</f>
        <v/>
      </c>
    </row>
    <row r="81" ht="21.75" customHeight="1">
      <c r="A81" s="28" t="str">
        <f>IF('Cài đặt'!A96="","",'Cài đặt'!A96)</f>
        <v/>
      </c>
      <c r="B81" s="30" t="str">
        <f>IF($A81="","",COUNTIF('Kế hoạch định kỳ'!$Q$6:$Q$125,$A81))</f>
        <v/>
      </c>
      <c r="C81" s="30" t="str">
        <f>IF($A81="","",COUNTIFS('Nhật ký bảo trì'!$I$6:$I$405,$A81,'Nhật ký bảo trì'!$Q$6:$Q$405,"Hoàn thành",'Nhật ký bảo trì'!$B$6:$B$405,"&gt;="&amp;DATE('Tổng quan'!$B$6,1,1),'Nhật ký bảo trì'!$B$6:$B$405,"&lt;="&amp;DATE('Tổng quan'!$B$6,12,31)))</f>
        <v/>
      </c>
      <c r="D81" s="39" t="str">
        <f>IF($A81="","",SUMIFS('Nhật ký bảo trì'!$J$6:$J$405,'Nhật ký bảo trì'!$I$6:$I$405,$A81,'Nhật ký bảo trì'!$B$6:$B$405,"&gt;="&amp;DATE('Tổng quan'!$B$6,1,1),'Nhật ký bảo trì'!$B$6:$B$405,"&lt;="&amp;DATE('Tổng quan'!$B$6,12,31)))</f>
        <v/>
      </c>
      <c r="E81" s="30" t="str">
        <f>IF($A81="","",COUNTIFS('Nhật ký bảo trì'!$I$6:$I$405,$A81,'Nhật ký bảo trì'!$C$6:$C$405,"Sửa chữa sự cố",'Nhật ký bảo trì'!$B$6:$B$405,"&gt;="&amp;DATE('Tổng quan'!$B$6,1,1),'Nhật ký bảo trì'!$B$6:$B$405,"&lt;="&amp;DATE('Tổng quan'!$B$6,12,31)))</f>
        <v/>
      </c>
      <c r="F81" s="36" t="str">
        <f>IF($A81="","",SUMIFS('Nhật ký bảo trì'!$O$6:$O$405,'Nhật ký bảo trì'!$I$6:$I$405,$A81,'Nhật ký bảo trì'!$B$6:$B$405,"&gt;="&amp;DATE('Tổng quan'!$B$6,1,1),'Nhật ký bảo trì'!$B$6:$B$405,"&lt;="&amp;DATE('Tổng quan'!$B$6,12,31)))</f>
        <v/>
      </c>
    </row>
    <row r="82" ht="21.75" customHeight="1">
      <c r="A82" s="14" t="str">
        <f>IF('Cài đặt'!A97="","",'Cài đặt'!A97)</f>
        <v/>
      </c>
      <c r="B82" s="16" t="str">
        <f>IF($A82="","",COUNTIF('Kế hoạch định kỳ'!$Q$6:$Q$125,$A82))</f>
        <v/>
      </c>
      <c r="C82" s="16" t="str">
        <f>IF($A82="","",COUNTIFS('Nhật ký bảo trì'!$I$6:$I$405,$A82,'Nhật ký bảo trì'!$Q$6:$Q$405,"Hoàn thành",'Nhật ký bảo trì'!$B$6:$B$405,"&gt;="&amp;DATE('Tổng quan'!$B$6,1,1),'Nhật ký bảo trì'!$B$6:$B$405,"&lt;="&amp;DATE('Tổng quan'!$B$6,12,31)))</f>
        <v/>
      </c>
      <c r="D82" s="22" t="str">
        <f>IF($A82="","",SUMIFS('Nhật ký bảo trì'!$J$6:$J$405,'Nhật ký bảo trì'!$I$6:$I$405,$A82,'Nhật ký bảo trì'!$B$6:$B$405,"&gt;="&amp;DATE('Tổng quan'!$B$6,1,1),'Nhật ký bảo trì'!$B$6:$B$405,"&lt;="&amp;DATE('Tổng quan'!$B$6,12,31)))</f>
        <v/>
      </c>
      <c r="E82" s="16" t="str">
        <f>IF($A82="","",COUNTIFS('Nhật ký bảo trì'!$I$6:$I$405,$A82,'Nhật ký bảo trì'!$C$6:$C$405,"Sửa chữa sự cố",'Nhật ký bảo trì'!$B$6:$B$405,"&gt;="&amp;DATE('Tổng quan'!$B$6,1,1),'Nhật ký bảo trì'!$B$6:$B$405,"&lt;="&amp;DATE('Tổng quan'!$B$6,12,31)))</f>
        <v/>
      </c>
      <c r="F82" s="21" t="str">
        <f>IF($A82="","",SUMIFS('Nhật ký bảo trì'!$O$6:$O$405,'Nhật ký bảo trì'!$I$6:$I$405,$A82,'Nhật ký bảo trì'!$B$6:$B$405,"&gt;="&amp;DATE('Tổng quan'!$B$6,1,1),'Nhật ký bảo trì'!$B$6:$B$405,"&lt;="&amp;DATE('Tổng quan'!$B$6,12,31)))</f>
        <v/>
      </c>
    </row>
    <row r="83" ht="21.75" customHeight="1">
      <c r="A83" s="28" t="str">
        <f>IF('Cài đặt'!A98="","",'Cài đặt'!A98)</f>
        <v/>
      </c>
      <c r="B83" s="30" t="str">
        <f>IF($A83="","",COUNTIF('Kế hoạch định kỳ'!$Q$6:$Q$125,$A83))</f>
        <v/>
      </c>
      <c r="C83" s="30" t="str">
        <f>IF($A83="","",COUNTIFS('Nhật ký bảo trì'!$I$6:$I$405,$A83,'Nhật ký bảo trì'!$Q$6:$Q$405,"Hoàn thành",'Nhật ký bảo trì'!$B$6:$B$405,"&gt;="&amp;DATE('Tổng quan'!$B$6,1,1),'Nhật ký bảo trì'!$B$6:$B$405,"&lt;="&amp;DATE('Tổng quan'!$B$6,12,31)))</f>
        <v/>
      </c>
      <c r="D83" s="39" t="str">
        <f>IF($A83="","",SUMIFS('Nhật ký bảo trì'!$J$6:$J$405,'Nhật ký bảo trì'!$I$6:$I$405,$A83,'Nhật ký bảo trì'!$B$6:$B$405,"&gt;="&amp;DATE('Tổng quan'!$B$6,1,1),'Nhật ký bảo trì'!$B$6:$B$405,"&lt;="&amp;DATE('Tổng quan'!$B$6,12,31)))</f>
        <v/>
      </c>
      <c r="E83" s="30" t="str">
        <f>IF($A83="","",COUNTIFS('Nhật ký bảo trì'!$I$6:$I$405,$A83,'Nhật ký bảo trì'!$C$6:$C$405,"Sửa chữa sự cố",'Nhật ký bảo trì'!$B$6:$B$405,"&gt;="&amp;DATE('Tổng quan'!$B$6,1,1),'Nhật ký bảo trì'!$B$6:$B$405,"&lt;="&amp;DATE('Tổng quan'!$B$6,12,31)))</f>
        <v/>
      </c>
      <c r="F83" s="36" t="str">
        <f>IF($A83="","",SUMIFS('Nhật ký bảo trì'!$O$6:$O$405,'Nhật ký bảo trì'!$I$6:$I$405,$A83,'Nhật ký bảo trì'!$B$6:$B$405,"&gt;="&amp;DATE('Tổng quan'!$B$6,1,1),'Nhật ký bảo trì'!$B$6:$B$405,"&lt;="&amp;DATE('Tổng quan'!$B$6,12,31)))</f>
        <v/>
      </c>
    </row>
    <row r="84" ht="21.75" customHeight="1">
      <c r="A84" s="14" t="str">
        <f>IF('Cài đặt'!A99="","",'Cài đặt'!A99)</f>
        <v/>
      </c>
      <c r="B84" s="16" t="str">
        <f>IF($A84="","",COUNTIF('Kế hoạch định kỳ'!$Q$6:$Q$125,$A84))</f>
        <v/>
      </c>
      <c r="C84" s="16" t="str">
        <f>IF($A84="","",COUNTIFS('Nhật ký bảo trì'!$I$6:$I$405,$A84,'Nhật ký bảo trì'!$Q$6:$Q$405,"Hoàn thành",'Nhật ký bảo trì'!$B$6:$B$405,"&gt;="&amp;DATE('Tổng quan'!$B$6,1,1),'Nhật ký bảo trì'!$B$6:$B$405,"&lt;="&amp;DATE('Tổng quan'!$B$6,12,31)))</f>
        <v/>
      </c>
      <c r="D84" s="22" t="str">
        <f>IF($A84="","",SUMIFS('Nhật ký bảo trì'!$J$6:$J$405,'Nhật ký bảo trì'!$I$6:$I$405,$A84,'Nhật ký bảo trì'!$B$6:$B$405,"&gt;="&amp;DATE('Tổng quan'!$B$6,1,1),'Nhật ký bảo trì'!$B$6:$B$405,"&lt;="&amp;DATE('Tổng quan'!$B$6,12,31)))</f>
        <v/>
      </c>
      <c r="E84" s="16" t="str">
        <f>IF($A84="","",COUNTIFS('Nhật ký bảo trì'!$I$6:$I$405,$A84,'Nhật ký bảo trì'!$C$6:$C$405,"Sửa chữa sự cố",'Nhật ký bảo trì'!$B$6:$B$405,"&gt;="&amp;DATE('Tổng quan'!$B$6,1,1),'Nhật ký bảo trì'!$B$6:$B$405,"&lt;="&amp;DATE('Tổng quan'!$B$6,12,31)))</f>
        <v/>
      </c>
      <c r="F84" s="21" t="str">
        <f>IF($A84="","",SUMIFS('Nhật ký bảo trì'!$O$6:$O$405,'Nhật ký bảo trì'!$I$6:$I$405,$A84,'Nhật ký bảo trì'!$B$6:$B$405,"&gt;="&amp;DATE('Tổng quan'!$B$6,1,1),'Nhật ký bảo trì'!$B$6:$B$405,"&lt;="&amp;DATE('Tổng quan'!$B$6,12,31)))</f>
        <v/>
      </c>
    </row>
    <row r="85" ht="15.75" customHeight="1"/>
    <row r="86" ht="15.75" customHeight="1">
      <c r="A86" s="87" t="s">
        <v>261</v>
      </c>
    </row>
    <row r="87" ht="25.5" customHeight="1">
      <c r="A87" s="88" t="s">
        <v>262</v>
      </c>
    </row>
    <row r="88" ht="25.5" customHeight="1">
      <c r="A88" s="88" t="s">
        <v>263</v>
      </c>
    </row>
    <row r="89" ht="25.5" customHeight="1">
      <c r="A89" s="88" t="s">
        <v>264</v>
      </c>
    </row>
    <row r="90" ht="25.5" customHeight="1">
      <c r="A90" s="88" t="s">
        <v>265</v>
      </c>
    </row>
    <row r="91" ht="25.5" customHeight="1">
      <c r="A91" s="88" t="s">
        <v>266</v>
      </c>
    </row>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5">
    <mergeCell ref="G22:L22"/>
    <mergeCell ref="G23:L23"/>
    <mergeCell ref="G24:L24"/>
    <mergeCell ref="G25:L25"/>
    <mergeCell ref="G26:L26"/>
    <mergeCell ref="G27:L27"/>
    <mergeCell ref="G28:L28"/>
    <mergeCell ref="G29:L29"/>
    <mergeCell ref="G30:L30"/>
    <mergeCell ref="G31:L31"/>
    <mergeCell ref="G32:L32"/>
    <mergeCell ref="G33:L33"/>
    <mergeCell ref="G34:L34"/>
    <mergeCell ref="G35:L35"/>
    <mergeCell ref="A89:L89"/>
    <mergeCell ref="A90:L90"/>
    <mergeCell ref="A91:L91"/>
    <mergeCell ref="G36:L36"/>
    <mergeCell ref="G37:L37"/>
    <mergeCell ref="A39:L39"/>
    <mergeCell ref="A51:L51"/>
    <mergeCell ref="A68:L68"/>
    <mergeCell ref="A87:L87"/>
    <mergeCell ref="A88:L88"/>
    <mergeCell ref="A2:L2"/>
    <mergeCell ref="B4:D4"/>
    <mergeCell ref="F4:G5"/>
    <mergeCell ref="H4:L5"/>
    <mergeCell ref="B5:D5"/>
    <mergeCell ref="B6:D6"/>
    <mergeCell ref="A1:W1"/>
    <mergeCell ref="F8:G9"/>
    <mergeCell ref="F10:G11"/>
    <mergeCell ref="F13:G13"/>
    <mergeCell ref="H13:I13"/>
    <mergeCell ref="J13:L13"/>
    <mergeCell ref="F6:G7"/>
    <mergeCell ref="H6:L7"/>
    <mergeCell ref="B7:D7"/>
    <mergeCell ref="B8:D8"/>
    <mergeCell ref="H8:L9"/>
    <mergeCell ref="B9:D9"/>
    <mergeCell ref="H10:L11"/>
    <mergeCell ref="F14:G15"/>
    <mergeCell ref="H14:I15"/>
    <mergeCell ref="J14:L15"/>
    <mergeCell ref="B17:C17"/>
    <mergeCell ref="D17:E17"/>
    <mergeCell ref="F17:G17"/>
    <mergeCell ref="H17:I17"/>
    <mergeCell ref="J17:L17"/>
    <mergeCell ref="B10:D10"/>
    <mergeCell ref="B11:D11"/>
    <mergeCell ref="B13:C13"/>
    <mergeCell ref="D13:E13"/>
    <mergeCell ref="A14:A15"/>
    <mergeCell ref="B14:C15"/>
    <mergeCell ref="D14:E15"/>
    <mergeCell ref="A18:A19"/>
    <mergeCell ref="B18:C19"/>
    <mergeCell ref="D18:E19"/>
    <mergeCell ref="F18:G19"/>
    <mergeCell ref="H18:I19"/>
    <mergeCell ref="J18:L19"/>
    <mergeCell ref="A21:L21"/>
  </mergeCells>
  <conditionalFormatting sqref="E23:E37">
    <cfRule type="expression" dxfId="0" priority="1">
      <formula>LEFT(E23,7)="Quá hạn"</formula>
    </cfRule>
  </conditionalFormatting>
  <conditionalFormatting sqref="E23:E37">
    <cfRule type="expression" dxfId="1" priority="2">
      <formula>OR(LEFT(E23,8)="Sắp đến",E23="Đến hạn hôm nay")</formula>
    </cfRule>
  </conditionalFormatting>
  <conditionalFormatting sqref="D41:D48">
    <cfRule type="cellIs" dxfId="2" priority="3" operator="greaterThan">
      <formula>0</formula>
    </cfRule>
  </conditionalFormatting>
  <conditionalFormatting sqref="K53:K65">
    <cfRule type="cellIs" dxfId="2" priority="4" operator="greaterThan">
      <formula>1</formula>
    </cfRule>
  </conditionalFormatting>
  <dataValidations>
    <dataValidation type="decimal" allowBlank="1" sqref="B6">
      <formula1>2000.0</formula1>
      <formula2>2100.0</formula2>
    </dataValidation>
    <dataValidation type="date" operator="greaterThan" allowBlank="1" sqref="B8 B10">
      <formula1>36526.0</formula1>
    </dataValidation>
  </dataValidations>
  <printOptions/>
  <pageMargins bottom="1.0" footer="0.0" header="0.0" left="0.75" right="0.75" top="1.0"/>
  <pageSetup fitToHeight="0" paperSize="8"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F3F46"/>
    <pageSetUpPr fitToPage="1"/>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4.43" defaultRowHeight="15.0"/>
  <cols>
    <col customWidth="1" min="1" max="1" width="6.0"/>
    <col customWidth="1" min="2" max="2" width="11.0"/>
    <col customWidth="1" min="3" max="3" width="32.0"/>
    <col customWidth="1" min="4" max="4" width="20.0"/>
    <col customWidth="1" min="5" max="5" width="15.0"/>
    <col customWidth="1" min="6" max="6" width="20.0"/>
    <col customWidth="1" min="7" max="7" width="16.0"/>
    <col customWidth="1" min="8" max="8" width="13.0"/>
    <col customWidth="1" min="9" max="9" width="18.0"/>
    <col customWidth="1" min="10" max="10" width="15.0"/>
    <col customWidth="1" min="11" max="11" width="13.0"/>
    <col customWidth="1" min="12" max="12" width="18.0"/>
    <col customWidth="1" min="13" max="13" width="22.0"/>
    <col customWidth="1" min="14" max="14" width="11.0"/>
    <col customWidth="1" min="15" max="16" width="13.0"/>
    <col customWidth="1" min="17" max="17" width="10.0"/>
    <col customWidth="1" min="18" max="18" width="16.0"/>
    <col customWidth="1" min="19" max="19" width="10.0"/>
    <col customWidth="1" min="20" max="21" width="11.0"/>
    <col customWidth="1" min="22" max="22" width="16.0"/>
    <col customWidth="1" min="23" max="23" width="20.0"/>
    <col customWidth="1" min="24" max="24" width="24.0"/>
    <col customWidth="1" min="25" max="26" width="8.71"/>
  </cols>
  <sheetData>
    <row r="1" ht="42.0" customHeight="1">
      <c r="A1" s="1" t="s">
        <v>2</v>
      </c>
      <c r="B1" s="2"/>
      <c r="C1" s="2"/>
      <c r="D1" s="2"/>
      <c r="E1" s="2"/>
      <c r="F1" s="2"/>
      <c r="G1" s="2"/>
      <c r="H1" s="2"/>
      <c r="I1" s="2"/>
      <c r="J1" s="2"/>
      <c r="K1" s="2"/>
      <c r="L1" s="2"/>
      <c r="M1" s="2"/>
      <c r="N1" s="2"/>
      <c r="O1" s="2"/>
      <c r="P1" s="2"/>
      <c r="Q1" s="2"/>
      <c r="R1" s="2"/>
      <c r="S1" s="2"/>
      <c r="T1" s="2"/>
      <c r="U1" s="2"/>
      <c r="V1" s="2"/>
      <c r="W1" s="2"/>
      <c r="X1" s="3"/>
    </row>
    <row r="2" ht="19.5" customHeight="1">
      <c r="A2" s="4" t="s">
        <v>3</v>
      </c>
    </row>
    <row r="4" ht="24.0" customHeight="1">
      <c r="A4" s="5" t="s">
        <v>5</v>
      </c>
      <c r="B4" s="2"/>
      <c r="C4" s="2"/>
      <c r="D4" s="2"/>
      <c r="E4" s="2"/>
      <c r="F4" s="2"/>
      <c r="G4" s="2"/>
      <c r="H4" s="2"/>
      <c r="I4" s="2"/>
      <c r="J4" s="2"/>
      <c r="K4" s="2"/>
      <c r="L4" s="2"/>
      <c r="M4" s="3"/>
      <c r="N4" s="6" t="s">
        <v>8</v>
      </c>
      <c r="O4" s="2"/>
      <c r="P4" s="2"/>
      <c r="Q4" s="2"/>
      <c r="R4" s="3"/>
      <c r="S4" s="5" t="s">
        <v>9</v>
      </c>
      <c r="T4" s="2"/>
      <c r="U4" s="2"/>
      <c r="V4" s="3"/>
      <c r="W4" s="6" t="s">
        <v>11</v>
      </c>
      <c r="X4" s="3"/>
    </row>
    <row r="5" ht="51.75" customHeight="1">
      <c r="A5" s="7" t="s">
        <v>13</v>
      </c>
      <c r="B5" s="7" t="s">
        <v>15</v>
      </c>
      <c r="C5" s="7" t="s">
        <v>17</v>
      </c>
      <c r="D5" s="7" t="s">
        <v>18</v>
      </c>
      <c r="E5" s="7" t="s">
        <v>19</v>
      </c>
      <c r="F5" s="7" t="s">
        <v>20</v>
      </c>
      <c r="G5" s="7" t="s">
        <v>22</v>
      </c>
      <c r="H5" s="7" t="s">
        <v>24</v>
      </c>
      <c r="I5" s="7" t="s">
        <v>25</v>
      </c>
      <c r="J5" s="7" t="s">
        <v>27</v>
      </c>
      <c r="K5" s="7" t="s">
        <v>28</v>
      </c>
      <c r="L5" s="7" t="s">
        <v>30</v>
      </c>
      <c r="M5" s="7" t="s">
        <v>31</v>
      </c>
      <c r="N5" s="7" t="s">
        <v>32</v>
      </c>
      <c r="O5" s="7" t="s">
        <v>34</v>
      </c>
      <c r="P5" s="7" t="s">
        <v>35</v>
      </c>
      <c r="Q5" s="7" t="s">
        <v>37</v>
      </c>
      <c r="R5" s="7" t="s">
        <v>38</v>
      </c>
      <c r="S5" s="7" t="s">
        <v>40</v>
      </c>
      <c r="T5" s="7" t="s">
        <v>41</v>
      </c>
      <c r="U5" s="7" t="s">
        <v>43</v>
      </c>
      <c r="V5" s="7" t="s">
        <v>44</v>
      </c>
      <c r="W5" s="7" t="s">
        <v>46</v>
      </c>
      <c r="X5" s="7" t="s">
        <v>47</v>
      </c>
    </row>
    <row r="6" ht="24.0" customHeight="1">
      <c r="A6" s="10">
        <f t="shared" ref="A6:A65" si="1">IF($B6="","",ROW()-5)</f>
        <v>1</v>
      </c>
      <c r="B6" s="11" t="s">
        <v>58</v>
      </c>
      <c r="C6" s="12" t="s">
        <v>59</v>
      </c>
      <c r="D6" s="12" t="s">
        <v>61</v>
      </c>
      <c r="E6" s="12" t="s">
        <v>62</v>
      </c>
      <c r="F6" s="12" t="s">
        <v>63</v>
      </c>
      <c r="G6" s="12" t="s">
        <v>64</v>
      </c>
      <c r="H6" s="13">
        <v>43539.0</v>
      </c>
      <c r="I6" s="11" t="s">
        <v>65</v>
      </c>
      <c r="J6" s="11" t="s">
        <v>66</v>
      </c>
      <c r="K6" s="13">
        <v>44635.0</v>
      </c>
      <c r="L6" s="12" t="s">
        <v>67</v>
      </c>
      <c r="M6" s="12" t="s">
        <v>68</v>
      </c>
      <c r="N6" s="10">
        <f>IF($B6="","",COUNTIF('Kế hoạch định kỳ'!$C$6:$C$125,$B6))</f>
        <v>3</v>
      </c>
      <c r="O6" s="17">
        <f>IF($B6="","",IF(SUMPRODUCT(MAX(('Nhật ký bảo trì'!$E$6:$E$405=$B6)*('Nhật ký bảo trì'!$Q$6:$Q$405="Hoàn thành")*'Nhật ký bảo trì'!$B$6:$B$405))=0,"",SUMPRODUCT(MAX(('Nhật ký bảo trì'!$E$6:$E$405=$B6)*('Nhật ký bảo trì'!$Q$6:$Q$405="Hoàn thành")*'Nhật ký bảo trì'!$B$6:$B$405))))</f>
        <v>46307</v>
      </c>
      <c r="P6" s="17">
        <f>IF($B6="","",IF(SUMPRODUCT(MIN(('Kế hoạch định kỳ'!$C$6:$C$125=$B6)*'Kế hoạch định kỳ'!$W$6:$W$125+('Kế hoạch định kỳ'!$C$6:$C$125&lt;&gt;$B6)*99999))&gt;=99999,"",SUMPRODUCT(MIN(('Kế hoạch định kỳ'!$C$6:$C$125=$B6)*'Kế hoạch định kỳ'!$W$6:$W$125+('Kế hoạch định kỳ'!$C$6:$C$125&lt;&gt;$B6)*99999))))</f>
        <v>46337</v>
      </c>
      <c r="Q6" s="10">
        <f>IF($P6="","",$P6-'Tổng quan'!$B$11)</f>
        <v>12</v>
      </c>
      <c r="R6" s="10" t="str">
        <f>IF($B6="","",IF($J6="Ngừng sử dụng","Ngừng sử dụng",IF($P6="","Chưa có kế hoạch",IF($P6&lt;'Tổng quan'!$B$11,"Có việc quá hạn",IF($P6-'Tổng quan'!$B$11&lt;='Cài đặt'!$B$102,"Sắp đến hạn","Trong hạn")))))</f>
        <v>Trong hạn</v>
      </c>
      <c r="S6" s="10">
        <f>IF($B6="","",COUNTIFS('Nhật ký bảo trì'!$E$6:$E$405,$B6,'Nhật ký bảo trì'!$C$6:$C$405,"Sửa chữa sự cố",'Nhật ký bảo trì'!$B$6:$B$405,"&gt;="&amp;DATE('Tổng quan'!$B$6,1,1),'Nhật ký bảo trì'!$B$6:$B$405,"&lt;="&amp;DATE('Tổng quan'!$B$6,12,31)))</f>
        <v>1</v>
      </c>
      <c r="T6" s="22">
        <f>IF($B6="","",SUMIFS('Nhật ký bảo trì'!$K$6:$K$405,'Nhật ký bảo trì'!$E$6:$E$405,$B6,'Nhật ký bảo trì'!$B$6:$B$405,"&gt;="&amp;DATE('Tổng quan'!$B$6,1,1),'Nhật ký bảo trì'!$B$6:$B$405,"&lt;="&amp;DATE('Tổng quan'!$B$6,12,31)))</f>
        <v>6</v>
      </c>
      <c r="U6" s="22">
        <f>IF(OR($B6="",N($S6)=0),"",SUMIFS('Nhật ký bảo trì'!$J$6:$J$405,'Nhật ký bảo trì'!$E$6:$E$405,$B6,'Nhật ký bảo trì'!$C$6:$C$405,"Sửa chữa sự cố",'Nhật ký bảo trì'!$B$6:$B$405,"&gt;="&amp;DATE('Tổng quan'!$B$6,1,1),'Nhật ký bảo trì'!$B$6:$B$405,"&lt;="&amp;DATE('Tổng quan'!$B$6,12,31))/$S6)</f>
        <v>8</v>
      </c>
      <c r="V6" s="21">
        <f>IF($B6="","",SUMIFS('Nhật ký bảo trì'!$O$6:$O$405,'Nhật ký bảo trì'!$E$6:$E$405,$B6,'Nhật ký bảo trì'!$B$6:$B$405,"&gt;="&amp;DATE('Tổng quan'!$B$6,1,1),'Nhật ký bảo trì'!$B$6:$B$405,"&lt;="&amp;DATE('Tổng quan'!$B$6,12,31)))</f>
        <v>27640000</v>
      </c>
      <c r="W6" s="10" t="str">
        <f>IF(OR($B6="",$K6=""),"",IF($K6&lt;'Tổng quan'!$B$11,"Hết bảo hành",IF($K6-'Tổng quan'!$B$11&lt;='Cài đặt'!$B$103,"Sắp hết BH ("&amp;($K6-'Tổng quan'!$B$11)&amp;" ngày)","Còn bảo hành")))</f>
        <v>Hết bảo hành</v>
      </c>
      <c r="X6" s="12"/>
    </row>
    <row r="7" ht="24.0" customHeight="1">
      <c r="A7" s="26">
        <f t="shared" si="1"/>
        <v>2</v>
      </c>
      <c r="B7" s="27" t="s">
        <v>80</v>
      </c>
      <c r="C7" s="31" t="s">
        <v>81</v>
      </c>
      <c r="D7" s="31" t="s">
        <v>61</v>
      </c>
      <c r="E7" s="31" t="s">
        <v>62</v>
      </c>
      <c r="F7" s="31" t="s">
        <v>82</v>
      </c>
      <c r="G7" s="31" t="s">
        <v>83</v>
      </c>
      <c r="H7" s="32">
        <v>44044.0</v>
      </c>
      <c r="I7" s="27" t="s">
        <v>84</v>
      </c>
      <c r="J7" s="27" t="s">
        <v>66</v>
      </c>
      <c r="K7" s="32">
        <v>45139.0</v>
      </c>
      <c r="L7" s="31" t="s">
        <v>74</v>
      </c>
      <c r="M7" s="31" t="s">
        <v>85</v>
      </c>
      <c r="N7" s="26">
        <f>IF($B7="","",COUNTIF('Kế hoạch định kỳ'!$C$6:$C$125,$B7))</f>
        <v>2</v>
      </c>
      <c r="O7" s="33">
        <f>IF($B7="","",IF(SUMPRODUCT(MAX(('Nhật ký bảo trì'!$E$6:$E$405=$B7)*('Nhật ký bảo trì'!$Q$6:$Q$405="Hoàn thành")*'Nhật ký bảo trì'!$B$6:$B$405))=0,"",SUMPRODUCT(MAX(('Nhật ký bảo trì'!$E$6:$E$405=$B7)*('Nhật ký bảo trì'!$Q$6:$Q$405="Hoàn thành")*'Nhật ký bảo trì'!$B$6:$B$405))))</f>
        <v>46291</v>
      </c>
      <c r="P7" s="33">
        <f>IF($B7="","",IF(SUMPRODUCT(MIN(('Kế hoạch định kỳ'!$C$6:$C$125=$B7)*'Kế hoạch định kỳ'!$W$6:$W$125+('Kế hoạch định kỳ'!$C$6:$C$125&lt;&gt;$B7)*99999))&gt;=99999,"",SUMPRODUCT(MIN(('Kế hoạch định kỳ'!$C$6:$C$125=$B7)*'Kế hoạch định kỳ'!$W$6:$W$125+('Kế hoạch định kỳ'!$C$6:$C$125&lt;&gt;$B7)*99999))))</f>
        <v>46321</v>
      </c>
      <c r="Q7" s="26">
        <f>IF($P7="","",$P7-'Tổng quan'!$B$11)</f>
        <v>-4</v>
      </c>
      <c r="R7" s="26" t="str">
        <f>IF($B7="","",IF($J7="Ngừng sử dụng","Ngừng sử dụng",IF($P7="","Chưa có kế hoạch",IF($P7&lt;'Tổng quan'!$B$11,"Có việc quá hạn",IF($P7-'Tổng quan'!$B$11&lt;='Cài đặt'!$B$102,"Sắp đến hạn","Trong hạn")))))</f>
        <v>Có việc quá hạn</v>
      </c>
      <c r="S7" s="26">
        <f>IF($B7="","",COUNTIFS('Nhật ký bảo trì'!$E$6:$E$405,$B7,'Nhật ký bảo trì'!$C$6:$C$405,"Sửa chữa sự cố",'Nhật ký bảo trì'!$B$6:$B$405,"&gt;="&amp;DATE('Tổng quan'!$B$6,1,1),'Nhật ký bảo trì'!$B$6:$B$405,"&lt;="&amp;DATE('Tổng quan'!$B$6,12,31)))</f>
        <v>1</v>
      </c>
      <c r="T7" s="39">
        <f>IF($B7="","",SUMIFS('Nhật ký bảo trì'!$K$6:$K$405,'Nhật ký bảo trì'!$E$6:$E$405,$B7,'Nhật ký bảo trì'!$B$6:$B$405,"&gt;="&amp;DATE('Tổng quan'!$B$6,1,1),'Nhật ký bảo trì'!$B$6:$B$405,"&lt;="&amp;DATE('Tổng quan'!$B$6,12,31)))</f>
        <v>2</v>
      </c>
      <c r="U7" s="39">
        <f>IF(OR($B7="",N($S7)=0),"",SUMIFS('Nhật ký bảo trì'!$J$6:$J$405,'Nhật ký bảo trì'!$E$6:$E$405,$B7,'Nhật ký bảo trì'!$C$6:$C$405,"Sửa chữa sự cố",'Nhật ký bảo trì'!$B$6:$B$405,"&gt;="&amp;DATE('Tổng quan'!$B$6,1,1),'Nhật ký bảo trì'!$B$6:$B$405,"&lt;="&amp;DATE('Tổng quan'!$B$6,12,31))/$S7)</f>
        <v>2.5</v>
      </c>
      <c r="V7" s="36">
        <f>IF($B7="","",SUMIFS('Nhật ký bảo trì'!$O$6:$O$405,'Nhật ký bảo trì'!$E$6:$E$405,$B7,'Nhật ký bảo trì'!$B$6:$B$405,"&gt;="&amp;DATE('Tổng quan'!$B$6,1,1),'Nhật ký bảo trì'!$B$6:$B$405,"&lt;="&amp;DATE('Tổng quan'!$B$6,12,31)))</f>
        <v>13630000</v>
      </c>
      <c r="W7" s="26" t="str">
        <f>IF(OR($B7="",$K7=""),"",IF($K7&lt;'Tổng quan'!$B$11,"Hết bảo hành",IF($K7-'Tổng quan'!$B$11&lt;='Cài đặt'!$B$103,"Sắp hết BH ("&amp;($K7-'Tổng quan'!$B$11)&amp;" ngày)","Còn bảo hành")))</f>
        <v>Hết bảo hành</v>
      </c>
      <c r="X7" s="31"/>
    </row>
    <row r="8" ht="24.0" customHeight="1">
      <c r="A8" s="10">
        <f t="shared" si="1"/>
        <v>3</v>
      </c>
      <c r="B8" s="11" t="s">
        <v>96</v>
      </c>
      <c r="C8" s="12" t="s">
        <v>97</v>
      </c>
      <c r="D8" s="12" t="s">
        <v>98</v>
      </c>
      <c r="E8" s="12" t="s">
        <v>99</v>
      </c>
      <c r="F8" s="12" t="s">
        <v>100</v>
      </c>
      <c r="G8" s="12" t="s">
        <v>101</v>
      </c>
      <c r="H8" s="13">
        <v>44237.0</v>
      </c>
      <c r="I8" s="11" t="s">
        <v>65</v>
      </c>
      <c r="J8" s="11" t="s">
        <v>66</v>
      </c>
      <c r="K8" s="13">
        <v>46371.0</v>
      </c>
      <c r="L8" s="12" t="s">
        <v>102</v>
      </c>
      <c r="M8" s="12" t="s">
        <v>103</v>
      </c>
      <c r="N8" s="10">
        <f>IF($B8="","",COUNTIF('Kế hoạch định kỳ'!$C$6:$C$125,$B8))</f>
        <v>3</v>
      </c>
      <c r="O8" s="17">
        <f>IF($B8="","",IF(SUMPRODUCT(MAX(('Nhật ký bảo trì'!$E$6:$E$405=$B8)*('Nhật ký bảo trì'!$Q$6:$Q$405="Hoàn thành")*'Nhật ký bảo trì'!$B$6:$B$405))=0,"",SUMPRODUCT(MAX(('Nhật ký bảo trì'!$E$6:$E$405=$B8)*('Nhật ký bảo trì'!$Q$6:$Q$405="Hoàn thành")*'Nhật ký bảo trì'!$B$6:$B$405))))</f>
        <v>46317</v>
      </c>
      <c r="P8" s="17">
        <f>IF($B8="","",IF(SUMPRODUCT(MIN(('Kế hoạch định kỳ'!$C$6:$C$125=$B8)*'Kế hoạch định kỳ'!$W$6:$W$125+('Kế hoạch định kỳ'!$C$6:$C$125&lt;&gt;$B8)*99999))&gt;=99999,"",SUMPRODUCT(MIN(('Kế hoạch định kỳ'!$C$6:$C$125=$B8)*'Kế hoạch định kỳ'!$W$6:$W$125+('Kế hoạch định kỳ'!$C$6:$C$125&lt;&gt;$B8)*99999))))</f>
        <v>46331</v>
      </c>
      <c r="Q8" s="10">
        <f>IF($P8="","",$P8-'Tổng quan'!$B$11)</f>
        <v>6</v>
      </c>
      <c r="R8" s="10" t="str">
        <f>IF($B8="","",IF($J8="Ngừng sử dụng","Ngừng sử dụng",IF($P8="","Chưa có kế hoạch",IF($P8&lt;'Tổng quan'!$B$11,"Có việc quá hạn",IF($P8-'Tổng quan'!$B$11&lt;='Cài đặt'!$B$102,"Sắp đến hạn","Trong hạn")))))</f>
        <v>Sắp đến hạn</v>
      </c>
      <c r="S8" s="10">
        <f>IF($B8="","",COUNTIFS('Nhật ký bảo trì'!$E$6:$E$405,$B8,'Nhật ký bảo trì'!$C$6:$C$405,"Sửa chữa sự cố",'Nhật ký bảo trì'!$B$6:$B$405,"&gt;="&amp;DATE('Tổng quan'!$B$6,1,1),'Nhật ký bảo trì'!$B$6:$B$405,"&lt;="&amp;DATE('Tổng quan'!$B$6,12,31)))</f>
        <v>1</v>
      </c>
      <c r="T8" s="22">
        <f>IF($B8="","",SUMIFS('Nhật ký bảo trì'!$K$6:$K$405,'Nhật ký bảo trì'!$E$6:$E$405,$B8,'Nhật ký bảo trì'!$B$6:$B$405,"&gt;="&amp;DATE('Tổng quan'!$B$6,1,1),'Nhật ký bảo trì'!$B$6:$B$405,"&lt;="&amp;DATE('Tổng quan'!$B$6,12,31)))</f>
        <v>3</v>
      </c>
      <c r="U8" s="22">
        <f>IF(OR($B8="",N($S8)=0),"",SUMIFS('Nhật ký bảo trì'!$J$6:$J$405,'Nhật ký bảo trì'!$E$6:$E$405,$B8,'Nhật ký bảo trì'!$C$6:$C$405,"Sửa chữa sự cố",'Nhật ký bảo trì'!$B$6:$B$405,"&gt;="&amp;DATE('Tổng quan'!$B$6,1,1),'Nhật ký bảo trì'!$B$6:$B$405,"&lt;="&amp;DATE('Tổng quan'!$B$6,12,31))/$S8)</f>
        <v>4</v>
      </c>
      <c r="V8" s="21">
        <f>IF($B8="","",SUMIFS('Nhật ký bảo trì'!$O$6:$O$405,'Nhật ký bảo trì'!$E$6:$E$405,$B8,'Nhật ký bảo trì'!$B$6:$B$405,"&gt;="&amp;DATE('Tổng quan'!$B$6,1,1),'Nhật ký bảo trì'!$B$6:$B$405,"&lt;="&amp;DATE('Tổng quan'!$B$6,12,31)))</f>
        <v>13700000</v>
      </c>
      <c r="W8" s="10" t="str">
        <f>IF(OR($B8="",$K8=""),"",IF($K8&lt;'Tổng quan'!$B$11,"Hết bảo hành",IF($K8-'Tổng quan'!$B$11&lt;='Cài đặt'!$B$103,"Sắp hết BH ("&amp;($K8-'Tổng quan'!$B$11)&amp;" ngày)","Còn bảo hành")))</f>
        <v>Sắp hết BH (46 ngày)</v>
      </c>
      <c r="X8" s="12"/>
    </row>
    <row r="9" ht="24.0" customHeight="1">
      <c r="A9" s="26">
        <f t="shared" si="1"/>
        <v>4</v>
      </c>
      <c r="B9" s="27" t="s">
        <v>112</v>
      </c>
      <c r="C9" s="31" t="s">
        <v>113</v>
      </c>
      <c r="D9" s="31" t="s">
        <v>114</v>
      </c>
      <c r="E9" s="31" t="s">
        <v>115</v>
      </c>
      <c r="F9" s="31" t="s">
        <v>116</v>
      </c>
      <c r="G9" s="31" t="s">
        <v>117</v>
      </c>
      <c r="H9" s="32">
        <v>43271.0</v>
      </c>
      <c r="I9" s="27" t="s">
        <v>65</v>
      </c>
      <c r="J9" s="27" t="s">
        <v>66</v>
      </c>
      <c r="K9" s="32">
        <v>44367.0</v>
      </c>
      <c r="L9" s="31" t="s">
        <v>107</v>
      </c>
      <c r="M9" s="31" t="s">
        <v>118</v>
      </c>
      <c r="N9" s="26">
        <f>IF($B9="","",COUNTIF('Kế hoạch định kỳ'!$C$6:$C$125,$B9))</f>
        <v>2</v>
      </c>
      <c r="O9" s="33">
        <f>IF($B9="","",IF(SUMPRODUCT(MAX(('Nhật ký bảo trì'!$E$6:$E$405=$B9)*('Nhật ký bảo trì'!$Q$6:$Q$405="Hoàn thành")*'Nhật ký bảo trì'!$B$6:$B$405))=0,"",SUMPRODUCT(MAX(('Nhật ký bảo trì'!$E$6:$E$405=$B9)*('Nhật ký bảo trì'!$Q$6:$Q$405="Hoàn thành")*'Nhật ký bảo trì'!$B$6:$B$405))))</f>
        <v>46218</v>
      </c>
      <c r="P9" s="33">
        <f>IF($B9="","",IF(SUMPRODUCT(MIN(('Kế hoạch định kỳ'!$C$6:$C$125=$B9)*'Kế hoạch định kỳ'!$W$6:$W$125+('Kế hoạch định kỳ'!$C$6:$C$125&lt;&gt;$B9)*99999))&gt;=99999,"",SUMPRODUCT(MIN(('Kế hoạch định kỳ'!$C$6:$C$125=$B9)*'Kế hoạch định kỳ'!$W$6:$W$125+('Kế hoạch định kỳ'!$C$6:$C$125&lt;&gt;$B9)*99999))))</f>
        <v>46308</v>
      </c>
      <c r="Q9" s="26">
        <f>IF($P9="","",$P9-'Tổng quan'!$B$11)</f>
        <v>-17</v>
      </c>
      <c r="R9" s="26" t="str">
        <f>IF($B9="","",IF($J9="Ngừng sử dụng","Ngừng sử dụng",IF($P9="","Chưa có kế hoạch",IF($P9&lt;'Tổng quan'!$B$11,"Có việc quá hạn",IF($P9-'Tổng quan'!$B$11&lt;='Cài đặt'!$B$102,"Sắp đến hạn","Trong hạn")))))</f>
        <v>Có việc quá hạn</v>
      </c>
      <c r="S9" s="26">
        <f>IF($B9="","",COUNTIFS('Nhật ký bảo trì'!$E$6:$E$405,$B9,'Nhật ký bảo trì'!$C$6:$C$405,"Sửa chữa sự cố",'Nhật ký bảo trì'!$B$6:$B$405,"&gt;="&amp;DATE('Tổng quan'!$B$6,1,1),'Nhật ký bảo trì'!$B$6:$B$405,"&lt;="&amp;DATE('Tổng quan'!$B$6,12,31)))</f>
        <v>0</v>
      </c>
      <c r="T9" s="39">
        <f>IF($B9="","",SUMIFS('Nhật ký bảo trì'!$K$6:$K$405,'Nhật ký bảo trì'!$E$6:$E$405,$B9,'Nhật ký bảo trì'!$B$6:$B$405,"&gt;="&amp;DATE('Tổng quan'!$B$6,1,1),'Nhật ký bảo trì'!$B$6:$B$405,"&lt;="&amp;DATE('Tổng quan'!$B$6,12,31)))</f>
        <v>0</v>
      </c>
      <c r="U9" s="39" t="str">
        <f>IF(OR($B9="",N($S9)=0),"",SUMIFS('Nhật ký bảo trì'!$J$6:$J$405,'Nhật ký bảo trì'!$E$6:$E$405,$B9,'Nhật ký bảo trì'!$C$6:$C$405,"Sửa chữa sự cố",'Nhật ký bảo trì'!$B$6:$B$405,"&gt;="&amp;DATE('Tổng quan'!$B$6,1,1),'Nhật ký bảo trì'!$B$6:$B$405,"&lt;="&amp;DATE('Tổng quan'!$B$6,12,31))/$S9)</f>
        <v/>
      </c>
      <c r="V9" s="36">
        <f>IF($B9="","",SUMIFS('Nhật ký bảo trì'!$O$6:$O$405,'Nhật ký bảo trì'!$E$6:$E$405,$B9,'Nhật ký bảo trì'!$B$6:$B$405,"&gt;="&amp;DATE('Tổng quan'!$B$6,1,1),'Nhật ký bảo trì'!$B$6:$B$405,"&lt;="&amp;DATE('Tổng quan'!$B$6,12,31)))</f>
        <v>12500000</v>
      </c>
      <c r="W9" s="26" t="str">
        <f>IF(OR($B9="",$K9=""),"",IF($K9&lt;'Tổng quan'!$B$11,"Hết bảo hành",IF($K9-'Tổng quan'!$B$11&lt;='Cài đặt'!$B$103,"Sắp hết BH ("&amp;($K9-'Tổng quan'!$B$11)&amp;" ngày)","Còn bảo hành")))</f>
        <v>Hết bảo hành</v>
      </c>
      <c r="X9" s="31"/>
    </row>
    <row r="10" ht="24.0" customHeight="1">
      <c r="A10" s="10">
        <f t="shared" si="1"/>
        <v>5</v>
      </c>
      <c r="B10" s="11" t="s">
        <v>134</v>
      </c>
      <c r="C10" s="12" t="s">
        <v>135</v>
      </c>
      <c r="D10" s="12" t="s">
        <v>136</v>
      </c>
      <c r="E10" s="12" t="s">
        <v>137</v>
      </c>
      <c r="F10" s="12" t="s">
        <v>138</v>
      </c>
      <c r="G10" s="12" t="s">
        <v>140</v>
      </c>
      <c r="H10" s="13">
        <v>43956.0</v>
      </c>
      <c r="I10" s="11" t="s">
        <v>84</v>
      </c>
      <c r="J10" s="11" t="s">
        <v>66</v>
      </c>
      <c r="K10" s="13">
        <v>45782.0</v>
      </c>
      <c r="L10" s="12" t="s">
        <v>102</v>
      </c>
      <c r="M10" s="12" t="s">
        <v>141</v>
      </c>
      <c r="N10" s="10">
        <f>IF($B10="","",COUNTIF('Kế hoạch định kỳ'!$C$6:$C$125,$B10))</f>
        <v>2</v>
      </c>
      <c r="O10" s="17">
        <f>IF($B10="","",IF(SUMPRODUCT(MAX(('Nhật ký bảo trì'!$E$6:$E$405=$B10)*('Nhật ký bảo trì'!$Q$6:$Q$405="Hoàn thành")*'Nhật ký bảo trì'!$B$6:$B$405))=0,"",SUMPRODUCT(MAX(('Nhật ký bảo trì'!$E$6:$E$405=$B10)*('Nhật ký bảo trì'!$Q$6:$Q$405="Hoàn thành")*'Nhật ký bảo trì'!$B$6:$B$405))))</f>
        <v>46274</v>
      </c>
      <c r="P10" s="17">
        <f>IF($B10="","",IF(SUMPRODUCT(MIN(('Kế hoạch định kỳ'!$C$6:$C$125=$B10)*'Kế hoạch định kỳ'!$W$6:$W$125+('Kế hoạch định kỳ'!$C$6:$C$125&lt;&gt;$B10)*99999))&gt;=99999,"",SUMPRODUCT(MIN(('Kế hoạch định kỳ'!$C$6:$C$125=$B10)*'Kế hoạch định kỳ'!$W$6:$W$125+('Kế hoạch định kỳ'!$C$6:$C$125&lt;&gt;$B10)*99999))))</f>
        <v>46341</v>
      </c>
      <c r="Q10" s="10">
        <f>IF($P10="","",$P10-'Tổng quan'!$B$11)</f>
        <v>16</v>
      </c>
      <c r="R10" s="10" t="str">
        <f>IF($B10="","",IF($J10="Ngừng sử dụng","Ngừng sử dụng",IF($P10="","Chưa có kế hoạch",IF($P10&lt;'Tổng quan'!$B$11,"Có việc quá hạn",IF($P10-'Tổng quan'!$B$11&lt;='Cài đặt'!$B$102,"Sắp đến hạn","Trong hạn")))))</f>
        <v>Trong hạn</v>
      </c>
      <c r="S10" s="10">
        <f>IF($B10="","",COUNTIFS('Nhật ký bảo trì'!$E$6:$E$405,$B10,'Nhật ký bảo trì'!$C$6:$C$405,"Sửa chữa sự cố",'Nhật ký bảo trì'!$B$6:$B$405,"&gt;="&amp;DATE('Tổng quan'!$B$6,1,1),'Nhật ký bảo trì'!$B$6:$B$405,"&lt;="&amp;DATE('Tổng quan'!$B$6,12,31)))</f>
        <v>1</v>
      </c>
      <c r="T10" s="22">
        <f>IF($B10="","",SUMIFS('Nhật ký bảo trì'!$K$6:$K$405,'Nhật ký bảo trì'!$E$6:$E$405,$B10,'Nhật ký bảo trì'!$B$6:$B$405,"&gt;="&amp;DATE('Tổng quan'!$B$6,1,1),'Nhật ký bảo trì'!$B$6:$B$405,"&lt;="&amp;DATE('Tổng quan'!$B$6,12,31)))</f>
        <v>5</v>
      </c>
      <c r="U10" s="22">
        <f>IF(OR($B10="",N($S10)=0),"",SUMIFS('Nhật ký bảo trì'!$J$6:$J$405,'Nhật ký bảo trì'!$E$6:$E$405,$B10,'Nhật ký bảo trì'!$C$6:$C$405,"Sửa chữa sự cố",'Nhật ký bảo trì'!$B$6:$B$405,"&gt;="&amp;DATE('Tổng quan'!$B$6,1,1),'Nhật ký bảo trì'!$B$6:$B$405,"&lt;="&amp;DATE('Tổng quan'!$B$6,12,31))/$S10)</f>
        <v>6</v>
      </c>
      <c r="V10" s="21">
        <f>IF($B10="","",SUMIFS('Nhật ký bảo trì'!$O$6:$O$405,'Nhật ký bảo trì'!$E$6:$E$405,$B10,'Nhật ký bảo trì'!$B$6:$B$405,"&gt;="&amp;DATE('Tổng quan'!$B$6,1,1),'Nhật ký bảo trì'!$B$6:$B$405,"&lt;="&amp;DATE('Tổng quan'!$B$6,12,31)))</f>
        <v>15400000</v>
      </c>
      <c r="W10" s="10" t="str">
        <f>IF(OR($B10="",$K10=""),"",IF($K10&lt;'Tổng quan'!$B$11,"Hết bảo hành",IF($K10-'Tổng quan'!$B$11&lt;='Cài đặt'!$B$103,"Sắp hết BH ("&amp;($K10-'Tổng quan'!$B$11)&amp;" ngày)","Còn bảo hành")))</f>
        <v>Hết bảo hành</v>
      </c>
      <c r="X10" s="12"/>
    </row>
    <row r="11" ht="24.0" customHeight="1">
      <c r="A11" s="26">
        <f t="shared" si="1"/>
        <v>6</v>
      </c>
      <c r="B11" s="27" t="s">
        <v>165</v>
      </c>
      <c r="C11" s="31" t="s">
        <v>166</v>
      </c>
      <c r="D11" s="31" t="s">
        <v>167</v>
      </c>
      <c r="E11" s="31" t="s">
        <v>168</v>
      </c>
      <c r="F11" s="31" t="s">
        <v>169</v>
      </c>
      <c r="G11" s="31" t="s">
        <v>170</v>
      </c>
      <c r="H11" s="32">
        <v>44816.0</v>
      </c>
      <c r="I11" s="27" t="s">
        <v>84</v>
      </c>
      <c r="J11" s="27" t="s">
        <v>66</v>
      </c>
      <c r="K11" s="32">
        <v>46527.0</v>
      </c>
      <c r="L11" s="31" t="s">
        <v>74</v>
      </c>
      <c r="M11" s="31" t="s">
        <v>171</v>
      </c>
      <c r="N11" s="26">
        <f>IF($B11="","",COUNTIF('Kế hoạch định kỳ'!$C$6:$C$125,$B11))</f>
        <v>2</v>
      </c>
      <c r="O11" s="33">
        <f>IF($B11="","",IF(SUMPRODUCT(MAX(('Nhật ký bảo trì'!$E$6:$E$405=$B11)*('Nhật ký bảo trì'!$Q$6:$Q$405="Hoàn thành")*'Nhật ký bảo trì'!$B$6:$B$405))=0,"",SUMPRODUCT(MAX(('Nhật ký bảo trì'!$E$6:$E$405=$B11)*('Nhật ký bảo trì'!$Q$6:$Q$405="Hoàn thành")*'Nhật ký bảo trì'!$B$6:$B$405))))</f>
        <v>46305</v>
      </c>
      <c r="P11" s="33">
        <f>IF($B11="","",IF(SUMPRODUCT(MIN(('Kế hoạch định kỳ'!$C$6:$C$125=$B11)*'Kế hoạch định kỳ'!$W$6:$W$125+('Kế hoạch định kỳ'!$C$6:$C$125&lt;&gt;$B11)*99999))&gt;=99999,"",SUMPRODUCT(MIN(('Kế hoạch định kỳ'!$C$6:$C$125=$B11)*'Kế hoạch định kỳ'!$W$6:$W$125+('Kế hoạch định kỳ'!$C$6:$C$125&lt;&gt;$B11)*99999))))</f>
        <v>46330</v>
      </c>
      <c r="Q11" s="26">
        <f>IF($P11="","",$P11-'Tổng quan'!$B$11)</f>
        <v>5</v>
      </c>
      <c r="R11" s="26" t="str">
        <f>IF($B11="","",IF($J11="Ngừng sử dụng","Ngừng sử dụng",IF($P11="","Chưa có kế hoạch",IF($P11&lt;'Tổng quan'!$B$11,"Có việc quá hạn",IF($P11-'Tổng quan'!$B$11&lt;='Cài đặt'!$B$102,"Sắp đến hạn","Trong hạn")))))</f>
        <v>Sắp đến hạn</v>
      </c>
      <c r="S11" s="26">
        <f>IF($B11="","",COUNTIFS('Nhật ký bảo trì'!$E$6:$E$405,$B11,'Nhật ký bảo trì'!$C$6:$C$405,"Sửa chữa sự cố",'Nhật ký bảo trì'!$B$6:$B$405,"&gt;="&amp;DATE('Tổng quan'!$B$6,1,1),'Nhật ký bảo trì'!$B$6:$B$405,"&lt;="&amp;DATE('Tổng quan'!$B$6,12,31)))</f>
        <v>0</v>
      </c>
      <c r="T11" s="39">
        <f>IF($B11="","",SUMIFS('Nhật ký bảo trì'!$K$6:$K$405,'Nhật ký bảo trì'!$E$6:$E$405,$B11,'Nhật ký bảo trì'!$B$6:$B$405,"&gt;="&amp;DATE('Tổng quan'!$B$6,1,1),'Nhật ký bảo trì'!$B$6:$B$405,"&lt;="&amp;DATE('Tổng quan'!$B$6,12,31)))</f>
        <v>0</v>
      </c>
      <c r="U11" s="39" t="str">
        <f>IF(OR($B11="",N($S11)=0),"",SUMIFS('Nhật ký bảo trì'!$J$6:$J$405,'Nhật ký bảo trì'!$E$6:$E$405,$B11,'Nhật ký bảo trì'!$C$6:$C$405,"Sửa chữa sự cố",'Nhật ký bảo trì'!$B$6:$B$405,"&gt;="&amp;DATE('Tổng quan'!$B$6,1,1),'Nhật ký bảo trì'!$B$6:$B$405,"&lt;="&amp;DATE('Tổng quan'!$B$6,12,31))/$S11)</f>
        <v/>
      </c>
      <c r="V11" s="36">
        <f>IF($B11="","",SUMIFS('Nhật ký bảo trì'!$O$6:$O$405,'Nhật ký bảo trì'!$E$6:$E$405,$B11,'Nhật ký bảo trì'!$B$6:$B$405,"&gt;="&amp;DATE('Tổng quan'!$B$6,1,1),'Nhật ký bảo trì'!$B$6:$B$405,"&lt;="&amp;DATE('Tổng quan'!$B$6,12,31)))</f>
        <v>2440000</v>
      </c>
      <c r="W11" s="26" t="str">
        <f>IF(OR($B11="",$K11=""),"",IF($K11&lt;'Tổng quan'!$B$11,"Hết bảo hành",IF($K11-'Tổng quan'!$B$11&lt;='Cài đặt'!$B$103,"Sắp hết BH ("&amp;($K11-'Tổng quan'!$B$11)&amp;" ngày)","Còn bảo hành")))</f>
        <v>Còn bảo hành</v>
      </c>
      <c r="X11" s="31"/>
    </row>
    <row r="12" ht="24.0" customHeight="1">
      <c r="A12" s="10">
        <f t="shared" si="1"/>
        <v>7</v>
      </c>
      <c r="B12" s="11" t="s">
        <v>182</v>
      </c>
      <c r="C12" s="12" t="s">
        <v>183</v>
      </c>
      <c r="D12" s="12" t="s">
        <v>184</v>
      </c>
      <c r="E12" s="12" t="s">
        <v>185</v>
      </c>
      <c r="F12" s="12" t="s">
        <v>186</v>
      </c>
      <c r="G12" s="12" t="s">
        <v>187</v>
      </c>
      <c r="H12" s="13">
        <v>44503.0</v>
      </c>
      <c r="I12" s="11" t="s">
        <v>84</v>
      </c>
      <c r="J12" s="11" t="s">
        <v>188</v>
      </c>
      <c r="K12" s="13">
        <v>45599.0</v>
      </c>
      <c r="L12" s="12" t="s">
        <v>102</v>
      </c>
      <c r="M12" s="12" t="s">
        <v>189</v>
      </c>
      <c r="N12" s="10">
        <f>IF($B12="","",COUNTIF('Kế hoạch định kỳ'!$C$6:$C$125,$B12))</f>
        <v>2</v>
      </c>
      <c r="O12" s="17">
        <f>IF($B12="","",IF(SUMPRODUCT(MAX(('Nhật ký bảo trì'!$E$6:$E$405=$B12)*('Nhật ký bảo trì'!$Q$6:$Q$405="Hoàn thành")*'Nhật ký bảo trì'!$B$6:$B$405))=0,"",SUMPRODUCT(MAX(('Nhật ký bảo trì'!$E$6:$E$405=$B12)*('Nhật ký bảo trì'!$Q$6:$Q$405="Hoàn thành")*'Nhật ký bảo trì'!$B$6:$B$405))))</f>
        <v>46323</v>
      </c>
      <c r="P12" s="17">
        <f>IF($B12="","",IF(SUMPRODUCT(MIN(('Kế hoạch định kỳ'!$C$6:$C$125=$B12)*'Kế hoạch định kỳ'!$W$6:$W$125+('Kế hoạch định kỳ'!$C$6:$C$125&lt;&gt;$B12)*99999))&gt;=99999,"",SUMPRODUCT(MIN(('Kế hoạch định kỳ'!$C$6:$C$125=$B12)*'Kế hoạch định kỳ'!$W$6:$W$125+('Kế hoạch định kỳ'!$C$6:$C$125&lt;&gt;$B12)*99999))))</f>
        <v>46296</v>
      </c>
      <c r="Q12" s="10">
        <f>IF($P12="","",$P12-'Tổng quan'!$B$11)</f>
        <v>-29</v>
      </c>
      <c r="R12" s="10" t="str">
        <f>IF($B12="","",IF($J12="Ngừng sử dụng","Ngừng sử dụng",IF($P12="","Chưa có kế hoạch",IF($P12&lt;'Tổng quan'!$B$11,"Có việc quá hạn",IF($P12-'Tổng quan'!$B$11&lt;='Cài đặt'!$B$102,"Sắp đến hạn","Trong hạn")))))</f>
        <v>Có việc quá hạn</v>
      </c>
      <c r="S12" s="10">
        <f>IF($B12="","",COUNTIFS('Nhật ký bảo trì'!$E$6:$E$405,$B12,'Nhật ký bảo trì'!$C$6:$C$405,"Sửa chữa sự cố",'Nhật ký bảo trì'!$B$6:$B$405,"&gt;="&amp;DATE('Tổng quan'!$B$6,1,1),'Nhật ký bảo trì'!$B$6:$B$405,"&lt;="&amp;DATE('Tổng quan'!$B$6,12,31)))</f>
        <v>1</v>
      </c>
      <c r="T12" s="22">
        <f>IF($B12="","",SUMIFS('Nhật ký bảo trì'!$K$6:$K$405,'Nhật ký bảo trì'!$E$6:$E$405,$B12,'Nhật ký bảo trì'!$B$6:$B$405,"&gt;="&amp;DATE('Tổng quan'!$B$6,1,1),'Nhật ký bảo trì'!$B$6:$B$405,"&lt;="&amp;DATE('Tổng quan'!$B$6,12,31)))</f>
        <v>8</v>
      </c>
      <c r="U12" s="22">
        <f>IF(OR($B12="",N($S12)=0),"",SUMIFS('Nhật ký bảo trì'!$J$6:$J$405,'Nhật ký bảo trì'!$E$6:$E$405,$B12,'Nhật ký bảo trì'!$C$6:$C$405,"Sửa chữa sự cố",'Nhật ký bảo trì'!$B$6:$B$405,"&gt;="&amp;DATE('Tổng quan'!$B$6,1,1),'Nhật ký bảo trì'!$B$6:$B$405,"&lt;="&amp;DATE('Tổng quan'!$B$6,12,31))/$S12)</f>
        <v>6</v>
      </c>
      <c r="V12" s="21">
        <f>IF($B12="","",SUMIFS('Nhật ký bảo trì'!$O$6:$O$405,'Nhật ký bảo trì'!$E$6:$E$405,$B12,'Nhật ký bảo trì'!$B$6:$B$405,"&gt;="&amp;DATE('Tổng quan'!$B$6,1,1),'Nhật ký bảo trì'!$B$6:$B$405,"&lt;="&amp;DATE('Tổng quan'!$B$6,12,31)))</f>
        <v>7540000</v>
      </c>
      <c r="W12" s="10" t="str">
        <f>IF(OR($B12="",$K12=""),"",IF($K12&lt;'Tổng quan'!$B$11,"Hết bảo hành",IF($K12-'Tổng quan'!$B$11&lt;='Cài đặt'!$B$103,"Sắp hết BH ("&amp;($K12-'Tổng quan'!$B$11)&amp;" ngày)","Còn bảo hành")))</f>
        <v>Hết bảo hành</v>
      </c>
      <c r="X12" s="12"/>
    </row>
    <row r="13" ht="24.0" customHeight="1">
      <c r="A13" s="26">
        <f t="shared" si="1"/>
        <v>8</v>
      </c>
      <c r="B13" s="27" t="s">
        <v>198</v>
      </c>
      <c r="C13" s="31" t="s">
        <v>199</v>
      </c>
      <c r="D13" s="31" t="s">
        <v>184</v>
      </c>
      <c r="E13" s="31" t="s">
        <v>185</v>
      </c>
      <c r="F13" s="31" t="s">
        <v>186</v>
      </c>
      <c r="G13" s="31" t="s">
        <v>200</v>
      </c>
      <c r="H13" s="32">
        <v>45034.0</v>
      </c>
      <c r="I13" s="27" t="s">
        <v>84</v>
      </c>
      <c r="J13" s="27" t="s">
        <v>66</v>
      </c>
      <c r="K13" s="32">
        <v>46130.0</v>
      </c>
      <c r="L13" s="31" t="s">
        <v>102</v>
      </c>
      <c r="M13" s="31" t="s">
        <v>189</v>
      </c>
      <c r="N13" s="26">
        <f>IF($B13="","",COUNTIF('Kế hoạch định kỳ'!$C$6:$C$125,$B13))</f>
        <v>1</v>
      </c>
      <c r="O13" s="33">
        <f>IF($B13="","",IF(SUMPRODUCT(MAX(('Nhật ký bảo trì'!$E$6:$E$405=$B13)*('Nhật ký bảo trì'!$Q$6:$Q$405="Hoàn thành")*'Nhật ký bảo trì'!$B$6:$B$405))=0,"",SUMPRODUCT(MAX(('Nhật ký bảo trì'!$E$6:$E$405=$B13)*('Nhật ký bảo trì'!$Q$6:$Q$405="Hoàn thành")*'Nhật ký bảo trì'!$B$6:$B$405))))</f>
        <v>46294</v>
      </c>
      <c r="P13" s="33">
        <f>IF($B13="","",IF(SUMPRODUCT(MIN(('Kế hoạch định kỳ'!$C$6:$C$125=$B13)*'Kế hoạch định kỳ'!$W$6:$W$125+('Kế hoạch định kỳ'!$C$6:$C$125&lt;&gt;$B13)*99999))&gt;=99999,"",SUMPRODUCT(MIN(('Kế hoạch định kỳ'!$C$6:$C$125=$B13)*'Kế hoạch định kỳ'!$W$6:$W$125+('Kế hoạch định kỳ'!$C$6:$C$125&lt;&gt;$B13)*99999))))</f>
        <v>46324</v>
      </c>
      <c r="Q13" s="26">
        <f>IF($P13="","",$P13-'Tổng quan'!$B$11)</f>
        <v>-1</v>
      </c>
      <c r="R13" s="26" t="str">
        <f>IF($B13="","",IF($J13="Ngừng sử dụng","Ngừng sử dụng",IF($P13="","Chưa có kế hoạch",IF($P13&lt;'Tổng quan'!$B$11,"Có việc quá hạn",IF($P13-'Tổng quan'!$B$11&lt;='Cài đặt'!$B$102,"Sắp đến hạn","Trong hạn")))))</f>
        <v>Có việc quá hạn</v>
      </c>
      <c r="S13" s="26">
        <f>IF($B13="","",COUNTIFS('Nhật ký bảo trì'!$E$6:$E$405,$B13,'Nhật ký bảo trì'!$C$6:$C$405,"Sửa chữa sự cố",'Nhật ký bảo trì'!$B$6:$B$405,"&gt;="&amp;DATE('Tổng quan'!$B$6,1,1),'Nhật ký bảo trì'!$B$6:$B$405,"&lt;="&amp;DATE('Tổng quan'!$B$6,12,31)))</f>
        <v>0</v>
      </c>
      <c r="T13" s="39">
        <f>IF($B13="","",SUMIFS('Nhật ký bảo trì'!$K$6:$K$405,'Nhật ký bảo trì'!$E$6:$E$405,$B13,'Nhật ký bảo trì'!$B$6:$B$405,"&gt;="&amp;DATE('Tổng quan'!$B$6,1,1),'Nhật ký bảo trì'!$B$6:$B$405,"&lt;="&amp;DATE('Tổng quan'!$B$6,12,31)))</f>
        <v>0</v>
      </c>
      <c r="U13" s="39" t="str">
        <f>IF(OR($B13="",N($S13)=0),"",SUMIFS('Nhật ký bảo trì'!$J$6:$J$405,'Nhật ký bảo trì'!$E$6:$E$405,$B13,'Nhật ký bảo trì'!$C$6:$C$405,"Sửa chữa sự cố",'Nhật ký bảo trì'!$B$6:$B$405,"&gt;="&amp;DATE('Tổng quan'!$B$6,1,1),'Nhật ký bảo trì'!$B$6:$B$405,"&lt;="&amp;DATE('Tổng quan'!$B$6,12,31))/$S13)</f>
        <v/>
      </c>
      <c r="V13" s="36">
        <f>IF($B13="","",SUMIFS('Nhật ký bảo trì'!$O$6:$O$405,'Nhật ký bảo trì'!$E$6:$E$405,$B13,'Nhật ký bảo trì'!$B$6:$B$405,"&gt;="&amp;DATE('Tổng quan'!$B$6,1,1),'Nhật ký bảo trì'!$B$6:$B$405,"&lt;="&amp;DATE('Tổng quan'!$B$6,12,31)))</f>
        <v>1320000</v>
      </c>
      <c r="W13" s="26" t="str">
        <f>IF(OR($B13="",$K13=""),"",IF($K13&lt;'Tổng quan'!$B$11,"Hết bảo hành",IF($K13-'Tổng quan'!$B$11&lt;='Cài đặt'!$B$103,"Sắp hết BH ("&amp;($K13-'Tổng quan'!$B$11)&amp;" ngày)","Còn bảo hành")))</f>
        <v>Hết bảo hành</v>
      </c>
      <c r="X13" s="31"/>
    </row>
    <row r="14" ht="24.0" customHeight="1">
      <c r="A14" s="10">
        <f t="shared" si="1"/>
        <v>9</v>
      </c>
      <c r="B14" s="11" t="s">
        <v>206</v>
      </c>
      <c r="C14" s="12" t="s">
        <v>207</v>
      </c>
      <c r="D14" s="12" t="s">
        <v>61</v>
      </c>
      <c r="E14" s="12" t="s">
        <v>168</v>
      </c>
      <c r="F14" s="12" t="s">
        <v>208</v>
      </c>
      <c r="G14" s="12" t="s">
        <v>209</v>
      </c>
      <c r="H14" s="13">
        <v>44749.0</v>
      </c>
      <c r="I14" s="11" t="s">
        <v>84</v>
      </c>
      <c r="J14" s="11" t="s">
        <v>66</v>
      </c>
      <c r="K14" s="13">
        <v>45845.0</v>
      </c>
      <c r="L14" s="12" t="s">
        <v>74</v>
      </c>
      <c r="M14" s="12" t="s">
        <v>210</v>
      </c>
      <c r="N14" s="10">
        <f>IF($B14="","",COUNTIF('Kế hoạch định kỳ'!$C$6:$C$125,$B14))</f>
        <v>2</v>
      </c>
      <c r="O14" s="17">
        <f>IF($B14="","",IF(SUMPRODUCT(MAX(('Nhật ký bảo trì'!$E$6:$E$405=$B14)*('Nhật ký bảo trì'!$Q$6:$Q$405="Hoàn thành")*'Nhật ký bảo trì'!$B$6:$B$405))=0,"",SUMPRODUCT(MAX(('Nhật ký bảo trì'!$E$6:$E$405=$B14)*('Nhật ký bảo trì'!$Q$6:$Q$405="Hoàn thành")*'Nhật ký bảo trì'!$B$6:$B$405))))</f>
        <v>46316</v>
      </c>
      <c r="P14" s="17">
        <f>IF($B14="","",IF(SUMPRODUCT(MIN(('Kế hoạch định kỳ'!$C$6:$C$125=$B14)*'Kế hoạch định kỳ'!$W$6:$W$125+('Kế hoạch định kỳ'!$C$6:$C$125&lt;&gt;$B14)*99999))&gt;=99999,"",SUMPRODUCT(MIN(('Kế hoạch định kỳ'!$C$6:$C$125=$B14)*'Kế hoạch định kỳ'!$W$6:$W$125+('Kế hoạch định kỳ'!$C$6:$C$125&lt;&gt;$B14)*99999))))</f>
        <v>46340</v>
      </c>
      <c r="Q14" s="10">
        <f>IF($P14="","",$P14-'Tổng quan'!$B$11)</f>
        <v>15</v>
      </c>
      <c r="R14" s="10" t="str">
        <f>IF($B14="","",IF($J14="Ngừng sử dụng","Ngừng sử dụng",IF($P14="","Chưa có kế hoạch",IF($P14&lt;'Tổng quan'!$B$11,"Có việc quá hạn",IF($P14-'Tổng quan'!$B$11&lt;='Cài đặt'!$B$102,"Sắp đến hạn","Trong hạn")))))</f>
        <v>Trong hạn</v>
      </c>
      <c r="S14" s="10">
        <f>IF($B14="","",COUNTIFS('Nhật ký bảo trì'!$E$6:$E$405,$B14,'Nhật ký bảo trì'!$C$6:$C$405,"Sửa chữa sự cố",'Nhật ký bảo trì'!$B$6:$B$405,"&gt;="&amp;DATE('Tổng quan'!$B$6,1,1),'Nhật ký bảo trì'!$B$6:$B$405,"&lt;="&amp;DATE('Tổng quan'!$B$6,12,31)))</f>
        <v>1</v>
      </c>
      <c r="T14" s="22">
        <f>IF($B14="","",SUMIFS('Nhật ký bảo trì'!$K$6:$K$405,'Nhật ký bảo trì'!$E$6:$E$405,$B14,'Nhật ký bảo trì'!$B$6:$B$405,"&gt;="&amp;DATE('Tổng quan'!$B$6,1,1),'Nhật ký bảo trì'!$B$6:$B$405,"&lt;="&amp;DATE('Tổng quan'!$B$6,12,31)))</f>
        <v>4</v>
      </c>
      <c r="U14" s="22">
        <f>IF(OR($B14="",N($S14)=0),"",SUMIFS('Nhật ký bảo trì'!$J$6:$J$405,'Nhật ký bảo trì'!$E$6:$E$405,$B14,'Nhật ký bảo trì'!$C$6:$C$405,"Sửa chữa sự cố",'Nhật ký bảo trì'!$B$6:$B$405,"&gt;="&amp;DATE('Tổng quan'!$B$6,1,1),'Nhật ký bảo trì'!$B$6:$B$405,"&lt;="&amp;DATE('Tổng quan'!$B$6,12,31))/$S14)</f>
        <v>3</v>
      </c>
      <c r="V14" s="21">
        <f>IF($B14="","",SUMIFS('Nhật ký bảo trì'!$O$6:$O$405,'Nhật ký bảo trì'!$E$6:$E$405,$B14,'Nhật ký bảo trì'!$B$6:$B$405,"&gt;="&amp;DATE('Tổng quan'!$B$6,1,1),'Nhật ký bảo trì'!$B$6:$B$405,"&lt;="&amp;DATE('Tổng quan'!$B$6,12,31)))</f>
        <v>5280000</v>
      </c>
      <c r="W14" s="10" t="str">
        <f>IF(OR($B14="",$K14=""),"",IF($K14&lt;'Tổng quan'!$B$11,"Hết bảo hành",IF($K14-'Tổng quan'!$B$11&lt;='Cài đặt'!$B$103,"Sắp hết BH ("&amp;($K14-'Tổng quan'!$B$11)&amp;" ngày)","Còn bảo hành")))</f>
        <v>Hết bảo hành</v>
      </c>
      <c r="X14" s="12"/>
    </row>
    <row r="15" ht="24.0" customHeight="1">
      <c r="A15" s="26">
        <f t="shared" si="1"/>
        <v>10</v>
      </c>
      <c r="B15" s="27" t="s">
        <v>216</v>
      </c>
      <c r="C15" s="31" t="s">
        <v>217</v>
      </c>
      <c r="D15" s="31" t="s">
        <v>218</v>
      </c>
      <c r="E15" s="31" t="s">
        <v>219</v>
      </c>
      <c r="F15" s="31" t="s">
        <v>220</v>
      </c>
      <c r="G15" s="31" t="s">
        <v>221</v>
      </c>
      <c r="H15" s="32">
        <v>44941.0</v>
      </c>
      <c r="I15" s="27" t="s">
        <v>222</v>
      </c>
      <c r="J15" s="27" t="s">
        <v>66</v>
      </c>
      <c r="K15" s="32">
        <v>46767.0</v>
      </c>
      <c r="L15" s="31" t="s">
        <v>223</v>
      </c>
      <c r="M15" s="31" t="s">
        <v>224</v>
      </c>
      <c r="N15" s="26">
        <f>IF($B15="","",COUNTIF('Kế hoạch định kỳ'!$C$6:$C$125,$B15))</f>
        <v>2</v>
      </c>
      <c r="O15" s="33">
        <f>IF($B15="","",IF(SUMPRODUCT(MAX(('Nhật ký bảo trì'!$E$6:$E$405=$B15)*('Nhật ký bảo trì'!$Q$6:$Q$405="Hoàn thành")*'Nhật ký bảo trì'!$B$6:$B$405))=0,"",SUMPRODUCT(MAX(('Nhật ký bảo trì'!$E$6:$E$405=$B15)*('Nhật ký bảo trì'!$Q$6:$Q$405="Hoàn thành")*'Nhật ký bảo trì'!$B$6:$B$405))))</f>
        <v>46325</v>
      </c>
      <c r="P15" s="33">
        <f>IF($B15="","",IF(SUMPRODUCT(MIN(('Kế hoạch định kỳ'!$C$6:$C$125=$B15)*'Kế hoạch định kỳ'!$W$6:$W$125+('Kế hoạch định kỳ'!$C$6:$C$125&lt;&gt;$B15)*99999))&gt;=99999,"",SUMPRODUCT(MIN(('Kế hoạch định kỳ'!$C$6:$C$125=$B15)*'Kế hoạch định kỳ'!$W$6:$W$125+('Kế hoạch định kỳ'!$C$6:$C$125&lt;&gt;$B15)*99999))))</f>
        <v>46331</v>
      </c>
      <c r="Q15" s="26">
        <f>IF($P15="","",$P15-'Tổng quan'!$B$11)</f>
        <v>6</v>
      </c>
      <c r="R15" s="26" t="str">
        <f>IF($B15="","",IF($J15="Ngừng sử dụng","Ngừng sử dụng",IF($P15="","Chưa có kế hoạch",IF($P15&lt;'Tổng quan'!$B$11,"Có việc quá hạn",IF($P15-'Tổng quan'!$B$11&lt;='Cài đặt'!$B$102,"Sắp đến hạn","Trong hạn")))))</f>
        <v>Sắp đến hạn</v>
      </c>
      <c r="S15" s="26">
        <f>IF($B15="","",COUNTIFS('Nhật ký bảo trì'!$E$6:$E$405,$B15,'Nhật ký bảo trì'!$C$6:$C$405,"Sửa chữa sự cố",'Nhật ký bảo trì'!$B$6:$B$405,"&gt;="&amp;DATE('Tổng quan'!$B$6,1,1),'Nhật ký bảo trì'!$B$6:$B$405,"&lt;="&amp;DATE('Tổng quan'!$B$6,12,31)))</f>
        <v>0</v>
      </c>
      <c r="T15" s="39">
        <f>IF($B15="","",SUMIFS('Nhật ký bảo trì'!$K$6:$K$405,'Nhật ký bảo trì'!$E$6:$E$405,$B15,'Nhật ký bảo trì'!$B$6:$B$405,"&gt;="&amp;DATE('Tổng quan'!$B$6,1,1),'Nhật ký bảo trì'!$B$6:$B$405,"&lt;="&amp;DATE('Tổng quan'!$B$6,12,31)))</f>
        <v>0</v>
      </c>
      <c r="U15" s="39" t="str">
        <f>IF(OR($B15="",N($S15)=0),"",SUMIFS('Nhật ký bảo trì'!$J$6:$J$405,'Nhật ký bảo trì'!$E$6:$E$405,$B15,'Nhật ký bảo trì'!$C$6:$C$405,"Sửa chữa sự cố",'Nhật ký bảo trì'!$B$6:$B$405,"&gt;="&amp;DATE('Tổng quan'!$B$6,1,1),'Nhật ký bảo trì'!$B$6:$B$405,"&lt;="&amp;DATE('Tổng quan'!$B$6,12,31))/$S15)</f>
        <v/>
      </c>
      <c r="V15" s="36">
        <f>IF($B15="","",SUMIFS('Nhật ký bảo trì'!$O$6:$O$405,'Nhật ký bảo trì'!$E$6:$E$405,$B15,'Nhật ký bảo trì'!$B$6:$B$405,"&gt;="&amp;DATE('Tổng quan'!$B$6,1,1),'Nhật ký bảo trì'!$B$6:$B$405,"&lt;="&amp;DATE('Tổng quan'!$B$6,12,31)))</f>
        <v>2280000</v>
      </c>
      <c r="W15" s="26" t="str">
        <f>IF(OR($B15="",$K15=""),"",IF($K15&lt;'Tổng quan'!$B$11,"Hết bảo hành",IF($K15-'Tổng quan'!$B$11&lt;='Cài đặt'!$B$103,"Sắp hết BH ("&amp;($K15-'Tổng quan'!$B$11)&amp;" ngày)","Còn bảo hành")))</f>
        <v>Còn bảo hành</v>
      </c>
      <c r="X15" s="31"/>
    </row>
    <row r="16" ht="24.0" customHeight="1">
      <c r="A16" s="10" t="str">
        <f t="shared" si="1"/>
        <v/>
      </c>
      <c r="B16" s="11"/>
      <c r="C16" s="12"/>
      <c r="D16" s="12"/>
      <c r="E16" s="12"/>
      <c r="F16" s="12"/>
      <c r="G16" s="12"/>
      <c r="H16" s="13"/>
      <c r="I16" s="11"/>
      <c r="J16" s="11"/>
      <c r="K16" s="13"/>
      <c r="L16" s="12"/>
      <c r="M16" s="12"/>
      <c r="N16" s="10" t="str">
        <f>IF($B16="","",COUNTIF('Kế hoạch định kỳ'!$C$6:$C$125,$B16))</f>
        <v/>
      </c>
      <c r="O16" s="17" t="str">
        <f>IF($B16="","",IF(SUMPRODUCT(MAX(('Nhật ký bảo trì'!$E$6:$E$405=$B16)*('Nhật ký bảo trì'!$Q$6:$Q$405="Hoàn thành")*'Nhật ký bảo trì'!$B$6:$B$405))=0,"",SUMPRODUCT(MAX(('Nhật ký bảo trì'!$E$6:$E$405=$B16)*('Nhật ký bảo trì'!$Q$6:$Q$405="Hoàn thành")*'Nhật ký bảo trì'!$B$6:$B$405))))</f>
        <v/>
      </c>
      <c r="P16" s="17" t="str">
        <f>IF($B16="","",IF(SUMPRODUCT(MIN(('Kế hoạch định kỳ'!$C$6:$C$125=$B16)*'Kế hoạch định kỳ'!$W$6:$W$125+('Kế hoạch định kỳ'!$C$6:$C$125&lt;&gt;$B16)*99999))&gt;=99999,"",SUMPRODUCT(MIN(('Kế hoạch định kỳ'!$C$6:$C$125=$B16)*'Kế hoạch định kỳ'!$W$6:$W$125+('Kế hoạch định kỳ'!$C$6:$C$125&lt;&gt;$B16)*99999))))</f>
        <v/>
      </c>
      <c r="Q16" s="10" t="str">
        <f>IF($P16="","",$P16-'Tổng quan'!$B$11)</f>
        <v/>
      </c>
      <c r="R16" s="10" t="str">
        <f>IF($B16="","",IF($J16="Ngừng sử dụng","Ngừng sử dụng",IF($P16="","Chưa có kế hoạch",IF($P16&lt;'Tổng quan'!$B$11,"Có việc quá hạn",IF($P16-'Tổng quan'!$B$11&lt;='Cài đặt'!$B$102,"Sắp đến hạn","Trong hạn")))))</f>
        <v/>
      </c>
      <c r="S16" s="10" t="str">
        <f>IF($B16="","",COUNTIFS('Nhật ký bảo trì'!$E$6:$E$405,$B16,'Nhật ký bảo trì'!$C$6:$C$405,"Sửa chữa sự cố",'Nhật ký bảo trì'!$B$6:$B$405,"&gt;="&amp;DATE('Tổng quan'!$B$6,1,1),'Nhật ký bảo trì'!$B$6:$B$405,"&lt;="&amp;DATE('Tổng quan'!$B$6,12,31)))</f>
        <v/>
      </c>
      <c r="T16" s="22" t="str">
        <f>IF($B16="","",SUMIFS('Nhật ký bảo trì'!$K$6:$K$405,'Nhật ký bảo trì'!$E$6:$E$405,$B16,'Nhật ký bảo trì'!$B$6:$B$405,"&gt;="&amp;DATE('Tổng quan'!$B$6,1,1),'Nhật ký bảo trì'!$B$6:$B$405,"&lt;="&amp;DATE('Tổng quan'!$B$6,12,31)))</f>
        <v/>
      </c>
      <c r="U16" s="22" t="str">
        <f>IF(OR($B16="",N($S16)=0),"",SUMIFS('Nhật ký bảo trì'!$J$6:$J$405,'Nhật ký bảo trì'!$E$6:$E$405,$B16,'Nhật ký bảo trì'!$C$6:$C$405,"Sửa chữa sự cố",'Nhật ký bảo trì'!$B$6:$B$405,"&gt;="&amp;DATE('Tổng quan'!$B$6,1,1),'Nhật ký bảo trì'!$B$6:$B$405,"&lt;="&amp;DATE('Tổng quan'!$B$6,12,31))/$S16)</f>
        <v/>
      </c>
      <c r="V16" s="21" t="str">
        <f>IF($B16="","",SUMIFS('Nhật ký bảo trì'!$O$6:$O$405,'Nhật ký bảo trì'!$E$6:$E$405,$B16,'Nhật ký bảo trì'!$B$6:$B$405,"&gt;="&amp;DATE('Tổng quan'!$B$6,1,1),'Nhật ký bảo trì'!$B$6:$B$405,"&lt;="&amp;DATE('Tổng quan'!$B$6,12,31)))</f>
        <v/>
      </c>
      <c r="W16" s="10" t="str">
        <f>IF(OR($B16="",$K16=""),"",IF($K16&lt;'Tổng quan'!$B$11,"Hết bảo hành",IF($K16-'Tổng quan'!$B$11&lt;='Cài đặt'!$B$103,"Sắp hết BH ("&amp;($K16-'Tổng quan'!$B$11)&amp;" ngày)","Còn bảo hành")))</f>
        <v/>
      </c>
      <c r="X16" s="12"/>
    </row>
    <row r="17" ht="24.0" customHeight="1">
      <c r="A17" s="26" t="str">
        <f t="shared" si="1"/>
        <v/>
      </c>
      <c r="B17" s="27"/>
      <c r="C17" s="31"/>
      <c r="D17" s="31"/>
      <c r="E17" s="31"/>
      <c r="F17" s="31"/>
      <c r="G17" s="31"/>
      <c r="H17" s="32"/>
      <c r="I17" s="27"/>
      <c r="J17" s="27"/>
      <c r="K17" s="32"/>
      <c r="L17" s="31"/>
      <c r="M17" s="31"/>
      <c r="N17" s="26" t="str">
        <f>IF($B17="","",COUNTIF('Kế hoạch định kỳ'!$C$6:$C$125,$B17))</f>
        <v/>
      </c>
      <c r="O17" s="33" t="str">
        <f>IF($B17="","",IF(SUMPRODUCT(MAX(('Nhật ký bảo trì'!$E$6:$E$405=$B17)*('Nhật ký bảo trì'!$Q$6:$Q$405="Hoàn thành")*'Nhật ký bảo trì'!$B$6:$B$405))=0,"",SUMPRODUCT(MAX(('Nhật ký bảo trì'!$E$6:$E$405=$B17)*('Nhật ký bảo trì'!$Q$6:$Q$405="Hoàn thành")*'Nhật ký bảo trì'!$B$6:$B$405))))</f>
        <v/>
      </c>
      <c r="P17" s="33" t="str">
        <f>IF($B17="","",IF(SUMPRODUCT(MIN(('Kế hoạch định kỳ'!$C$6:$C$125=$B17)*'Kế hoạch định kỳ'!$W$6:$W$125+('Kế hoạch định kỳ'!$C$6:$C$125&lt;&gt;$B17)*99999))&gt;=99999,"",SUMPRODUCT(MIN(('Kế hoạch định kỳ'!$C$6:$C$125=$B17)*'Kế hoạch định kỳ'!$W$6:$W$125+('Kế hoạch định kỳ'!$C$6:$C$125&lt;&gt;$B17)*99999))))</f>
        <v/>
      </c>
      <c r="Q17" s="26" t="str">
        <f>IF($P17="","",$P17-'Tổng quan'!$B$11)</f>
        <v/>
      </c>
      <c r="R17" s="26" t="str">
        <f>IF($B17="","",IF($J17="Ngừng sử dụng","Ngừng sử dụng",IF($P17="","Chưa có kế hoạch",IF($P17&lt;'Tổng quan'!$B$11,"Có việc quá hạn",IF($P17-'Tổng quan'!$B$11&lt;='Cài đặt'!$B$102,"Sắp đến hạn","Trong hạn")))))</f>
        <v/>
      </c>
      <c r="S17" s="26" t="str">
        <f>IF($B17="","",COUNTIFS('Nhật ký bảo trì'!$E$6:$E$405,$B17,'Nhật ký bảo trì'!$C$6:$C$405,"Sửa chữa sự cố",'Nhật ký bảo trì'!$B$6:$B$405,"&gt;="&amp;DATE('Tổng quan'!$B$6,1,1),'Nhật ký bảo trì'!$B$6:$B$405,"&lt;="&amp;DATE('Tổng quan'!$B$6,12,31)))</f>
        <v/>
      </c>
      <c r="T17" s="39" t="str">
        <f>IF($B17="","",SUMIFS('Nhật ký bảo trì'!$K$6:$K$405,'Nhật ký bảo trì'!$E$6:$E$405,$B17,'Nhật ký bảo trì'!$B$6:$B$405,"&gt;="&amp;DATE('Tổng quan'!$B$6,1,1),'Nhật ký bảo trì'!$B$6:$B$405,"&lt;="&amp;DATE('Tổng quan'!$B$6,12,31)))</f>
        <v/>
      </c>
      <c r="U17" s="39" t="str">
        <f>IF(OR($B17="",N($S17)=0),"",SUMIFS('Nhật ký bảo trì'!$J$6:$J$405,'Nhật ký bảo trì'!$E$6:$E$405,$B17,'Nhật ký bảo trì'!$C$6:$C$405,"Sửa chữa sự cố",'Nhật ký bảo trì'!$B$6:$B$405,"&gt;="&amp;DATE('Tổng quan'!$B$6,1,1),'Nhật ký bảo trì'!$B$6:$B$405,"&lt;="&amp;DATE('Tổng quan'!$B$6,12,31))/$S17)</f>
        <v/>
      </c>
      <c r="V17" s="36" t="str">
        <f>IF($B17="","",SUMIFS('Nhật ký bảo trì'!$O$6:$O$405,'Nhật ký bảo trì'!$E$6:$E$405,$B17,'Nhật ký bảo trì'!$B$6:$B$405,"&gt;="&amp;DATE('Tổng quan'!$B$6,1,1),'Nhật ký bảo trì'!$B$6:$B$405,"&lt;="&amp;DATE('Tổng quan'!$B$6,12,31)))</f>
        <v/>
      </c>
      <c r="W17" s="26" t="str">
        <f>IF(OR($B17="",$K17=""),"",IF($K17&lt;'Tổng quan'!$B$11,"Hết bảo hành",IF($K17-'Tổng quan'!$B$11&lt;='Cài đặt'!$B$103,"Sắp hết BH ("&amp;($K17-'Tổng quan'!$B$11)&amp;" ngày)","Còn bảo hành")))</f>
        <v/>
      </c>
      <c r="X17" s="31"/>
    </row>
    <row r="18" ht="24.0" customHeight="1">
      <c r="A18" s="10" t="str">
        <f t="shared" si="1"/>
        <v/>
      </c>
      <c r="B18" s="11"/>
      <c r="C18" s="12"/>
      <c r="D18" s="12"/>
      <c r="E18" s="12"/>
      <c r="F18" s="12"/>
      <c r="G18" s="12"/>
      <c r="H18" s="13"/>
      <c r="I18" s="11"/>
      <c r="J18" s="11"/>
      <c r="K18" s="13"/>
      <c r="L18" s="12"/>
      <c r="M18" s="12"/>
      <c r="N18" s="10" t="str">
        <f>IF($B18="","",COUNTIF('Kế hoạch định kỳ'!$C$6:$C$125,$B18))</f>
        <v/>
      </c>
      <c r="O18" s="17" t="str">
        <f>IF($B18="","",IF(SUMPRODUCT(MAX(('Nhật ký bảo trì'!$E$6:$E$405=$B18)*('Nhật ký bảo trì'!$Q$6:$Q$405="Hoàn thành")*'Nhật ký bảo trì'!$B$6:$B$405))=0,"",SUMPRODUCT(MAX(('Nhật ký bảo trì'!$E$6:$E$405=$B18)*('Nhật ký bảo trì'!$Q$6:$Q$405="Hoàn thành")*'Nhật ký bảo trì'!$B$6:$B$405))))</f>
        <v/>
      </c>
      <c r="P18" s="17" t="str">
        <f>IF($B18="","",IF(SUMPRODUCT(MIN(('Kế hoạch định kỳ'!$C$6:$C$125=$B18)*'Kế hoạch định kỳ'!$W$6:$W$125+('Kế hoạch định kỳ'!$C$6:$C$125&lt;&gt;$B18)*99999))&gt;=99999,"",SUMPRODUCT(MIN(('Kế hoạch định kỳ'!$C$6:$C$125=$B18)*'Kế hoạch định kỳ'!$W$6:$W$125+('Kế hoạch định kỳ'!$C$6:$C$125&lt;&gt;$B18)*99999))))</f>
        <v/>
      </c>
      <c r="Q18" s="10" t="str">
        <f>IF($P18="","",$P18-'Tổng quan'!$B$11)</f>
        <v/>
      </c>
      <c r="R18" s="10" t="str">
        <f>IF($B18="","",IF($J18="Ngừng sử dụng","Ngừng sử dụng",IF($P18="","Chưa có kế hoạch",IF($P18&lt;'Tổng quan'!$B$11,"Có việc quá hạn",IF($P18-'Tổng quan'!$B$11&lt;='Cài đặt'!$B$102,"Sắp đến hạn","Trong hạn")))))</f>
        <v/>
      </c>
      <c r="S18" s="10" t="str">
        <f>IF($B18="","",COUNTIFS('Nhật ký bảo trì'!$E$6:$E$405,$B18,'Nhật ký bảo trì'!$C$6:$C$405,"Sửa chữa sự cố",'Nhật ký bảo trì'!$B$6:$B$405,"&gt;="&amp;DATE('Tổng quan'!$B$6,1,1),'Nhật ký bảo trì'!$B$6:$B$405,"&lt;="&amp;DATE('Tổng quan'!$B$6,12,31)))</f>
        <v/>
      </c>
      <c r="T18" s="22" t="str">
        <f>IF($B18="","",SUMIFS('Nhật ký bảo trì'!$K$6:$K$405,'Nhật ký bảo trì'!$E$6:$E$405,$B18,'Nhật ký bảo trì'!$B$6:$B$405,"&gt;="&amp;DATE('Tổng quan'!$B$6,1,1),'Nhật ký bảo trì'!$B$6:$B$405,"&lt;="&amp;DATE('Tổng quan'!$B$6,12,31)))</f>
        <v/>
      </c>
      <c r="U18" s="22" t="str">
        <f>IF(OR($B18="",N($S18)=0),"",SUMIFS('Nhật ký bảo trì'!$J$6:$J$405,'Nhật ký bảo trì'!$E$6:$E$405,$B18,'Nhật ký bảo trì'!$C$6:$C$405,"Sửa chữa sự cố",'Nhật ký bảo trì'!$B$6:$B$405,"&gt;="&amp;DATE('Tổng quan'!$B$6,1,1),'Nhật ký bảo trì'!$B$6:$B$405,"&lt;="&amp;DATE('Tổng quan'!$B$6,12,31))/$S18)</f>
        <v/>
      </c>
      <c r="V18" s="21" t="str">
        <f>IF($B18="","",SUMIFS('Nhật ký bảo trì'!$O$6:$O$405,'Nhật ký bảo trì'!$E$6:$E$405,$B18,'Nhật ký bảo trì'!$B$6:$B$405,"&gt;="&amp;DATE('Tổng quan'!$B$6,1,1),'Nhật ký bảo trì'!$B$6:$B$405,"&lt;="&amp;DATE('Tổng quan'!$B$6,12,31)))</f>
        <v/>
      </c>
      <c r="W18" s="10" t="str">
        <f>IF(OR($B18="",$K18=""),"",IF($K18&lt;'Tổng quan'!$B$11,"Hết bảo hành",IF($K18-'Tổng quan'!$B$11&lt;='Cài đặt'!$B$103,"Sắp hết BH ("&amp;($K18-'Tổng quan'!$B$11)&amp;" ngày)","Còn bảo hành")))</f>
        <v/>
      </c>
      <c r="X18" s="12"/>
    </row>
    <row r="19" ht="24.0" customHeight="1">
      <c r="A19" s="26" t="str">
        <f t="shared" si="1"/>
        <v/>
      </c>
      <c r="B19" s="27"/>
      <c r="C19" s="31"/>
      <c r="D19" s="31"/>
      <c r="E19" s="31"/>
      <c r="F19" s="31"/>
      <c r="G19" s="31"/>
      <c r="H19" s="32"/>
      <c r="I19" s="27"/>
      <c r="J19" s="27"/>
      <c r="K19" s="32"/>
      <c r="L19" s="31"/>
      <c r="M19" s="31"/>
      <c r="N19" s="26" t="str">
        <f>IF($B19="","",COUNTIF('Kế hoạch định kỳ'!$C$6:$C$125,$B19))</f>
        <v/>
      </c>
      <c r="O19" s="33" t="str">
        <f>IF($B19="","",IF(SUMPRODUCT(MAX(('Nhật ký bảo trì'!$E$6:$E$405=$B19)*('Nhật ký bảo trì'!$Q$6:$Q$405="Hoàn thành")*'Nhật ký bảo trì'!$B$6:$B$405))=0,"",SUMPRODUCT(MAX(('Nhật ký bảo trì'!$E$6:$E$405=$B19)*('Nhật ký bảo trì'!$Q$6:$Q$405="Hoàn thành")*'Nhật ký bảo trì'!$B$6:$B$405))))</f>
        <v/>
      </c>
      <c r="P19" s="33" t="str">
        <f>IF($B19="","",IF(SUMPRODUCT(MIN(('Kế hoạch định kỳ'!$C$6:$C$125=$B19)*'Kế hoạch định kỳ'!$W$6:$W$125+('Kế hoạch định kỳ'!$C$6:$C$125&lt;&gt;$B19)*99999))&gt;=99999,"",SUMPRODUCT(MIN(('Kế hoạch định kỳ'!$C$6:$C$125=$B19)*'Kế hoạch định kỳ'!$W$6:$W$125+('Kế hoạch định kỳ'!$C$6:$C$125&lt;&gt;$B19)*99999))))</f>
        <v/>
      </c>
      <c r="Q19" s="26" t="str">
        <f>IF($P19="","",$P19-'Tổng quan'!$B$11)</f>
        <v/>
      </c>
      <c r="R19" s="26" t="str">
        <f>IF($B19="","",IF($J19="Ngừng sử dụng","Ngừng sử dụng",IF($P19="","Chưa có kế hoạch",IF($P19&lt;'Tổng quan'!$B$11,"Có việc quá hạn",IF($P19-'Tổng quan'!$B$11&lt;='Cài đặt'!$B$102,"Sắp đến hạn","Trong hạn")))))</f>
        <v/>
      </c>
      <c r="S19" s="26" t="str">
        <f>IF($B19="","",COUNTIFS('Nhật ký bảo trì'!$E$6:$E$405,$B19,'Nhật ký bảo trì'!$C$6:$C$405,"Sửa chữa sự cố",'Nhật ký bảo trì'!$B$6:$B$405,"&gt;="&amp;DATE('Tổng quan'!$B$6,1,1),'Nhật ký bảo trì'!$B$6:$B$405,"&lt;="&amp;DATE('Tổng quan'!$B$6,12,31)))</f>
        <v/>
      </c>
      <c r="T19" s="39" t="str">
        <f>IF($B19="","",SUMIFS('Nhật ký bảo trì'!$K$6:$K$405,'Nhật ký bảo trì'!$E$6:$E$405,$B19,'Nhật ký bảo trì'!$B$6:$B$405,"&gt;="&amp;DATE('Tổng quan'!$B$6,1,1),'Nhật ký bảo trì'!$B$6:$B$405,"&lt;="&amp;DATE('Tổng quan'!$B$6,12,31)))</f>
        <v/>
      </c>
      <c r="U19" s="39" t="str">
        <f>IF(OR($B19="",N($S19)=0),"",SUMIFS('Nhật ký bảo trì'!$J$6:$J$405,'Nhật ký bảo trì'!$E$6:$E$405,$B19,'Nhật ký bảo trì'!$C$6:$C$405,"Sửa chữa sự cố",'Nhật ký bảo trì'!$B$6:$B$405,"&gt;="&amp;DATE('Tổng quan'!$B$6,1,1),'Nhật ký bảo trì'!$B$6:$B$405,"&lt;="&amp;DATE('Tổng quan'!$B$6,12,31))/$S19)</f>
        <v/>
      </c>
      <c r="V19" s="36" t="str">
        <f>IF($B19="","",SUMIFS('Nhật ký bảo trì'!$O$6:$O$405,'Nhật ký bảo trì'!$E$6:$E$405,$B19,'Nhật ký bảo trì'!$B$6:$B$405,"&gt;="&amp;DATE('Tổng quan'!$B$6,1,1),'Nhật ký bảo trì'!$B$6:$B$405,"&lt;="&amp;DATE('Tổng quan'!$B$6,12,31)))</f>
        <v/>
      </c>
      <c r="W19" s="26" t="str">
        <f>IF(OR($B19="",$K19=""),"",IF($K19&lt;'Tổng quan'!$B$11,"Hết bảo hành",IF($K19-'Tổng quan'!$B$11&lt;='Cài đặt'!$B$103,"Sắp hết BH ("&amp;($K19-'Tổng quan'!$B$11)&amp;" ngày)","Còn bảo hành")))</f>
        <v/>
      </c>
      <c r="X19" s="31"/>
    </row>
    <row r="20" ht="24.0" customHeight="1">
      <c r="A20" s="10" t="str">
        <f t="shared" si="1"/>
        <v/>
      </c>
      <c r="B20" s="11"/>
      <c r="C20" s="12"/>
      <c r="D20" s="12"/>
      <c r="E20" s="12"/>
      <c r="F20" s="12"/>
      <c r="G20" s="12"/>
      <c r="H20" s="13"/>
      <c r="I20" s="11"/>
      <c r="J20" s="11"/>
      <c r="K20" s="13"/>
      <c r="L20" s="12"/>
      <c r="M20" s="12"/>
      <c r="N20" s="10" t="str">
        <f>IF($B20="","",COUNTIF('Kế hoạch định kỳ'!$C$6:$C$125,$B20))</f>
        <v/>
      </c>
      <c r="O20" s="17" t="str">
        <f>IF($B20="","",IF(SUMPRODUCT(MAX(('Nhật ký bảo trì'!$E$6:$E$405=$B20)*('Nhật ký bảo trì'!$Q$6:$Q$405="Hoàn thành")*'Nhật ký bảo trì'!$B$6:$B$405))=0,"",SUMPRODUCT(MAX(('Nhật ký bảo trì'!$E$6:$E$405=$B20)*('Nhật ký bảo trì'!$Q$6:$Q$405="Hoàn thành")*'Nhật ký bảo trì'!$B$6:$B$405))))</f>
        <v/>
      </c>
      <c r="P20" s="17" t="str">
        <f>IF($B20="","",IF(SUMPRODUCT(MIN(('Kế hoạch định kỳ'!$C$6:$C$125=$B20)*'Kế hoạch định kỳ'!$W$6:$W$125+('Kế hoạch định kỳ'!$C$6:$C$125&lt;&gt;$B20)*99999))&gt;=99999,"",SUMPRODUCT(MIN(('Kế hoạch định kỳ'!$C$6:$C$125=$B20)*'Kế hoạch định kỳ'!$W$6:$W$125+('Kế hoạch định kỳ'!$C$6:$C$125&lt;&gt;$B20)*99999))))</f>
        <v/>
      </c>
      <c r="Q20" s="10" t="str">
        <f>IF($P20="","",$P20-'Tổng quan'!$B$11)</f>
        <v/>
      </c>
      <c r="R20" s="10" t="str">
        <f>IF($B20="","",IF($J20="Ngừng sử dụng","Ngừng sử dụng",IF($P20="","Chưa có kế hoạch",IF($P20&lt;'Tổng quan'!$B$11,"Có việc quá hạn",IF($P20-'Tổng quan'!$B$11&lt;='Cài đặt'!$B$102,"Sắp đến hạn","Trong hạn")))))</f>
        <v/>
      </c>
      <c r="S20" s="10" t="str">
        <f>IF($B20="","",COUNTIFS('Nhật ký bảo trì'!$E$6:$E$405,$B20,'Nhật ký bảo trì'!$C$6:$C$405,"Sửa chữa sự cố",'Nhật ký bảo trì'!$B$6:$B$405,"&gt;="&amp;DATE('Tổng quan'!$B$6,1,1),'Nhật ký bảo trì'!$B$6:$B$405,"&lt;="&amp;DATE('Tổng quan'!$B$6,12,31)))</f>
        <v/>
      </c>
      <c r="T20" s="22" t="str">
        <f>IF($B20="","",SUMIFS('Nhật ký bảo trì'!$K$6:$K$405,'Nhật ký bảo trì'!$E$6:$E$405,$B20,'Nhật ký bảo trì'!$B$6:$B$405,"&gt;="&amp;DATE('Tổng quan'!$B$6,1,1),'Nhật ký bảo trì'!$B$6:$B$405,"&lt;="&amp;DATE('Tổng quan'!$B$6,12,31)))</f>
        <v/>
      </c>
      <c r="U20" s="22" t="str">
        <f>IF(OR($B20="",N($S20)=0),"",SUMIFS('Nhật ký bảo trì'!$J$6:$J$405,'Nhật ký bảo trì'!$E$6:$E$405,$B20,'Nhật ký bảo trì'!$C$6:$C$405,"Sửa chữa sự cố",'Nhật ký bảo trì'!$B$6:$B$405,"&gt;="&amp;DATE('Tổng quan'!$B$6,1,1),'Nhật ký bảo trì'!$B$6:$B$405,"&lt;="&amp;DATE('Tổng quan'!$B$6,12,31))/$S20)</f>
        <v/>
      </c>
      <c r="V20" s="21" t="str">
        <f>IF($B20="","",SUMIFS('Nhật ký bảo trì'!$O$6:$O$405,'Nhật ký bảo trì'!$E$6:$E$405,$B20,'Nhật ký bảo trì'!$B$6:$B$405,"&gt;="&amp;DATE('Tổng quan'!$B$6,1,1),'Nhật ký bảo trì'!$B$6:$B$405,"&lt;="&amp;DATE('Tổng quan'!$B$6,12,31)))</f>
        <v/>
      </c>
      <c r="W20" s="10" t="str">
        <f>IF(OR($B20="",$K20=""),"",IF($K20&lt;'Tổng quan'!$B$11,"Hết bảo hành",IF($K20-'Tổng quan'!$B$11&lt;='Cài đặt'!$B$103,"Sắp hết BH ("&amp;($K20-'Tổng quan'!$B$11)&amp;" ngày)","Còn bảo hành")))</f>
        <v/>
      </c>
      <c r="X20" s="12"/>
    </row>
    <row r="21" ht="24.0" customHeight="1">
      <c r="A21" s="26" t="str">
        <f t="shared" si="1"/>
        <v/>
      </c>
      <c r="B21" s="27"/>
      <c r="C21" s="31"/>
      <c r="D21" s="31"/>
      <c r="E21" s="31"/>
      <c r="F21" s="31"/>
      <c r="G21" s="31"/>
      <c r="H21" s="32"/>
      <c r="I21" s="27"/>
      <c r="J21" s="27"/>
      <c r="K21" s="32"/>
      <c r="L21" s="31"/>
      <c r="M21" s="31"/>
      <c r="N21" s="26" t="str">
        <f>IF($B21="","",COUNTIF('Kế hoạch định kỳ'!$C$6:$C$125,$B21))</f>
        <v/>
      </c>
      <c r="O21" s="33" t="str">
        <f>IF($B21="","",IF(SUMPRODUCT(MAX(('Nhật ký bảo trì'!$E$6:$E$405=$B21)*('Nhật ký bảo trì'!$Q$6:$Q$405="Hoàn thành")*'Nhật ký bảo trì'!$B$6:$B$405))=0,"",SUMPRODUCT(MAX(('Nhật ký bảo trì'!$E$6:$E$405=$B21)*('Nhật ký bảo trì'!$Q$6:$Q$405="Hoàn thành")*'Nhật ký bảo trì'!$B$6:$B$405))))</f>
        <v/>
      </c>
      <c r="P21" s="33" t="str">
        <f>IF($B21="","",IF(SUMPRODUCT(MIN(('Kế hoạch định kỳ'!$C$6:$C$125=$B21)*'Kế hoạch định kỳ'!$W$6:$W$125+('Kế hoạch định kỳ'!$C$6:$C$125&lt;&gt;$B21)*99999))&gt;=99999,"",SUMPRODUCT(MIN(('Kế hoạch định kỳ'!$C$6:$C$125=$B21)*'Kế hoạch định kỳ'!$W$6:$W$125+('Kế hoạch định kỳ'!$C$6:$C$125&lt;&gt;$B21)*99999))))</f>
        <v/>
      </c>
      <c r="Q21" s="26" t="str">
        <f>IF($P21="","",$P21-'Tổng quan'!$B$11)</f>
        <v/>
      </c>
      <c r="R21" s="26" t="str">
        <f>IF($B21="","",IF($J21="Ngừng sử dụng","Ngừng sử dụng",IF($P21="","Chưa có kế hoạch",IF($P21&lt;'Tổng quan'!$B$11,"Có việc quá hạn",IF($P21-'Tổng quan'!$B$11&lt;='Cài đặt'!$B$102,"Sắp đến hạn","Trong hạn")))))</f>
        <v/>
      </c>
      <c r="S21" s="26" t="str">
        <f>IF($B21="","",COUNTIFS('Nhật ký bảo trì'!$E$6:$E$405,$B21,'Nhật ký bảo trì'!$C$6:$C$405,"Sửa chữa sự cố",'Nhật ký bảo trì'!$B$6:$B$405,"&gt;="&amp;DATE('Tổng quan'!$B$6,1,1),'Nhật ký bảo trì'!$B$6:$B$405,"&lt;="&amp;DATE('Tổng quan'!$B$6,12,31)))</f>
        <v/>
      </c>
      <c r="T21" s="39" t="str">
        <f>IF($B21="","",SUMIFS('Nhật ký bảo trì'!$K$6:$K$405,'Nhật ký bảo trì'!$E$6:$E$405,$B21,'Nhật ký bảo trì'!$B$6:$B$405,"&gt;="&amp;DATE('Tổng quan'!$B$6,1,1),'Nhật ký bảo trì'!$B$6:$B$405,"&lt;="&amp;DATE('Tổng quan'!$B$6,12,31)))</f>
        <v/>
      </c>
      <c r="U21" s="39" t="str">
        <f>IF(OR($B21="",N($S21)=0),"",SUMIFS('Nhật ký bảo trì'!$J$6:$J$405,'Nhật ký bảo trì'!$E$6:$E$405,$B21,'Nhật ký bảo trì'!$C$6:$C$405,"Sửa chữa sự cố",'Nhật ký bảo trì'!$B$6:$B$405,"&gt;="&amp;DATE('Tổng quan'!$B$6,1,1),'Nhật ký bảo trì'!$B$6:$B$405,"&lt;="&amp;DATE('Tổng quan'!$B$6,12,31))/$S21)</f>
        <v/>
      </c>
      <c r="V21" s="36" t="str">
        <f>IF($B21="","",SUMIFS('Nhật ký bảo trì'!$O$6:$O$405,'Nhật ký bảo trì'!$E$6:$E$405,$B21,'Nhật ký bảo trì'!$B$6:$B$405,"&gt;="&amp;DATE('Tổng quan'!$B$6,1,1),'Nhật ký bảo trì'!$B$6:$B$405,"&lt;="&amp;DATE('Tổng quan'!$B$6,12,31)))</f>
        <v/>
      </c>
      <c r="W21" s="26" t="str">
        <f>IF(OR($B21="",$K21=""),"",IF($K21&lt;'Tổng quan'!$B$11,"Hết bảo hành",IF($K21-'Tổng quan'!$B$11&lt;='Cài đặt'!$B$103,"Sắp hết BH ("&amp;($K21-'Tổng quan'!$B$11)&amp;" ngày)","Còn bảo hành")))</f>
        <v/>
      </c>
      <c r="X21" s="31"/>
    </row>
    <row r="22" ht="24.0" customHeight="1">
      <c r="A22" s="10" t="str">
        <f t="shared" si="1"/>
        <v/>
      </c>
      <c r="B22" s="11"/>
      <c r="C22" s="12"/>
      <c r="D22" s="12"/>
      <c r="E22" s="12"/>
      <c r="F22" s="12"/>
      <c r="G22" s="12"/>
      <c r="H22" s="13"/>
      <c r="I22" s="11"/>
      <c r="J22" s="11"/>
      <c r="K22" s="13"/>
      <c r="L22" s="12"/>
      <c r="M22" s="12"/>
      <c r="N22" s="10" t="str">
        <f>IF($B22="","",COUNTIF('Kế hoạch định kỳ'!$C$6:$C$125,$B22))</f>
        <v/>
      </c>
      <c r="O22" s="17" t="str">
        <f>IF($B22="","",IF(SUMPRODUCT(MAX(('Nhật ký bảo trì'!$E$6:$E$405=$B22)*('Nhật ký bảo trì'!$Q$6:$Q$405="Hoàn thành")*'Nhật ký bảo trì'!$B$6:$B$405))=0,"",SUMPRODUCT(MAX(('Nhật ký bảo trì'!$E$6:$E$405=$B22)*('Nhật ký bảo trì'!$Q$6:$Q$405="Hoàn thành")*'Nhật ký bảo trì'!$B$6:$B$405))))</f>
        <v/>
      </c>
      <c r="P22" s="17" t="str">
        <f>IF($B22="","",IF(SUMPRODUCT(MIN(('Kế hoạch định kỳ'!$C$6:$C$125=$B22)*'Kế hoạch định kỳ'!$W$6:$W$125+('Kế hoạch định kỳ'!$C$6:$C$125&lt;&gt;$B22)*99999))&gt;=99999,"",SUMPRODUCT(MIN(('Kế hoạch định kỳ'!$C$6:$C$125=$B22)*'Kế hoạch định kỳ'!$W$6:$W$125+('Kế hoạch định kỳ'!$C$6:$C$125&lt;&gt;$B22)*99999))))</f>
        <v/>
      </c>
      <c r="Q22" s="10" t="str">
        <f>IF($P22="","",$P22-'Tổng quan'!$B$11)</f>
        <v/>
      </c>
      <c r="R22" s="10" t="str">
        <f>IF($B22="","",IF($J22="Ngừng sử dụng","Ngừng sử dụng",IF($P22="","Chưa có kế hoạch",IF($P22&lt;'Tổng quan'!$B$11,"Có việc quá hạn",IF($P22-'Tổng quan'!$B$11&lt;='Cài đặt'!$B$102,"Sắp đến hạn","Trong hạn")))))</f>
        <v/>
      </c>
      <c r="S22" s="10" t="str">
        <f>IF($B22="","",COUNTIFS('Nhật ký bảo trì'!$E$6:$E$405,$B22,'Nhật ký bảo trì'!$C$6:$C$405,"Sửa chữa sự cố",'Nhật ký bảo trì'!$B$6:$B$405,"&gt;="&amp;DATE('Tổng quan'!$B$6,1,1),'Nhật ký bảo trì'!$B$6:$B$405,"&lt;="&amp;DATE('Tổng quan'!$B$6,12,31)))</f>
        <v/>
      </c>
      <c r="T22" s="22" t="str">
        <f>IF($B22="","",SUMIFS('Nhật ký bảo trì'!$K$6:$K$405,'Nhật ký bảo trì'!$E$6:$E$405,$B22,'Nhật ký bảo trì'!$B$6:$B$405,"&gt;="&amp;DATE('Tổng quan'!$B$6,1,1),'Nhật ký bảo trì'!$B$6:$B$405,"&lt;="&amp;DATE('Tổng quan'!$B$6,12,31)))</f>
        <v/>
      </c>
      <c r="U22" s="22" t="str">
        <f>IF(OR($B22="",N($S22)=0),"",SUMIFS('Nhật ký bảo trì'!$J$6:$J$405,'Nhật ký bảo trì'!$E$6:$E$405,$B22,'Nhật ký bảo trì'!$C$6:$C$405,"Sửa chữa sự cố",'Nhật ký bảo trì'!$B$6:$B$405,"&gt;="&amp;DATE('Tổng quan'!$B$6,1,1),'Nhật ký bảo trì'!$B$6:$B$405,"&lt;="&amp;DATE('Tổng quan'!$B$6,12,31))/$S22)</f>
        <v/>
      </c>
      <c r="V22" s="21" t="str">
        <f>IF($B22="","",SUMIFS('Nhật ký bảo trì'!$O$6:$O$405,'Nhật ký bảo trì'!$E$6:$E$405,$B22,'Nhật ký bảo trì'!$B$6:$B$405,"&gt;="&amp;DATE('Tổng quan'!$B$6,1,1),'Nhật ký bảo trì'!$B$6:$B$405,"&lt;="&amp;DATE('Tổng quan'!$B$6,12,31)))</f>
        <v/>
      </c>
      <c r="W22" s="10" t="str">
        <f>IF(OR($B22="",$K22=""),"",IF($K22&lt;'Tổng quan'!$B$11,"Hết bảo hành",IF($K22-'Tổng quan'!$B$11&lt;='Cài đặt'!$B$103,"Sắp hết BH ("&amp;($K22-'Tổng quan'!$B$11)&amp;" ngày)","Còn bảo hành")))</f>
        <v/>
      </c>
      <c r="X22" s="12"/>
    </row>
    <row r="23" ht="24.0" customHeight="1">
      <c r="A23" s="26" t="str">
        <f t="shared" si="1"/>
        <v/>
      </c>
      <c r="B23" s="27"/>
      <c r="C23" s="31"/>
      <c r="D23" s="31"/>
      <c r="E23" s="31"/>
      <c r="F23" s="31"/>
      <c r="G23" s="31"/>
      <c r="H23" s="32"/>
      <c r="I23" s="27"/>
      <c r="J23" s="27"/>
      <c r="K23" s="32"/>
      <c r="L23" s="31"/>
      <c r="M23" s="31"/>
      <c r="N23" s="26" t="str">
        <f>IF($B23="","",COUNTIF('Kế hoạch định kỳ'!$C$6:$C$125,$B23))</f>
        <v/>
      </c>
      <c r="O23" s="33" t="str">
        <f>IF($B23="","",IF(SUMPRODUCT(MAX(('Nhật ký bảo trì'!$E$6:$E$405=$B23)*('Nhật ký bảo trì'!$Q$6:$Q$405="Hoàn thành")*'Nhật ký bảo trì'!$B$6:$B$405))=0,"",SUMPRODUCT(MAX(('Nhật ký bảo trì'!$E$6:$E$405=$B23)*('Nhật ký bảo trì'!$Q$6:$Q$405="Hoàn thành")*'Nhật ký bảo trì'!$B$6:$B$405))))</f>
        <v/>
      </c>
      <c r="P23" s="33" t="str">
        <f>IF($B23="","",IF(SUMPRODUCT(MIN(('Kế hoạch định kỳ'!$C$6:$C$125=$B23)*'Kế hoạch định kỳ'!$W$6:$W$125+('Kế hoạch định kỳ'!$C$6:$C$125&lt;&gt;$B23)*99999))&gt;=99999,"",SUMPRODUCT(MIN(('Kế hoạch định kỳ'!$C$6:$C$125=$B23)*'Kế hoạch định kỳ'!$W$6:$W$125+('Kế hoạch định kỳ'!$C$6:$C$125&lt;&gt;$B23)*99999))))</f>
        <v/>
      </c>
      <c r="Q23" s="26" t="str">
        <f>IF($P23="","",$P23-'Tổng quan'!$B$11)</f>
        <v/>
      </c>
      <c r="R23" s="26" t="str">
        <f>IF($B23="","",IF($J23="Ngừng sử dụng","Ngừng sử dụng",IF($P23="","Chưa có kế hoạch",IF($P23&lt;'Tổng quan'!$B$11,"Có việc quá hạn",IF($P23-'Tổng quan'!$B$11&lt;='Cài đặt'!$B$102,"Sắp đến hạn","Trong hạn")))))</f>
        <v/>
      </c>
      <c r="S23" s="26" t="str">
        <f>IF($B23="","",COUNTIFS('Nhật ký bảo trì'!$E$6:$E$405,$B23,'Nhật ký bảo trì'!$C$6:$C$405,"Sửa chữa sự cố",'Nhật ký bảo trì'!$B$6:$B$405,"&gt;="&amp;DATE('Tổng quan'!$B$6,1,1),'Nhật ký bảo trì'!$B$6:$B$405,"&lt;="&amp;DATE('Tổng quan'!$B$6,12,31)))</f>
        <v/>
      </c>
      <c r="T23" s="39" t="str">
        <f>IF($B23="","",SUMIFS('Nhật ký bảo trì'!$K$6:$K$405,'Nhật ký bảo trì'!$E$6:$E$405,$B23,'Nhật ký bảo trì'!$B$6:$B$405,"&gt;="&amp;DATE('Tổng quan'!$B$6,1,1),'Nhật ký bảo trì'!$B$6:$B$405,"&lt;="&amp;DATE('Tổng quan'!$B$6,12,31)))</f>
        <v/>
      </c>
      <c r="U23" s="39" t="str">
        <f>IF(OR($B23="",N($S23)=0),"",SUMIFS('Nhật ký bảo trì'!$J$6:$J$405,'Nhật ký bảo trì'!$E$6:$E$405,$B23,'Nhật ký bảo trì'!$C$6:$C$405,"Sửa chữa sự cố",'Nhật ký bảo trì'!$B$6:$B$405,"&gt;="&amp;DATE('Tổng quan'!$B$6,1,1),'Nhật ký bảo trì'!$B$6:$B$405,"&lt;="&amp;DATE('Tổng quan'!$B$6,12,31))/$S23)</f>
        <v/>
      </c>
      <c r="V23" s="36" t="str">
        <f>IF($B23="","",SUMIFS('Nhật ký bảo trì'!$O$6:$O$405,'Nhật ký bảo trì'!$E$6:$E$405,$B23,'Nhật ký bảo trì'!$B$6:$B$405,"&gt;="&amp;DATE('Tổng quan'!$B$6,1,1),'Nhật ký bảo trì'!$B$6:$B$405,"&lt;="&amp;DATE('Tổng quan'!$B$6,12,31)))</f>
        <v/>
      </c>
      <c r="W23" s="26" t="str">
        <f>IF(OR($B23="",$K23=""),"",IF($K23&lt;'Tổng quan'!$B$11,"Hết bảo hành",IF($K23-'Tổng quan'!$B$11&lt;='Cài đặt'!$B$103,"Sắp hết BH ("&amp;($K23-'Tổng quan'!$B$11)&amp;" ngày)","Còn bảo hành")))</f>
        <v/>
      </c>
      <c r="X23" s="31"/>
    </row>
    <row r="24" ht="24.0" customHeight="1">
      <c r="A24" s="10" t="str">
        <f t="shared" si="1"/>
        <v/>
      </c>
      <c r="B24" s="11"/>
      <c r="C24" s="12"/>
      <c r="D24" s="12"/>
      <c r="E24" s="12"/>
      <c r="F24" s="12"/>
      <c r="G24" s="12"/>
      <c r="H24" s="13"/>
      <c r="I24" s="11"/>
      <c r="J24" s="11"/>
      <c r="K24" s="13"/>
      <c r="L24" s="12"/>
      <c r="M24" s="12"/>
      <c r="N24" s="10" t="str">
        <f>IF($B24="","",COUNTIF('Kế hoạch định kỳ'!$C$6:$C$125,$B24))</f>
        <v/>
      </c>
      <c r="O24" s="17" t="str">
        <f>IF($B24="","",IF(SUMPRODUCT(MAX(('Nhật ký bảo trì'!$E$6:$E$405=$B24)*('Nhật ký bảo trì'!$Q$6:$Q$405="Hoàn thành")*'Nhật ký bảo trì'!$B$6:$B$405))=0,"",SUMPRODUCT(MAX(('Nhật ký bảo trì'!$E$6:$E$405=$B24)*('Nhật ký bảo trì'!$Q$6:$Q$405="Hoàn thành")*'Nhật ký bảo trì'!$B$6:$B$405))))</f>
        <v/>
      </c>
      <c r="P24" s="17" t="str">
        <f>IF($B24="","",IF(SUMPRODUCT(MIN(('Kế hoạch định kỳ'!$C$6:$C$125=$B24)*'Kế hoạch định kỳ'!$W$6:$W$125+('Kế hoạch định kỳ'!$C$6:$C$125&lt;&gt;$B24)*99999))&gt;=99999,"",SUMPRODUCT(MIN(('Kế hoạch định kỳ'!$C$6:$C$125=$B24)*'Kế hoạch định kỳ'!$W$6:$W$125+('Kế hoạch định kỳ'!$C$6:$C$125&lt;&gt;$B24)*99999))))</f>
        <v/>
      </c>
      <c r="Q24" s="10" t="str">
        <f>IF($P24="","",$P24-'Tổng quan'!$B$11)</f>
        <v/>
      </c>
      <c r="R24" s="10" t="str">
        <f>IF($B24="","",IF($J24="Ngừng sử dụng","Ngừng sử dụng",IF($P24="","Chưa có kế hoạch",IF($P24&lt;'Tổng quan'!$B$11,"Có việc quá hạn",IF($P24-'Tổng quan'!$B$11&lt;='Cài đặt'!$B$102,"Sắp đến hạn","Trong hạn")))))</f>
        <v/>
      </c>
      <c r="S24" s="10" t="str">
        <f>IF($B24="","",COUNTIFS('Nhật ký bảo trì'!$E$6:$E$405,$B24,'Nhật ký bảo trì'!$C$6:$C$405,"Sửa chữa sự cố",'Nhật ký bảo trì'!$B$6:$B$405,"&gt;="&amp;DATE('Tổng quan'!$B$6,1,1),'Nhật ký bảo trì'!$B$6:$B$405,"&lt;="&amp;DATE('Tổng quan'!$B$6,12,31)))</f>
        <v/>
      </c>
      <c r="T24" s="22" t="str">
        <f>IF($B24="","",SUMIFS('Nhật ký bảo trì'!$K$6:$K$405,'Nhật ký bảo trì'!$E$6:$E$405,$B24,'Nhật ký bảo trì'!$B$6:$B$405,"&gt;="&amp;DATE('Tổng quan'!$B$6,1,1),'Nhật ký bảo trì'!$B$6:$B$405,"&lt;="&amp;DATE('Tổng quan'!$B$6,12,31)))</f>
        <v/>
      </c>
      <c r="U24" s="22" t="str">
        <f>IF(OR($B24="",N($S24)=0),"",SUMIFS('Nhật ký bảo trì'!$J$6:$J$405,'Nhật ký bảo trì'!$E$6:$E$405,$B24,'Nhật ký bảo trì'!$C$6:$C$405,"Sửa chữa sự cố",'Nhật ký bảo trì'!$B$6:$B$405,"&gt;="&amp;DATE('Tổng quan'!$B$6,1,1),'Nhật ký bảo trì'!$B$6:$B$405,"&lt;="&amp;DATE('Tổng quan'!$B$6,12,31))/$S24)</f>
        <v/>
      </c>
      <c r="V24" s="21" t="str">
        <f>IF($B24="","",SUMIFS('Nhật ký bảo trì'!$O$6:$O$405,'Nhật ký bảo trì'!$E$6:$E$405,$B24,'Nhật ký bảo trì'!$B$6:$B$405,"&gt;="&amp;DATE('Tổng quan'!$B$6,1,1),'Nhật ký bảo trì'!$B$6:$B$405,"&lt;="&amp;DATE('Tổng quan'!$B$6,12,31)))</f>
        <v/>
      </c>
      <c r="W24" s="10" t="str">
        <f>IF(OR($B24="",$K24=""),"",IF($K24&lt;'Tổng quan'!$B$11,"Hết bảo hành",IF($K24-'Tổng quan'!$B$11&lt;='Cài đặt'!$B$103,"Sắp hết BH ("&amp;($K24-'Tổng quan'!$B$11)&amp;" ngày)","Còn bảo hành")))</f>
        <v/>
      </c>
      <c r="X24" s="12"/>
    </row>
    <row r="25" ht="24.0" customHeight="1">
      <c r="A25" s="26" t="str">
        <f t="shared" si="1"/>
        <v/>
      </c>
      <c r="B25" s="27"/>
      <c r="C25" s="31"/>
      <c r="D25" s="31"/>
      <c r="E25" s="31"/>
      <c r="F25" s="31"/>
      <c r="G25" s="31"/>
      <c r="H25" s="32"/>
      <c r="I25" s="27"/>
      <c r="J25" s="27"/>
      <c r="K25" s="32"/>
      <c r="L25" s="31"/>
      <c r="M25" s="31"/>
      <c r="N25" s="26" t="str">
        <f>IF($B25="","",COUNTIF('Kế hoạch định kỳ'!$C$6:$C$125,$B25))</f>
        <v/>
      </c>
      <c r="O25" s="33" t="str">
        <f>IF($B25="","",IF(SUMPRODUCT(MAX(('Nhật ký bảo trì'!$E$6:$E$405=$B25)*('Nhật ký bảo trì'!$Q$6:$Q$405="Hoàn thành")*'Nhật ký bảo trì'!$B$6:$B$405))=0,"",SUMPRODUCT(MAX(('Nhật ký bảo trì'!$E$6:$E$405=$B25)*('Nhật ký bảo trì'!$Q$6:$Q$405="Hoàn thành")*'Nhật ký bảo trì'!$B$6:$B$405))))</f>
        <v/>
      </c>
      <c r="P25" s="33" t="str">
        <f>IF($B25="","",IF(SUMPRODUCT(MIN(('Kế hoạch định kỳ'!$C$6:$C$125=$B25)*'Kế hoạch định kỳ'!$W$6:$W$125+('Kế hoạch định kỳ'!$C$6:$C$125&lt;&gt;$B25)*99999))&gt;=99999,"",SUMPRODUCT(MIN(('Kế hoạch định kỳ'!$C$6:$C$125=$B25)*'Kế hoạch định kỳ'!$W$6:$W$125+('Kế hoạch định kỳ'!$C$6:$C$125&lt;&gt;$B25)*99999))))</f>
        <v/>
      </c>
      <c r="Q25" s="26" t="str">
        <f>IF($P25="","",$P25-'Tổng quan'!$B$11)</f>
        <v/>
      </c>
      <c r="R25" s="26" t="str">
        <f>IF($B25="","",IF($J25="Ngừng sử dụng","Ngừng sử dụng",IF($P25="","Chưa có kế hoạch",IF($P25&lt;'Tổng quan'!$B$11,"Có việc quá hạn",IF($P25-'Tổng quan'!$B$11&lt;='Cài đặt'!$B$102,"Sắp đến hạn","Trong hạn")))))</f>
        <v/>
      </c>
      <c r="S25" s="26" t="str">
        <f>IF($B25="","",COUNTIFS('Nhật ký bảo trì'!$E$6:$E$405,$B25,'Nhật ký bảo trì'!$C$6:$C$405,"Sửa chữa sự cố",'Nhật ký bảo trì'!$B$6:$B$405,"&gt;="&amp;DATE('Tổng quan'!$B$6,1,1),'Nhật ký bảo trì'!$B$6:$B$405,"&lt;="&amp;DATE('Tổng quan'!$B$6,12,31)))</f>
        <v/>
      </c>
      <c r="T25" s="39" t="str">
        <f>IF($B25="","",SUMIFS('Nhật ký bảo trì'!$K$6:$K$405,'Nhật ký bảo trì'!$E$6:$E$405,$B25,'Nhật ký bảo trì'!$B$6:$B$405,"&gt;="&amp;DATE('Tổng quan'!$B$6,1,1),'Nhật ký bảo trì'!$B$6:$B$405,"&lt;="&amp;DATE('Tổng quan'!$B$6,12,31)))</f>
        <v/>
      </c>
      <c r="U25" s="39" t="str">
        <f>IF(OR($B25="",N($S25)=0),"",SUMIFS('Nhật ký bảo trì'!$J$6:$J$405,'Nhật ký bảo trì'!$E$6:$E$405,$B25,'Nhật ký bảo trì'!$C$6:$C$405,"Sửa chữa sự cố",'Nhật ký bảo trì'!$B$6:$B$405,"&gt;="&amp;DATE('Tổng quan'!$B$6,1,1),'Nhật ký bảo trì'!$B$6:$B$405,"&lt;="&amp;DATE('Tổng quan'!$B$6,12,31))/$S25)</f>
        <v/>
      </c>
      <c r="V25" s="36" t="str">
        <f>IF($B25="","",SUMIFS('Nhật ký bảo trì'!$O$6:$O$405,'Nhật ký bảo trì'!$E$6:$E$405,$B25,'Nhật ký bảo trì'!$B$6:$B$405,"&gt;="&amp;DATE('Tổng quan'!$B$6,1,1),'Nhật ký bảo trì'!$B$6:$B$405,"&lt;="&amp;DATE('Tổng quan'!$B$6,12,31)))</f>
        <v/>
      </c>
      <c r="W25" s="26" t="str">
        <f>IF(OR($B25="",$K25=""),"",IF($K25&lt;'Tổng quan'!$B$11,"Hết bảo hành",IF($K25-'Tổng quan'!$B$11&lt;='Cài đặt'!$B$103,"Sắp hết BH ("&amp;($K25-'Tổng quan'!$B$11)&amp;" ngày)","Còn bảo hành")))</f>
        <v/>
      </c>
      <c r="X25" s="31"/>
    </row>
    <row r="26" ht="24.0" customHeight="1">
      <c r="A26" s="10" t="str">
        <f t="shared" si="1"/>
        <v/>
      </c>
      <c r="B26" s="11"/>
      <c r="C26" s="12"/>
      <c r="D26" s="12"/>
      <c r="E26" s="12"/>
      <c r="F26" s="12"/>
      <c r="G26" s="12"/>
      <c r="H26" s="13"/>
      <c r="I26" s="11"/>
      <c r="J26" s="11"/>
      <c r="K26" s="13"/>
      <c r="L26" s="12"/>
      <c r="M26" s="12"/>
      <c r="N26" s="10" t="str">
        <f>IF($B26="","",COUNTIF('Kế hoạch định kỳ'!$C$6:$C$125,$B26))</f>
        <v/>
      </c>
      <c r="O26" s="17" t="str">
        <f>IF($B26="","",IF(SUMPRODUCT(MAX(('Nhật ký bảo trì'!$E$6:$E$405=$B26)*('Nhật ký bảo trì'!$Q$6:$Q$405="Hoàn thành")*'Nhật ký bảo trì'!$B$6:$B$405))=0,"",SUMPRODUCT(MAX(('Nhật ký bảo trì'!$E$6:$E$405=$B26)*('Nhật ký bảo trì'!$Q$6:$Q$405="Hoàn thành")*'Nhật ký bảo trì'!$B$6:$B$405))))</f>
        <v/>
      </c>
      <c r="P26" s="17" t="str">
        <f>IF($B26="","",IF(SUMPRODUCT(MIN(('Kế hoạch định kỳ'!$C$6:$C$125=$B26)*'Kế hoạch định kỳ'!$W$6:$W$125+('Kế hoạch định kỳ'!$C$6:$C$125&lt;&gt;$B26)*99999))&gt;=99999,"",SUMPRODUCT(MIN(('Kế hoạch định kỳ'!$C$6:$C$125=$B26)*'Kế hoạch định kỳ'!$W$6:$W$125+('Kế hoạch định kỳ'!$C$6:$C$125&lt;&gt;$B26)*99999))))</f>
        <v/>
      </c>
      <c r="Q26" s="10" t="str">
        <f>IF($P26="","",$P26-'Tổng quan'!$B$11)</f>
        <v/>
      </c>
      <c r="R26" s="10" t="str">
        <f>IF($B26="","",IF($J26="Ngừng sử dụng","Ngừng sử dụng",IF($P26="","Chưa có kế hoạch",IF($P26&lt;'Tổng quan'!$B$11,"Có việc quá hạn",IF($P26-'Tổng quan'!$B$11&lt;='Cài đặt'!$B$102,"Sắp đến hạn","Trong hạn")))))</f>
        <v/>
      </c>
      <c r="S26" s="10" t="str">
        <f>IF($B26="","",COUNTIFS('Nhật ký bảo trì'!$E$6:$E$405,$B26,'Nhật ký bảo trì'!$C$6:$C$405,"Sửa chữa sự cố",'Nhật ký bảo trì'!$B$6:$B$405,"&gt;="&amp;DATE('Tổng quan'!$B$6,1,1),'Nhật ký bảo trì'!$B$6:$B$405,"&lt;="&amp;DATE('Tổng quan'!$B$6,12,31)))</f>
        <v/>
      </c>
      <c r="T26" s="22" t="str">
        <f>IF($B26="","",SUMIFS('Nhật ký bảo trì'!$K$6:$K$405,'Nhật ký bảo trì'!$E$6:$E$405,$B26,'Nhật ký bảo trì'!$B$6:$B$405,"&gt;="&amp;DATE('Tổng quan'!$B$6,1,1),'Nhật ký bảo trì'!$B$6:$B$405,"&lt;="&amp;DATE('Tổng quan'!$B$6,12,31)))</f>
        <v/>
      </c>
      <c r="U26" s="22" t="str">
        <f>IF(OR($B26="",N($S26)=0),"",SUMIFS('Nhật ký bảo trì'!$J$6:$J$405,'Nhật ký bảo trì'!$E$6:$E$405,$B26,'Nhật ký bảo trì'!$C$6:$C$405,"Sửa chữa sự cố",'Nhật ký bảo trì'!$B$6:$B$405,"&gt;="&amp;DATE('Tổng quan'!$B$6,1,1),'Nhật ký bảo trì'!$B$6:$B$405,"&lt;="&amp;DATE('Tổng quan'!$B$6,12,31))/$S26)</f>
        <v/>
      </c>
      <c r="V26" s="21" t="str">
        <f>IF($B26="","",SUMIFS('Nhật ký bảo trì'!$O$6:$O$405,'Nhật ký bảo trì'!$E$6:$E$405,$B26,'Nhật ký bảo trì'!$B$6:$B$405,"&gt;="&amp;DATE('Tổng quan'!$B$6,1,1),'Nhật ký bảo trì'!$B$6:$B$405,"&lt;="&amp;DATE('Tổng quan'!$B$6,12,31)))</f>
        <v/>
      </c>
      <c r="W26" s="10" t="str">
        <f>IF(OR($B26="",$K26=""),"",IF($K26&lt;'Tổng quan'!$B$11,"Hết bảo hành",IF($K26-'Tổng quan'!$B$11&lt;='Cài đặt'!$B$103,"Sắp hết BH ("&amp;($K26-'Tổng quan'!$B$11)&amp;" ngày)","Còn bảo hành")))</f>
        <v/>
      </c>
      <c r="X26" s="12"/>
    </row>
    <row r="27" ht="24.0" customHeight="1">
      <c r="A27" s="26" t="str">
        <f t="shared" si="1"/>
        <v/>
      </c>
      <c r="B27" s="27"/>
      <c r="C27" s="31"/>
      <c r="D27" s="31"/>
      <c r="E27" s="31"/>
      <c r="F27" s="31"/>
      <c r="G27" s="31"/>
      <c r="H27" s="32"/>
      <c r="I27" s="27"/>
      <c r="J27" s="27"/>
      <c r="K27" s="32"/>
      <c r="L27" s="31"/>
      <c r="M27" s="31"/>
      <c r="N27" s="26" t="str">
        <f>IF($B27="","",COUNTIF('Kế hoạch định kỳ'!$C$6:$C$125,$B27))</f>
        <v/>
      </c>
      <c r="O27" s="33" t="str">
        <f>IF($B27="","",IF(SUMPRODUCT(MAX(('Nhật ký bảo trì'!$E$6:$E$405=$B27)*('Nhật ký bảo trì'!$Q$6:$Q$405="Hoàn thành")*'Nhật ký bảo trì'!$B$6:$B$405))=0,"",SUMPRODUCT(MAX(('Nhật ký bảo trì'!$E$6:$E$405=$B27)*('Nhật ký bảo trì'!$Q$6:$Q$405="Hoàn thành")*'Nhật ký bảo trì'!$B$6:$B$405))))</f>
        <v/>
      </c>
      <c r="P27" s="33" t="str">
        <f>IF($B27="","",IF(SUMPRODUCT(MIN(('Kế hoạch định kỳ'!$C$6:$C$125=$B27)*'Kế hoạch định kỳ'!$W$6:$W$125+('Kế hoạch định kỳ'!$C$6:$C$125&lt;&gt;$B27)*99999))&gt;=99999,"",SUMPRODUCT(MIN(('Kế hoạch định kỳ'!$C$6:$C$125=$B27)*'Kế hoạch định kỳ'!$W$6:$W$125+('Kế hoạch định kỳ'!$C$6:$C$125&lt;&gt;$B27)*99999))))</f>
        <v/>
      </c>
      <c r="Q27" s="26" t="str">
        <f>IF($P27="","",$P27-'Tổng quan'!$B$11)</f>
        <v/>
      </c>
      <c r="R27" s="26" t="str">
        <f>IF($B27="","",IF($J27="Ngừng sử dụng","Ngừng sử dụng",IF($P27="","Chưa có kế hoạch",IF($P27&lt;'Tổng quan'!$B$11,"Có việc quá hạn",IF($P27-'Tổng quan'!$B$11&lt;='Cài đặt'!$B$102,"Sắp đến hạn","Trong hạn")))))</f>
        <v/>
      </c>
      <c r="S27" s="26" t="str">
        <f>IF($B27="","",COUNTIFS('Nhật ký bảo trì'!$E$6:$E$405,$B27,'Nhật ký bảo trì'!$C$6:$C$405,"Sửa chữa sự cố",'Nhật ký bảo trì'!$B$6:$B$405,"&gt;="&amp;DATE('Tổng quan'!$B$6,1,1),'Nhật ký bảo trì'!$B$6:$B$405,"&lt;="&amp;DATE('Tổng quan'!$B$6,12,31)))</f>
        <v/>
      </c>
      <c r="T27" s="39" t="str">
        <f>IF($B27="","",SUMIFS('Nhật ký bảo trì'!$K$6:$K$405,'Nhật ký bảo trì'!$E$6:$E$405,$B27,'Nhật ký bảo trì'!$B$6:$B$405,"&gt;="&amp;DATE('Tổng quan'!$B$6,1,1),'Nhật ký bảo trì'!$B$6:$B$405,"&lt;="&amp;DATE('Tổng quan'!$B$6,12,31)))</f>
        <v/>
      </c>
      <c r="U27" s="39" t="str">
        <f>IF(OR($B27="",N($S27)=0),"",SUMIFS('Nhật ký bảo trì'!$J$6:$J$405,'Nhật ký bảo trì'!$E$6:$E$405,$B27,'Nhật ký bảo trì'!$C$6:$C$405,"Sửa chữa sự cố",'Nhật ký bảo trì'!$B$6:$B$405,"&gt;="&amp;DATE('Tổng quan'!$B$6,1,1),'Nhật ký bảo trì'!$B$6:$B$405,"&lt;="&amp;DATE('Tổng quan'!$B$6,12,31))/$S27)</f>
        <v/>
      </c>
      <c r="V27" s="36" t="str">
        <f>IF($B27="","",SUMIFS('Nhật ký bảo trì'!$O$6:$O$405,'Nhật ký bảo trì'!$E$6:$E$405,$B27,'Nhật ký bảo trì'!$B$6:$B$405,"&gt;="&amp;DATE('Tổng quan'!$B$6,1,1),'Nhật ký bảo trì'!$B$6:$B$405,"&lt;="&amp;DATE('Tổng quan'!$B$6,12,31)))</f>
        <v/>
      </c>
      <c r="W27" s="26" t="str">
        <f>IF(OR($B27="",$K27=""),"",IF($K27&lt;'Tổng quan'!$B$11,"Hết bảo hành",IF($K27-'Tổng quan'!$B$11&lt;='Cài đặt'!$B$103,"Sắp hết BH ("&amp;($K27-'Tổng quan'!$B$11)&amp;" ngày)","Còn bảo hành")))</f>
        <v/>
      </c>
      <c r="X27" s="31"/>
    </row>
    <row r="28" ht="24.0" customHeight="1">
      <c r="A28" s="10" t="str">
        <f t="shared" si="1"/>
        <v/>
      </c>
      <c r="B28" s="11"/>
      <c r="C28" s="12"/>
      <c r="D28" s="12"/>
      <c r="E28" s="12"/>
      <c r="F28" s="12"/>
      <c r="G28" s="12"/>
      <c r="H28" s="13"/>
      <c r="I28" s="11"/>
      <c r="J28" s="11"/>
      <c r="K28" s="13"/>
      <c r="L28" s="12"/>
      <c r="M28" s="12"/>
      <c r="N28" s="10" t="str">
        <f>IF($B28="","",COUNTIF('Kế hoạch định kỳ'!$C$6:$C$125,$B28))</f>
        <v/>
      </c>
      <c r="O28" s="17" t="str">
        <f>IF($B28="","",IF(SUMPRODUCT(MAX(('Nhật ký bảo trì'!$E$6:$E$405=$B28)*('Nhật ký bảo trì'!$Q$6:$Q$405="Hoàn thành")*'Nhật ký bảo trì'!$B$6:$B$405))=0,"",SUMPRODUCT(MAX(('Nhật ký bảo trì'!$E$6:$E$405=$B28)*('Nhật ký bảo trì'!$Q$6:$Q$405="Hoàn thành")*'Nhật ký bảo trì'!$B$6:$B$405))))</f>
        <v/>
      </c>
      <c r="P28" s="17" t="str">
        <f>IF($B28="","",IF(SUMPRODUCT(MIN(('Kế hoạch định kỳ'!$C$6:$C$125=$B28)*'Kế hoạch định kỳ'!$W$6:$W$125+('Kế hoạch định kỳ'!$C$6:$C$125&lt;&gt;$B28)*99999))&gt;=99999,"",SUMPRODUCT(MIN(('Kế hoạch định kỳ'!$C$6:$C$125=$B28)*'Kế hoạch định kỳ'!$W$6:$W$125+('Kế hoạch định kỳ'!$C$6:$C$125&lt;&gt;$B28)*99999))))</f>
        <v/>
      </c>
      <c r="Q28" s="10" t="str">
        <f>IF($P28="","",$P28-'Tổng quan'!$B$11)</f>
        <v/>
      </c>
      <c r="R28" s="10" t="str">
        <f>IF($B28="","",IF($J28="Ngừng sử dụng","Ngừng sử dụng",IF($P28="","Chưa có kế hoạch",IF($P28&lt;'Tổng quan'!$B$11,"Có việc quá hạn",IF($P28-'Tổng quan'!$B$11&lt;='Cài đặt'!$B$102,"Sắp đến hạn","Trong hạn")))))</f>
        <v/>
      </c>
      <c r="S28" s="10" t="str">
        <f>IF($B28="","",COUNTIFS('Nhật ký bảo trì'!$E$6:$E$405,$B28,'Nhật ký bảo trì'!$C$6:$C$405,"Sửa chữa sự cố",'Nhật ký bảo trì'!$B$6:$B$405,"&gt;="&amp;DATE('Tổng quan'!$B$6,1,1),'Nhật ký bảo trì'!$B$6:$B$405,"&lt;="&amp;DATE('Tổng quan'!$B$6,12,31)))</f>
        <v/>
      </c>
      <c r="T28" s="22" t="str">
        <f>IF($B28="","",SUMIFS('Nhật ký bảo trì'!$K$6:$K$405,'Nhật ký bảo trì'!$E$6:$E$405,$B28,'Nhật ký bảo trì'!$B$6:$B$405,"&gt;="&amp;DATE('Tổng quan'!$B$6,1,1),'Nhật ký bảo trì'!$B$6:$B$405,"&lt;="&amp;DATE('Tổng quan'!$B$6,12,31)))</f>
        <v/>
      </c>
      <c r="U28" s="22" t="str">
        <f>IF(OR($B28="",N($S28)=0),"",SUMIFS('Nhật ký bảo trì'!$J$6:$J$405,'Nhật ký bảo trì'!$E$6:$E$405,$B28,'Nhật ký bảo trì'!$C$6:$C$405,"Sửa chữa sự cố",'Nhật ký bảo trì'!$B$6:$B$405,"&gt;="&amp;DATE('Tổng quan'!$B$6,1,1),'Nhật ký bảo trì'!$B$6:$B$405,"&lt;="&amp;DATE('Tổng quan'!$B$6,12,31))/$S28)</f>
        <v/>
      </c>
      <c r="V28" s="21" t="str">
        <f>IF($B28="","",SUMIFS('Nhật ký bảo trì'!$O$6:$O$405,'Nhật ký bảo trì'!$E$6:$E$405,$B28,'Nhật ký bảo trì'!$B$6:$B$405,"&gt;="&amp;DATE('Tổng quan'!$B$6,1,1),'Nhật ký bảo trì'!$B$6:$B$405,"&lt;="&amp;DATE('Tổng quan'!$B$6,12,31)))</f>
        <v/>
      </c>
      <c r="W28" s="10" t="str">
        <f>IF(OR($B28="",$K28=""),"",IF($K28&lt;'Tổng quan'!$B$11,"Hết bảo hành",IF($K28-'Tổng quan'!$B$11&lt;='Cài đặt'!$B$103,"Sắp hết BH ("&amp;($K28-'Tổng quan'!$B$11)&amp;" ngày)","Còn bảo hành")))</f>
        <v/>
      </c>
      <c r="X28" s="12"/>
    </row>
    <row r="29" ht="24.0" customHeight="1">
      <c r="A29" s="26" t="str">
        <f t="shared" si="1"/>
        <v/>
      </c>
      <c r="B29" s="27"/>
      <c r="C29" s="31"/>
      <c r="D29" s="31"/>
      <c r="E29" s="31"/>
      <c r="F29" s="31"/>
      <c r="G29" s="31"/>
      <c r="H29" s="32"/>
      <c r="I29" s="27"/>
      <c r="J29" s="27"/>
      <c r="K29" s="32"/>
      <c r="L29" s="31"/>
      <c r="M29" s="31"/>
      <c r="N29" s="26" t="str">
        <f>IF($B29="","",COUNTIF('Kế hoạch định kỳ'!$C$6:$C$125,$B29))</f>
        <v/>
      </c>
      <c r="O29" s="33" t="str">
        <f>IF($B29="","",IF(SUMPRODUCT(MAX(('Nhật ký bảo trì'!$E$6:$E$405=$B29)*('Nhật ký bảo trì'!$Q$6:$Q$405="Hoàn thành")*'Nhật ký bảo trì'!$B$6:$B$405))=0,"",SUMPRODUCT(MAX(('Nhật ký bảo trì'!$E$6:$E$405=$B29)*('Nhật ký bảo trì'!$Q$6:$Q$405="Hoàn thành")*'Nhật ký bảo trì'!$B$6:$B$405))))</f>
        <v/>
      </c>
      <c r="P29" s="33" t="str">
        <f>IF($B29="","",IF(SUMPRODUCT(MIN(('Kế hoạch định kỳ'!$C$6:$C$125=$B29)*'Kế hoạch định kỳ'!$W$6:$W$125+('Kế hoạch định kỳ'!$C$6:$C$125&lt;&gt;$B29)*99999))&gt;=99999,"",SUMPRODUCT(MIN(('Kế hoạch định kỳ'!$C$6:$C$125=$B29)*'Kế hoạch định kỳ'!$W$6:$W$125+('Kế hoạch định kỳ'!$C$6:$C$125&lt;&gt;$B29)*99999))))</f>
        <v/>
      </c>
      <c r="Q29" s="26" t="str">
        <f>IF($P29="","",$P29-'Tổng quan'!$B$11)</f>
        <v/>
      </c>
      <c r="R29" s="26" t="str">
        <f>IF($B29="","",IF($J29="Ngừng sử dụng","Ngừng sử dụng",IF($P29="","Chưa có kế hoạch",IF($P29&lt;'Tổng quan'!$B$11,"Có việc quá hạn",IF($P29-'Tổng quan'!$B$11&lt;='Cài đặt'!$B$102,"Sắp đến hạn","Trong hạn")))))</f>
        <v/>
      </c>
      <c r="S29" s="26" t="str">
        <f>IF($B29="","",COUNTIFS('Nhật ký bảo trì'!$E$6:$E$405,$B29,'Nhật ký bảo trì'!$C$6:$C$405,"Sửa chữa sự cố",'Nhật ký bảo trì'!$B$6:$B$405,"&gt;="&amp;DATE('Tổng quan'!$B$6,1,1),'Nhật ký bảo trì'!$B$6:$B$405,"&lt;="&amp;DATE('Tổng quan'!$B$6,12,31)))</f>
        <v/>
      </c>
      <c r="T29" s="39" t="str">
        <f>IF($B29="","",SUMIFS('Nhật ký bảo trì'!$K$6:$K$405,'Nhật ký bảo trì'!$E$6:$E$405,$B29,'Nhật ký bảo trì'!$B$6:$B$405,"&gt;="&amp;DATE('Tổng quan'!$B$6,1,1),'Nhật ký bảo trì'!$B$6:$B$405,"&lt;="&amp;DATE('Tổng quan'!$B$6,12,31)))</f>
        <v/>
      </c>
      <c r="U29" s="39" t="str">
        <f>IF(OR($B29="",N($S29)=0),"",SUMIFS('Nhật ký bảo trì'!$J$6:$J$405,'Nhật ký bảo trì'!$E$6:$E$405,$B29,'Nhật ký bảo trì'!$C$6:$C$405,"Sửa chữa sự cố",'Nhật ký bảo trì'!$B$6:$B$405,"&gt;="&amp;DATE('Tổng quan'!$B$6,1,1),'Nhật ký bảo trì'!$B$6:$B$405,"&lt;="&amp;DATE('Tổng quan'!$B$6,12,31))/$S29)</f>
        <v/>
      </c>
      <c r="V29" s="36" t="str">
        <f>IF($B29="","",SUMIFS('Nhật ký bảo trì'!$O$6:$O$405,'Nhật ký bảo trì'!$E$6:$E$405,$B29,'Nhật ký bảo trì'!$B$6:$B$405,"&gt;="&amp;DATE('Tổng quan'!$B$6,1,1),'Nhật ký bảo trì'!$B$6:$B$405,"&lt;="&amp;DATE('Tổng quan'!$B$6,12,31)))</f>
        <v/>
      </c>
      <c r="W29" s="26" t="str">
        <f>IF(OR($B29="",$K29=""),"",IF($K29&lt;'Tổng quan'!$B$11,"Hết bảo hành",IF($K29-'Tổng quan'!$B$11&lt;='Cài đặt'!$B$103,"Sắp hết BH ("&amp;($K29-'Tổng quan'!$B$11)&amp;" ngày)","Còn bảo hành")))</f>
        <v/>
      </c>
      <c r="X29" s="31"/>
    </row>
    <row r="30" ht="24.0" customHeight="1">
      <c r="A30" s="10" t="str">
        <f t="shared" si="1"/>
        <v/>
      </c>
      <c r="B30" s="11"/>
      <c r="C30" s="12"/>
      <c r="D30" s="12"/>
      <c r="E30" s="12"/>
      <c r="F30" s="12"/>
      <c r="G30" s="12"/>
      <c r="H30" s="13"/>
      <c r="I30" s="11"/>
      <c r="J30" s="11"/>
      <c r="K30" s="13"/>
      <c r="L30" s="12"/>
      <c r="M30" s="12"/>
      <c r="N30" s="10" t="str">
        <f>IF($B30="","",COUNTIF('Kế hoạch định kỳ'!$C$6:$C$125,$B30))</f>
        <v/>
      </c>
      <c r="O30" s="17" t="str">
        <f>IF($B30="","",IF(SUMPRODUCT(MAX(('Nhật ký bảo trì'!$E$6:$E$405=$B30)*('Nhật ký bảo trì'!$Q$6:$Q$405="Hoàn thành")*'Nhật ký bảo trì'!$B$6:$B$405))=0,"",SUMPRODUCT(MAX(('Nhật ký bảo trì'!$E$6:$E$405=$B30)*('Nhật ký bảo trì'!$Q$6:$Q$405="Hoàn thành")*'Nhật ký bảo trì'!$B$6:$B$405))))</f>
        <v/>
      </c>
      <c r="P30" s="17" t="str">
        <f>IF($B30="","",IF(SUMPRODUCT(MIN(('Kế hoạch định kỳ'!$C$6:$C$125=$B30)*'Kế hoạch định kỳ'!$W$6:$W$125+('Kế hoạch định kỳ'!$C$6:$C$125&lt;&gt;$B30)*99999))&gt;=99999,"",SUMPRODUCT(MIN(('Kế hoạch định kỳ'!$C$6:$C$125=$B30)*'Kế hoạch định kỳ'!$W$6:$W$125+('Kế hoạch định kỳ'!$C$6:$C$125&lt;&gt;$B30)*99999))))</f>
        <v/>
      </c>
      <c r="Q30" s="10" t="str">
        <f>IF($P30="","",$P30-'Tổng quan'!$B$11)</f>
        <v/>
      </c>
      <c r="R30" s="10" t="str">
        <f>IF($B30="","",IF($J30="Ngừng sử dụng","Ngừng sử dụng",IF($P30="","Chưa có kế hoạch",IF($P30&lt;'Tổng quan'!$B$11,"Có việc quá hạn",IF($P30-'Tổng quan'!$B$11&lt;='Cài đặt'!$B$102,"Sắp đến hạn","Trong hạn")))))</f>
        <v/>
      </c>
      <c r="S30" s="10" t="str">
        <f>IF($B30="","",COUNTIFS('Nhật ký bảo trì'!$E$6:$E$405,$B30,'Nhật ký bảo trì'!$C$6:$C$405,"Sửa chữa sự cố",'Nhật ký bảo trì'!$B$6:$B$405,"&gt;="&amp;DATE('Tổng quan'!$B$6,1,1),'Nhật ký bảo trì'!$B$6:$B$405,"&lt;="&amp;DATE('Tổng quan'!$B$6,12,31)))</f>
        <v/>
      </c>
      <c r="T30" s="22" t="str">
        <f>IF($B30="","",SUMIFS('Nhật ký bảo trì'!$K$6:$K$405,'Nhật ký bảo trì'!$E$6:$E$405,$B30,'Nhật ký bảo trì'!$B$6:$B$405,"&gt;="&amp;DATE('Tổng quan'!$B$6,1,1),'Nhật ký bảo trì'!$B$6:$B$405,"&lt;="&amp;DATE('Tổng quan'!$B$6,12,31)))</f>
        <v/>
      </c>
      <c r="U30" s="22" t="str">
        <f>IF(OR($B30="",N($S30)=0),"",SUMIFS('Nhật ký bảo trì'!$J$6:$J$405,'Nhật ký bảo trì'!$E$6:$E$405,$B30,'Nhật ký bảo trì'!$C$6:$C$405,"Sửa chữa sự cố",'Nhật ký bảo trì'!$B$6:$B$405,"&gt;="&amp;DATE('Tổng quan'!$B$6,1,1),'Nhật ký bảo trì'!$B$6:$B$405,"&lt;="&amp;DATE('Tổng quan'!$B$6,12,31))/$S30)</f>
        <v/>
      </c>
      <c r="V30" s="21" t="str">
        <f>IF($B30="","",SUMIFS('Nhật ký bảo trì'!$O$6:$O$405,'Nhật ký bảo trì'!$E$6:$E$405,$B30,'Nhật ký bảo trì'!$B$6:$B$405,"&gt;="&amp;DATE('Tổng quan'!$B$6,1,1),'Nhật ký bảo trì'!$B$6:$B$405,"&lt;="&amp;DATE('Tổng quan'!$B$6,12,31)))</f>
        <v/>
      </c>
      <c r="W30" s="10" t="str">
        <f>IF(OR($B30="",$K30=""),"",IF($K30&lt;'Tổng quan'!$B$11,"Hết bảo hành",IF($K30-'Tổng quan'!$B$11&lt;='Cài đặt'!$B$103,"Sắp hết BH ("&amp;($K30-'Tổng quan'!$B$11)&amp;" ngày)","Còn bảo hành")))</f>
        <v/>
      </c>
      <c r="X30" s="12"/>
    </row>
    <row r="31" ht="24.0" customHeight="1">
      <c r="A31" s="26" t="str">
        <f t="shared" si="1"/>
        <v/>
      </c>
      <c r="B31" s="27"/>
      <c r="C31" s="31"/>
      <c r="D31" s="31"/>
      <c r="E31" s="31"/>
      <c r="F31" s="31"/>
      <c r="G31" s="31"/>
      <c r="H31" s="32"/>
      <c r="I31" s="27"/>
      <c r="J31" s="27"/>
      <c r="K31" s="32"/>
      <c r="L31" s="31"/>
      <c r="M31" s="31"/>
      <c r="N31" s="26" t="str">
        <f>IF($B31="","",COUNTIF('Kế hoạch định kỳ'!$C$6:$C$125,$B31))</f>
        <v/>
      </c>
      <c r="O31" s="33" t="str">
        <f>IF($B31="","",IF(SUMPRODUCT(MAX(('Nhật ký bảo trì'!$E$6:$E$405=$B31)*('Nhật ký bảo trì'!$Q$6:$Q$405="Hoàn thành")*'Nhật ký bảo trì'!$B$6:$B$405))=0,"",SUMPRODUCT(MAX(('Nhật ký bảo trì'!$E$6:$E$405=$B31)*('Nhật ký bảo trì'!$Q$6:$Q$405="Hoàn thành")*'Nhật ký bảo trì'!$B$6:$B$405))))</f>
        <v/>
      </c>
      <c r="P31" s="33" t="str">
        <f>IF($B31="","",IF(SUMPRODUCT(MIN(('Kế hoạch định kỳ'!$C$6:$C$125=$B31)*'Kế hoạch định kỳ'!$W$6:$W$125+('Kế hoạch định kỳ'!$C$6:$C$125&lt;&gt;$B31)*99999))&gt;=99999,"",SUMPRODUCT(MIN(('Kế hoạch định kỳ'!$C$6:$C$125=$B31)*'Kế hoạch định kỳ'!$W$6:$W$125+('Kế hoạch định kỳ'!$C$6:$C$125&lt;&gt;$B31)*99999))))</f>
        <v/>
      </c>
      <c r="Q31" s="26" t="str">
        <f>IF($P31="","",$P31-'Tổng quan'!$B$11)</f>
        <v/>
      </c>
      <c r="R31" s="26" t="str">
        <f>IF($B31="","",IF($J31="Ngừng sử dụng","Ngừng sử dụng",IF($P31="","Chưa có kế hoạch",IF($P31&lt;'Tổng quan'!$B$11,"Có việc quá hạn",IF($P31-'Tổng quan'!$B$11&lt;='Cài đặt'!$B$102,"Sắp đến hạn","Trong hạn")))))</f>
        <v/>
      </c>
      <c r="S31" s="26" t="str">
        <f>IF($B31="","",COUNTIFS('Nhật ký bảo trì'!$E$6:$E$405,$B31,'Nhật ký bảo trì'!$C$6:$C$405,"Sửa chữa sự cố",'Nhật ký bảo trì'!$B$6:$B$405,"&gt;="&amp;DATE('Tổng quan'!$B$6,1,1),'Nhật ký bảo trì'!$B$6:$B$405,"&lt;="&amp;DATE('Tổng quan'!$B$6,12,31)))</f>
        <v/>
      </c>
      <c r="T31" s="39" t="str">
        <f>IF($B31="","",SUMIFS('Nhật ký bảo trì'!$K$6:$K$405,'Nhật ký bảo trì'!$E$6:$E$405,$B31,'Nhật ký bảo trì'!$B$6:$B$405,"&gt;="&amp;DATE('Tổng quan'!$B$6,1,1),'Nhật ký bảo trì'!$B$6:$B$405,"&lt;="&amp;DATE('Tổng quan'!$B$6,12,31)))</f>
        <v/>
      </c>
      <c r="U31" s="39" t="str">
        <f>IF(OR($B31="",N($S31)=0),"",SUMIFS('Nhật ký bảo trì'!$J$6:$J$405,'Nhật ký bảo trì'!$E$6:$E$405,$B31,'Nhật ký bảo trì'!$C$6:$C$405,"Sửa chữa sự cố",'Nhật ký bảo trì'!$B$6:$B$405,"&gt;="&amp;DATE('Tổng quan'!$B$6,1,1),'Nhật ký bảo trì'!$B$6:$B$405,"&lt;="&amp;DATE('Tổng quan'!$B$6,12,31))/$S31)</f>
        <v/>
      </c>
      <c r="V31" s="36" t="str">
        <f>IF($B31="","",SUMIFS('Nhật ký bảo trì'!$O$6:$O$405,'Nhật ký bảo trì'!$E$6:$E$405,$B31,'Nhật ký bảo trì'!$B$6:$B$405,"&gt;="&amp;DATE('Tổng quan'!$B$6,1,1),'Nhật ký bảo trì'!$B$6:$B$405,"&lt;="&amp;DATE('Tổng quan'!$B$6,12,31)))</f>
        <v/>
      </c>
      <c r="W31" s="26" t="str">
        <f>IF(OR($B31="",$K31=""),"",IF($K31&lt;'Tổng quan'!$B$11,"Hết bảo hành",IF($K31-'Tổng quan'!$B$11&lt;='Cài đặt'!$B$103,"Sắp hết BH ("&amp;($K31-'Tổng quan'!$B$11)&amp;" ngày)","Còn bảo hành")))</f>
        <v/>
      </c>
      <c r="X31" s="31"/>
    </row>
    <row r="32" ht="24.0" customHeight="1">
      <c r="A32" s="10" t="str">
        <f t="shared" si="1"/>
        <v/>
      </c>
      <c r="B32" s="11"/>
      <c r="C32" s="12"/>
      <c r="D32" s="12"/>
      <c r="E32" s="12"/>
      <c r="F32" s="12"/>
      <c r="G32" s="12"/>
      <c r="H32" s="13"/>
      <c r="I32" s="11"/>
      <c r="J32" s="11"/>
      <c r="K32" s="13"/>
      <c r="L32" s="12"/>
      <c r="M32" s="12"/>
      <c r="N32" s="10" t="str">
        <f>IF($B32="","",COUNTIF('Kế hoạch định kỳ'!$C$6:$C$125,$B32))</f>
        <v/>
      </c>
      <c r="O32" s="17" t="str">
        <f>IF($B32="","",IF(SUMPRODUCT(MAX(('Nhật ký bảo trì'!$E$6:$E$405=$B32)*('Nhật ký bảo trì'!$Q$6:$Q$405="Hoàn thành")*'Nhật ký bảo trì'!$B$6:$B$405))=0,"",SUMPRODUCT(MAX(('Nhật ký bảo trì'!$E$6:$E$405=$B32)*('Nhật ký bảo trì'!$Q$6:$Q$405="Hoàn thành")*'Nhật ký bảo trì'!$B$6:$B$405))))</f>
        <v/>
      </c>
      <c r="P32" s="17" t="str">
        <f>IF($B32="","",IF(SUMPRODUCT(MIN(('Kế hoạch định kỳ'!$C$6:$C$125=$B32)*'Kế hoạch định kỳ'!$W$6:$W$125+('Kế hoạch định kỳ'!$C$6:$C$125&lt;&gt;$B32)*99999))&gt;=99999,"",SUMPRODUCT(MIN(('Kế hoạch định kỳ'!$C$6:$C$125=$B32)*'Kế hoạch định kỳ'!$W$6:$W$125+('Kế hoạch định kỳ'!$C$6:$C$125&lt;&gt;$B32)*99999))))</f>
        <v/>
      </c>
      <c r="Q32" s="10" t="str">
        <f>IF($P32="","",$P32-'Tổng quan'!$B$11)</f>
        <v/>
      </c>
      <c r="R32" s="10" t="str">
        <f>IF($B32="","",IF($J32="Ngừng sử dụng","Ngừng sử dụng",IF($P32="","Chưa có kế hoạch",IF($P32&lt;'Tổng quan'!$B$11,"Có việc quá hạn",IF($P32-'Tổng quan'!$B$11&lt;='Cài đặt'!$B$102,"Sắp đến hạn","Trong hạn")))))</f>
        <v/>
      </c>
      <c r="S32" s="10" t="str">
        <f>IF($B32="","",COUNTIFS('Nhật ký bảo trì'!$E$6:$E$405,$B32,'Nhật ký bảo trì'!$C$6:$C$405,"Sửa chữa sự cố",'Nhật ký bảo trì'!$B$6:$B$405,"&gt;="&amp;DATE('Tổng quan'!$B$6,1,1),'Nhật ký bảo trì'!$B$6:$B$405,"&lt;="&amp;DATE('Tổng quan'!$B$6,12,31)))</f>
        <v/>
      </c>
      <c r="T32" s="22" t="str">
        <f>IF($B32="","",SUMIFS('Nhật ký bảo trì'!$K$6:$K$405,'Nhật ký bảo trì'!$E$6:$E$405,$B32,'Nhật ký bảo trì'!$B$6:$B$405,"&gt;="&amp;DATE('Tổng quan'!$B$6,1,1),'Nhật ký bảo trì'!$B$6:$B$405,"&lt;="&amp;DATE('Tổng quan'!$B$6,12,31)))</f>
        <v/>
      </c>
      <c r="U32" s="22" t="str">
        <f>IF(OR($B32="",N($S32)=0),"",SUMIFS('Nhật ký bảo trì'!$J$6:$J$405,'Nhật ký bảo trì'!$E$6:$E$405,$B32,'Nhật ký bảo trì'!$C$6:$C$405,"Sửa chữa sự cố",'Nhật ký bảo trì'!$B$6:$B$405,"&gt;="&amp;DATE('Tổng quan'!$B$6,1,1),'Nhật ký bảo trì'!$B$6:$B$405,"&lt;="&amp;DATE('Tổng quan'!$B$6,12,31))/$S32)</f>
        <v/>
      </c>
      <c r="V32" s="21" t="str">
        <f>IF($B32="","",SUMIFS('Nhật ký bảo trì'!$O$6:$O$405,'Nhật ký bảo trì'!$E$6:$E$405,$B32,'Nhật ký bảo trì'!$B$6:$B$405,"&gt;="&amp;DATE('Tổng quan'!$B$6,1,1),'Nhật ký bảo trì'!$B$6:$B$405,"&lt;="&amp;DATE('Tổng quan'!$B$6,12,31)))</f>
        <v/>
      </c>
      <c r="W32" s="10" t="str">
        <f>IF(OR($B32="",$K32=""),"",IF($K32&lt;'Tổng quan'!$B$11,"Hết bảo hành",IF($K32-'Tổng quan'!$B$11&lt;='Cài đặt'!$B$103,"Sắp hết BH ("&amp;($K32-'Tổng quan'!$B$11)&amp;" ngày)","Còn bảo hành")))</f>
        <v/>
      </c>
      <c r="X32" s="12"/>
    </row>
    <row r="33" ht="24.0" customHeight="1">
      <c r="A33" s="26" t="str">
        <f t="shared" si="1"/>
        <v/>
      </c>
      <c r="B33" s="27"/>
      <c r="C33" s="31"/>
      <c r="D33" s="31"/>
      <c r="E33" s="31"/>
      <c r="F33" s="31"/>
      <c r="G33" s="31"/>
      <c r="H33" s="32"/>
      <c r="I33" s="27"/>
      <c r="J33" s="27"/>
      <c r="K33" s="32"/>
      <c r="L33" s="31"/>
      <c r="M33" s="31"/>
      <c r="N33" s="26" t="str">
        <f>IF($B33="","",COUNTIF('Kế hoạch định kỳ'!$C$6:$C$125,$B33))</f>
        <v/>
      </c>
      <c r="O33" s="33" t="str">
        <f>IF($B33="","",IF(SUMPRODUCT(MAX(('Nhật ký bảo trì'!$E$6:$E$405=$B33)*('Nhật ký bảo trì'!$Q$6:$Q$405="Hoàn thành")*'Nhật ký bảo trì'!$B$6:$B$405))=0,"",SUMPRODUCT(MAX(('Nhật ký bảo trì'!$E$6:$E$405=$B33)*('Nhật ký bảo trì'!$Q$6:$Q$405="Hoàn thành")*'Nhật ký bảo trì'!$B$6:$B$405))))</f>
        <v/>
      </c>
      <c r="P33" s="33" t="str">
        <f>IF($B33="","",IF(SUMPRODUCT(MIN(('Kế hoạch định kỳ'!$C$6:$C$125=$B33)*'Kế hoạch định kỳ'!$W$6:$W$125+('Kế hoạch định kỳ'!$C$6:$C$125&lt;&gt;$B33)*99999))&gt;=99999,"",SUMPRODUCT(MIN(('Kế hoạch định kỳ'!$C$6:$C$125=$B33)*'Kế hoạch định kỳ'!$W$6:$W$125+('Kế hoạch định kỳ'!$C$6:$C$125&lt;&gt;$B33)*99999))))</f>
        <v/>
      </c>
      <c r="Q33" s="26" t="str">
        <f>IF($P33="","",$P33-'Tổng quan'!$B$11)</f>
        <v/>
      </c>
      <c r="R33" s="26" t="str">
        <f>IF($B33="","",IF($J33="Ngừng sử dụng","Ngừng sử dụng",IF($P33="","Chưa có kế hoạch",IF($P33&lt;'Tổng quan'!$B$11,"Có việc quá hạn",IF($P33-'Tổng quan'!$B$11&lt;='Cài đặt'!$B$102,"Sắp đến hạn","Trong hạn")))))</f>
        <v/>
      </c>
      <c r="S33" s="26" t="str">
        <f>IF($B33="","",COUNTIFS('Nhật ký bảo trì'!$E$6:$E$405,$B33,'Nhật ký bảo trì'!$C$6:$C$405,"Sửa chữa sự cố",'Nhật ký bảo trì'!$B$6:$B$405,"&gt;="&amp;DATE('Tổng quan'!$B$6,1,1),'Nhật ký bảo trì'!$B$6:$B$405,"&lt;="&amp;DATE('Tổng quan'!$B$6,12,31)))</f>
        <v/>
      </c>
      <c r="T33" s="39" t="str">
        <f>IF($B33="","",SUMIFS('Nhật ký bảo trì'!$K$6:$K$405,'Nhật ký bảo trì'!$E$6:$E$405,$B33,'Nhật ký bảo trì'!$B$6:$B$405,"&gt;="&amp;DATE('Tổng quan'!$B$6,1,1),'Nhật ký bảo trì'!$B$6:$B$405,"&lt;="&amp;DATE('Tổng quan'!$B$6,12,31)))</f>
        <v/>
      </c>
      <c r="U33" s="39" t="str">
        <f>IF(OR($B33="",N($S33)=0),"",SUMIFS('Nhật ký bảo trì'!$J$6:$J$405,'Nhật ký bảo trì'!$E$6:$E$405,$B33,'Nhật ký bảo trì'!$C$6:$C$405,"Sửa chữa sự cố",'Nhật ký bảo trì'!$B$6:$B$405,"&gt;="&amp;DATE('Tổng quan'!$B$6,1,1),'Nhật ký bảo trì'!$B$6:$B$405,"&lt;="&amp;DATE('Tổng quan'!$B$6,12,31))/$S33)</f>
        <v/>
      </c>
      <c r="V33" s="36" t="str">
        <f>IF($B33="","",SUMIFS('Nhật ký bảo trì'!$O$6:$O$405,'Nhật ký bảo trì'!$E$6:$E$405,$B33,'Nhật ký bảo trì'!$B$6:$B$405,"&gt;="&amp;DATE('Tổng quan'!$B$6,1,1),'Nhật ký bảo trì'!$B$6:$B$405,"&lt;="&amp;DATE('Tổng quan'!$B$6,12,31)))</f>
        <v/>
      </c>
      <c r="W33" s="26" t="str">
        <f>IF(OR($B33="",$K33=""),"",IF($K33&lt;'Tổng quan'!$B$11,"Hết bảo hành",IF($K33-'Tổng quan'!$B$11&lt;='Cài đặt'!$B$103,"Sắp hết BH ("&amp;($K33-'Tổng quan'!$B$11)&amp;" ngày)","Còn bảo hành")))</f>
        <v/>
      </c>
      <c r="X33" s="31"/>
    </row>
    <row r="34" ht="24.0" customHeight="1">
      <c r="A34" s="10" t="str">
        <f t="shared" si="1"/>
        <v/>
      </c>
      <c r="B34" s="11"/>
      <c r="C34" s="12"/>
      <c r="D34" s="12"/>
      <c r="E34" s="12"/>
      <c r="F34" s="12"/>
      <c r="G34" s="12"/>
      <c r="H34" s="13"/>
      <c r="I34" s="11"/>
      <c r="J34" s="11"/>
      <c r="K34" s="13"/>
      <c r="L34" s="12"/>
      <c r="M34" s="12"/>
      <c r="N34" s="10" t="str">
        <f>IF($B34="","",COUNTIF('Kế hoạch định kỳ'!$C$6:$C$125,$B34))</f>
        <v/>
      </c>
      <c r="O34" s="17" t="str">
        <f>IF($B34="","",IF(SUMPRODUCT(MAX(('Nhật ký bảo trì'!$E$6:$E$405=$B34)*('Nhật ký bảo trì'!$Q$6:$Q$405="Hoàn thành")*'Nhật ký bảo trì'!$B$6:$B$405))=0,"",SUMPRODUCT(MAX(('Nhật ký bảo trì'!$E$6:$E$405=$B34)*('Nhật ký bảo trì'!$Q$6:$Q$405="Hoàn thành")*'Nhật ký bảo trì'!$B$6:$B$405))))</f>
        <v/>
      </c>
      <c r="P34" s="17" t="str">
        <f>IF($B34="","",IF(SUMPRODUCT(MIN(('Kế hoạch định kỳ'!$C$6:$C$125=$B34)*'Kế hoạch định kỳ'!$W$6:$W$125+('Kế hoạch định kỳ'!$C$6:$C$125&lt;&gt;$B34)*99999))&gt;=99999,"",SUMPRODUCT(MIN(('Kế hoạch định kỳ'!$C$6:$C$125=$B34)*'Kế hoạch định kỳ'!$W$6:$W$125+('Kế hoạch định kỳ'!$C$6:$C$125&lt;&gt;$B34)*99999))))</f>
        <v/>
      </c>
      <c r="Q34" s="10" t="str">
        <f>IF($P34="","",$P34-'Tổng quan'!$B$11)</f>
        <v/>
      </c>
      <c r="R34" s="10" t="str">
        <f>IF($B34="","",IF($J34="Ngừng sử dụng","Ngừng sử dụng",IF($P34="","Chưa có kế hoạch",IF($P34&lt;'Tổng quan'!$B$11,"Có việc quá hạn",IF($P34-'Tổng quan'!$B$11&lt;='Cài đặt'!$B$102,"Sắp đến hạn","Trong hạn")))))</f>
        <v/>
      </c>
      <c r="S34" s="10" t="str">
        <f>IF($B34="","",COUNTIFS('Nhật ký bảo trì'!$E$6:$E$405,$B34,'Nhật ký bảo trì'!$C$6:$C$405,"Sửa chữa sự cố",'Nhật ký bảo trì'!$B$6:$B$405,"&gt;="&amp;DATE('Tổng quan'!$B$6,1,1),'Nhật ký bảo trì'!$B$6:$B$405,"&lt;="&amp;DATE('Tổng quan'!$B$6,12,31)))</f>
        <v/>
      </c>
      <c r="T34" s="22" t="str">
        <f>IF($B34="","",SUMIFS('Nhật ký bảo trì'!$K$6:$K$405,'Nhật ký bảo trì'!$E$6:$E$405,$B34,'Nhật ký bảo trì'!$B$6:$B$405,"&gt;="&amp;DATE('Tổng quan'!$B$6,1,1),'Nhật ký bảo trì'!$B$6:$B$405,"&lt;="&amp;DATE('Tổng quan'!$B$6,12,31)))</f>
        <v/>
      </c>
      <c r="U34" s="22" t="str">
        <f>IF(OR($B34="",N($S34)=0),"",SUMIFS('Nhật ký bảo trì'!$J$6:$J$405,'Nhật ký bảo trì'!$E$6:$E$405,$B34,'Nhật ký bảo trì'!$C$6:$C$405,"Sửa chữa sự cố",'Nhật ký bảo trì'!$B$6:$B$405,"&gt;="&amp;DATE('Tổng quan'!$B$6,1,1),'Nhật ký bảo trì'!$B$6:$B$405,"&lt;="&amp;DATE('Tổng quan'!$B$6,12,31))/$S34)</f>
        <v/>
      </c>
      <c r="V34" s="21" t="str">
        <f>IF($B34="","",SUMIFS('Nhật ký bảo trì'!$O$6:$O$405,'Nhật ký bảo trì'!$E$6:$E$405,$B34,'Nhật ký bảo trì'!$B$6:$B$405,"&gt;="&amp;DATE('Tổng quan'!$B$6,1,1),'Nhật ký bảo trì'!$B$6:$B$405,"&lt;="&amp;DATE('Tổng quan'!$B$6,12,31)))</f>
        <v/>
      </c>
      <c r="W34" s="10" t="str">
        <f>IF(OR($B34="",$K34=""),"",IF($K34&lt;'Tổng quan'!$B$11,"Hết bảo hành",IF($K34-'Tổng quan'!$B$11&lt;='Cài đặt'!$B$103,"Sắp hết BH ("&amp;($K34-'Tổng quan'!$B$11)&amp;" ngày)","Còn bảo hành")))</f>
        <v/>
      </c>
      <c r="X34" s="12"/>
    </row>
    <row r="35" ht="24.0" customHeight="1">
      <c r="A35" s="26" t="str">
        <f t="shared" si="1"/>
        <v/>
      </c>
      <c r="B35" s="27"/>
      <c r="C35" s="31"/>
      <c r="D35" s="31"/>
      <c r="E35" s="31"/>
      <c r="F35" s="31"/>
      <c r="G35" s="31"/>
      <c r="H35" s="32"/>
      <c r="I35" s="27"/>
      <c r="J35" s="27"/>
      <c r="K35" s="32"/>
      <c r="L35" s="31"/>
      <c r="M35" s="31"/>
      <c r="N35" s="26" t="str">
        <f>IF($B35="","",COUNTIF('Kế hoạch định kỳ'!$C$6:$C$125,$B35))</f>
        <v/>
      </c>
      <c r="O35" s="33" t="str">
        <f>IF($B35="","",IF(SUMPRODUCT(MAX(('Nhật ký bảo trì'!$E$6:$E$405=$B35)*('Nhật ký bảo trì'!$Q$6:$Q$405="Hoàn thành")*'Nhật ký bảo trì'!$B$6:$B$405))=0,"",SUMPRODUCT(MAX(('Nhật ký bảo trì'!$E$6:$E$405=$B35)*('Nhật ký bảo trì'!$Q$6:$Q$405="Hoàn thành")*'Nhật ký bảo trì'!$B$6:$B$405))))</f>
        <v/>
      </c>
      <c r="P35" s="33" t="str">
        <f>IF($B35="","",IF(SUMPRODUCT(MIN(('Kế hoạch định kỳ'!$C$6:$C$125=$B35)*'Kế hoạch định kỳ'!$W$6:$W$125+('Kế hoạch định kỳ'!$C$6:$C$125&lt;&gt;$B35)*99999))&gt;=99999,"",SUMPRODUCT(MIN(('Kế hoạch định kỳ'!$C$6:$C$125=$B35)*'Kế hoạch định kỳ'!$W$6:$W$125+('Kế hoạch định kỳ'!$C$6:$C$125&lt;&gt;$B35)*99999))))</f>
        <v/>
      </c>
      <c r="Q35" s="26" t="str">
        <f>IF($P35="","",$P35-'Tổng quan'!$B$11)</f>
        <v/>
      </c>
      <c r="R35" s="26" t="str">
        <f>IF($B35="","",IF($J35="Ngừng sử dụng","Ngừng sử dụng",IF($P35="","Chưa có kế hoạch",IF($P35&lt;'Tổng quan'!$B$11,"Có việc quá hạn",IF($P35-'Tổng quan'!$B$11&lt;='Cài đặt'!$B$102,"Sắp đến hạn","Trong hạn")))))</f>
        <v/>
      </c>
      <c r="S35" s="26" t="str">
        <f>IF($B35="","",COUNTIFS('Nhật ký bảo trì'!$E$6:$E$405,$B35,'Nhật ký bảo trì'!$C$6:$C$405,"Sửa chữa sự cố",'Nhật ký bảo trì'!$B$6:$B$405,"&gt;="&amp;DATE('Tổng quan'!$B$6,1,1),'Nhật ký bảo trì'!$B$6:$B$405,"&lt;="&amp;DATE('Tổng quan'!$B$6,12,31)))</f>
        <v/>
      </c>
      <c r="T35" s="39" t="str">
        <f>IF($B35="","",SUMIFS('Nhật ký bảo trì'!$K$6:$K$405,'Nhật ký bảo trì'!$E$6:$E$405,$B35,'Nhật ký bảo trì'!$B$6:$B$405,"&gt;="&amp;DATE('Tổng quan'!$B$6,1,1),'Nhật ký bảo trì'!$B$6:$B$405,"&lt;="&amp;DATE('Tổng quan'!$B$6,12,31)))</f>
        <v/>
      </c>
      <c r="U35" s="39" t="str">
        <f>IF(OR($B35="",N($S35)=0),"",SUMIFS('Nhật ký bảo trì'!$J$6:$J$405,'Nhật ký bảo trì'!$E$6:$E$405,$B35,'Nhật ký bảo trì'!$C$6:$C$405,"Sửa chữa sự cố",'Nhật ký bảo trì'!$B$6:$B$405,"&gt;="&amp;DATE('Tổng quan'!$B$6,1,1),'Nhật ký bảo trì'!$B$6:$B$405,"&lt;="&amp;DATE('Tổng quan'!$B$6,12,31))/$S35)</f>
        <v/>
      </c>
      <c r="V35" s="36" t="str">
        <f>IF($B35="","",SUMIFS('Nhật ký bảo trì'!$O$6:$O$405,'Nhật ký bảo trì'!$E$6:$E$405,$B35,'Nhật ký bảo trì'!$B$6:$B$405,"&gt;="&amp;DATE('Tổng quan'!$B$6,1,1),'Nhật ký bảo trì'!$B$6:$B$405,"&lt;="&amp;DATE('Tổng quan'!$B$6,12,31)))</f>
        <v/>
      </c>
      <c r="W35" s="26" t="str">
        <f>IF(OR($B35="",$K35=""),"",IF($K35&lt;'Tổng quan'!$B$11,"Hết bảo hành",IF($K35-'Tổng quan'!$B$11&lt;='Cài đặt'!$B$103,"Sắp hết BH ("&amp;($K35-'Tổng quan'!$B$11)&amp;" ngày)","Còn bảo hành")))</f>
        <v/>
      </c>
      <c r="X35" s="31"/>
    </row>
    <row r="36" ht="24.0" customHeight="1">
      <c r="A36" s="10" t="str">
        <f t="shared" si="1"/>
        <v/>
      </c>
      <c r="B36" s="11"/>
      <c r="C36" s="12"/>
      <c r="D36" s="12"/>
      <c r="E36" s="12"/>
      <c r="F36" s="12"/>
      <c r="G36" s="12"/>
      <c r="H36" s="13"/>
      <c r="I36" s="11"/>
      <c r="J36" s="11"/>
      <c r="K36" s="13"/>
      <c r="L36" s="12"/>
      <c r="M36" s="12"/>
      <c r="N36" s="10" t="str">
        <f>IF($B36="","",COUNTIF('Kế hoạch định kỳ'!$C$6:$C$125,$B36))</f>
        <v/>
      </c>
      <c r="O36" s="17" t="str">
        <f>IF($B36="","",IF(SUMPRODUCT(MAX(('Nhật ký bảo trì'!$E$6:$E$405=$B36)*('Nhật ký bảo trì'!$Q$6:$Q$405="Hoàn thành")*'Nhật ký bảo trì'!$B$6:$B$405))=0,"",SUMPRODUCT(MAX(('Nhật ký bảo trì'!$E$6:$E$405=$B36)*('Nhật ký bảo trì'!$Q$6:$Q$405="Hoàn thành")*'Nhật ký bảo trì'!$B$6:$B$405))))</f>
        <v/>
      </c>
      <c r="P36" s="17" t="str">
        <f>IF($B36="","",IF(SUMPRODUCT(MIN(('Kế hoạch định kỳ'!$C$6:$C$125=$B36)*'Kế hoạch định kỳ'!$W$6:$W$125+('Kế hoạch định kỳ'!$C$6:$C$125&lt;&gt;$B36)*99999))&gt;=99999,"",SUMPRODUCT(MIN(('Kế hoạch định kỳ'!$C$6:$C$125=$B36)*'Kế hoạch định kỳ'!$W$6:$W$125+('Kế hoạch định kỳ'!$C$6:$C$125&lt;&gt;$B36)*99999))))</f>
        <v/>
      </c>
      <c r="Q36" s="10" t="str">
        <f>IF($P36="","",$P36-'Tổng quan'!$B$11)</f>
        <v/>
      </c>
      <c r="R36" s="10" t="str">
        <f>IF($B36="","",IF($J36="Ngừng sử dụng","Ngừng sử dụng",IF($P36="","Chưa có kế hoạch",IF($P36&lt;'Tổng quan'!$B$11,"Có việc quá hạn",IF($P36-'Tổng quan'!$B$11&lt;='Cài đặt'!$B$102,"Sắp đến hạn","Trong hạn")))))</f>
        <v/>
      </c>
      <c r="S36" s="10" t="str">
        <f>IF($B36="","",COUNTIFS('Nhật ký bảo trì'!$E$6:$E$405,$B36,'Nhật ký bảo trì'!$C$6:$C$405,"Sửa chữa sự cố",'Nhật ký bảo trì'!$B$6:$B$405,"&gt;="&amp;DATE('Tổng quan'!$B$6,1,1),'Nhật ký bảo trì'!$B$6:$B$405,"&lt;="&amp;DATE('Tổng quan'!$B$6,12,31)))</f>
        <v/>
      </c>
      <c r="T36" s="22" t="str">
        <f>IF($B36="","",SUMIFS('Nhật ký bảo trì'!$K$6:$K$405,'Nhật ký bảo trì'!$E$6:$E$405,$B36,'Nhật ký bảo trì'!$B$6:$B$405,"&gt;="&amp;DATE('Tổng quan'!$B$6,1,1),'Nhật ký bảo trì'!$B$6:$B$405,"&lt;="&amp;DATE('Tổng quan'!$B$6,12,31)))</f>
        <v/>
      </c>
      <c r="U36" s="22" t="str">
        <f>IF(OR($B36="",N($S36)=0),"",SUMIFS('Nhật ký bảo trì'!$J$6:$J$405,'Nhật ký bảo trì'!$E$6:$E$405,$B36,'Nhật ký bảo trì'!$C$6:$C$405,"Sửa chữa sự cố",'Nhật ký bảo trì'!$B$6:$B$405,"&gt;="&amp;DATE('Tổng quan'!$B$6,1,1),'Nhật ký bảo trì'!$B$6:$B$405,"&lt;="&amp;DATE('Tổng quan'!$B$6,12,31))/$S36)</f>
        <v/>
      </c>
      <c r="V36" s="21" t="str">
        <f>IF($B36="","",SUMIFS('Nhật ký bảo trì'!$O$6:$O$405,'Nhật ký bảo trì'!$E$6:$E$405,$B36,'Nhật ký bảo trì'!$B$6:$B$405,"&gt;="&amp;DATE('Tổng quan'!$B$6,1,1),'Nhật ký bảo trì'!$B$6:$B$405,"&lt;="&amp;DATE('Tổng quan'!$B$6,12,31)))</f>
        <v/>
      </c>
      <c r="W36" s="10" t="str">
        <f>IF(OR($B36="",$K36=""),"",IF($K36&lt;'Tổng quan'!$B$11,"Hết bảo hành",IF($K36-'Tổng quan'!$B$11&lt;='Cài đặt'!$B$103,"Sắp hết BH ("&amp;($K36-'Tổng quan'!$B$11)&amp;" ngày)","Còn bảo hành")))</f>
        <v/>
      </c>
      <c r="X36" s="12"/>
    </row>
    <row r="37" ht="24.0" customHeight="1">
      <c r="A37" s="26" t="str">
        <f t="shared" si="1"/>
        <v/>
      </c>
      <c r="B37" s="27"/>
      <c r="C37" s="31"/>
      <c r="D37" s="31"/>
      <c r="E37" s="31"/>
      <c r="F37" s="31"/>
      <c r="G37" s="31"/>
      <c r="H37" s="32"/>
      <c r="I37" s="27"/>
      <c r="J37" s="27"/>
      <c r="K37" s="32"/>
      <c r="L37" s="31"/>
      <c r="M37" s="31"/>
      <c r="N37" s="26" t="str">
        <f>IF($B37="","",COUNTIF('Kế hoạch định kỳ'!$C$6:$C$125,$B37))</f>
        <v/>
      </c>
      <c r="O37" s="33" t="str">
        <f>IF($B37="","",IF(SUMPRODUCT(MAX(('Nhật ký bảo trì'!$E$6:$E$405=$B37)*('Nhật ký bảo trì'!$Q$6:$Q$405="Hoàn thành")*'Nhật ký bảo trì'!$B$6:$B$405))=0,"",SUMPRODUCT(MAX(('Nhật ký bảo trì'!$E$6:$E$405=$B37)*('Nhật ký bảo trì'!$Q$6:$Q$405="Hoàn thành")*'Nhật ký bảo trì'!$B$6:$B$405))))</f>
        <v/>
      </c>
      <c r="P37" s="33" t="str">
        <f>IF($B37="","",IF(SUMPRODUCT(MIN(('Kế hoạch định kỳ'!$C$6:$C$125=$B37)*'Kế hoạch định kỳ'!$W$6:$W$125+('Kế hoạch định kỳ'!$C$6:$C$125&lt;&gt;$B37)*99999))&gt;=99999,"",SUMPRODUCT(MIN(('Kế hoạch định kỳ'!$C$6:$C$125=$B37)*'Kế hoạch định kỳ'!$W$6:$W$125+('Kế hoạch định kỳ'!$C$6:$C$125&lt;&gt;$B37)*99999))))</f>
        <v/>
      </c>
      <c r="Q37" s="26" t="str">
        <f>IF($P37="","",$P37-'Tổng quan'!$B$11)</f>
        <v/>
      </c>
      <c r="R37" s="26" t="str">
        <f>IF($B37="","",IF($J37="Ngừng sử dụng","Ngừng sử dụng",IF($P37="","Chưa có kế hoạch",IF($P37&lt;'Tổng quan'!$B$11,"Có việc quá hạn",IF($P37-'Tổng quan'!$B$11&lt;='Cài đặt'!$B$102,"Sắp đến hạn","Trong hạn")))))</f>
        <v/>
      </c>
      <c r="S37" s="26" t="str">
        <f>IF($B37="","",COUNTIFS('Nhật ký bảo trì'!$E$6:$E$405,$B37,'Nhật ký bảo trì'!$C$6:$C$405,"Sửa chữa sự cố",'Nhật ký bảo trì'!$B$6:$B$405,"&gt;="&amp;DATE('Tổng quan'!$B$6,1,1),'Nhật ký bảo trì'!$B$6:$B$405,"&lt;="&amp;DATE('Tổng quan'!$B$6,12,31)))</f>
        <v/>
      </c>
      <c r="T37" s="39" t="str">
        <f>IF($B37="","",SUMIFS('Nhật ký bảo trì'!$K$6:$K$405,'Nhật ký bảo trì'!$E$6:$E$405,$B37,'Nhật ký bảo trì'!$B$6:$B$405,"&gt;="&amp;DATE('Tổng quan'!$B$6,1,1),'Nhật ký bảo trì'!$B$6:$B$405,"&lt;="&amp;DATE('Tổng quan'!$B$6,12,31)))</f>
        <v/>
      </c>
      <c r="U37" s="39" t="str">
        <f>IF(OR($B37="",N($S37)=0),"",SUMIFS('Nhật ký bảo trì'!$J$6:$J$405,'Nhật ký bảo trì'!$E$6:$E$405,$B37,'Nhật ký bảo trì'!$C$6:$C$405,"Sửa chữa sự cố",'Nhật ký bảo trì'!$B$6:$B$405,"&gt;="&amp;DATE('Tổng quan'!$B$6,1,1),'Nhật ký bảo trì'!$B$6:$B$405,"&lt;="&amp;DATE('Tổng quan'!$B$6,12,31))/$S37)</f>
        <v/>
      </c>
      <c r="V37" s="36" t="str">
        <f>IF($B37="","",SUMIFS('Nhật ký bảo trì'!$O$6:$O$405,'Nhật ký bảo trì'!$E$6:$E$405,$B37,'Nhật ký bảo trì'!$B$6:$B$405,"&gt;="&amp;DATE('Tổng quan'!$B$6,1,1),'Nhật ký bảo trì'!$B$6:$B$405,"&lt;="&amp;DATE('Tổng quan'!$B$6,12,31)))</f>
        <v/>
      </c>
      <c r="W37" s="26" t="str">
        <f>IF(OR($B37="",$K37=""),"",IF($K37&lt;'Tổng quan'!$B$11,"Hết bảo hành",IF($K37-'Tổng quan'!$B$11&lt;='Cài đặt'!$B$103,"Sắp hết BH ("&amp;($K37-'Tổng quan'!$B$11)&amp;" ngày)","Còn bảo hành")))</f>
        <v/>
      </c>
      <c r="X37" s="31"/>
    </row>
    <row r="38" ht="24.0" customHeight="1">
      <c r="A38" s="10" t="str">
        <f t="shared" si="1"/>
        <v/>
      </c>
      <c r="B38" s="11"/>
      <c r="C38" s="12"/>
      <c r="D38" s="12"/>
      <c r="E38" s="12"/>
      <c r="F38" s="12"/>
      <c r="G38" s="12"/>
      <c r="H38" s="13"/>
      <c r="I38" s="11"/>
      <c r="J38" s="11"/>
      <c r="K38" s="13"/>
      <c r="L38" s="12"/>
      <c r="M38" s="12"/>
      <c r="N38" s="10" t="str">
        <f>IF($B38="","",COUNTIF('Kế hoạch định kỳ'!$C$6:$C$125,$B38))</f>
        <v/>
      </c>
      <c r="O38" s="17" t="str">
        <f>IF($B38="","",IF(SUMPRODUCT(MAX(('Nhật ký bảo trì'!$E$6:$E$405=$B38)*('Nhật ký bảo trì'!$Q$6:$Q$405="Hoàn thành")*'Nhật ký bảo trì'!$B$6:$B$405))=0,"",SUMPRODUCT(MAX(('Nhật ký bảo trì'!$E$6:$E$405=$B38)*('Nhật ký bảo trì'!$Q$6:$Q$405="Hoàn thành")*'Nhật ký bảo trì'!$B$6:$B$405))))</f>
        <v/>
      </c>
      <c r="P38" s="17" t="str">
        <f>IF($B38="","",IF(SUMPRODUCT(MIN(('Kế hoạch định kỳ'!$C$6:$C$125=$B38)*'Kế hoạch định kỳ'!$W$6:$W$125+('Kế hoạch định kỳ'!$C$6:$C$125&lt;&gt;$B38)*99999))&gt;=99999,"",SUMPRODUCT(MIN(('Kế hoạch định kỳ'!$C$6:$C$125=$B38)*'Kế hoạch định kỳ'!$W$6:$W$125+('Kế hoạch định kỳ'!$C$6:$C$125&lt;&gt;$B38)*99999))))</f>
        <v/>
      </c>
      <c r="Q38" s="10" t="str">
        <f>IF($P38="","",$P38-'Tổng quan'!$B$11)</f>
        <v/>
      </c>
      <c r="R38" s="10" t="str">
        <f>IF($B38="","",IF($J38="Ngừng sử dụng","Ngừng sử dụng",IF($P38="","Chưa có kế hoạch",IF($P38&lt;'Tổng quan'!$B$11,"Có việc quá hạn",IF($P38-'Tổng quan'!$B$11&lt;='Cài đặt'!$B$102,"Sắp đến hạn","Trong hạn")))))</f>
        <v/>
      </c>
      <c r="S38" s="10" t="str">
        <f>IF($B38="","",COUNTIFS('Nhật ký bảo trì'!$E$6:$E$405,$B38,'Nhật ký bảo trì'!$C$6:$C$405,"Sửa chữa sự cố",'Nhật ký bảo trì'!$B$6:$B$405,"&gt;="&amp;DATE('Tổng quan'!$B$6,1,1),'Nhật ký bảo trì'!$B$6:$B$405,"&lt;="&amp;DATE('Tổng quan'!$B$6,12,31)))</f>
        <v/>
      </c>
      <c r="T38" s="22" t="str">
        <f>IF($B38="","",SUMIFS('Nhật ký bảo trì'!$K$6:$K$405,'Nhật ký bảo trì'!$E$6:$E$405,$B38,'Nhật ký bảo trì'!$B$6:$B$405,"&gt;="&amp;DATE('Tổng quan'!$B$6,1,1),'Nhật ký bảo trì'!$B$6:$B$405,"&lt;="&amp;DATE('Tổng quan'!$B$6,12,31)))</f>
        <v/>
      </c>
      <c r="U38" s="22" t="str">
        <f>IF(OR($B38="",N($S38)=0),"",SUMIFS('Nhật ký bảo trì'!$J$6:$J$405,'Nhật ký bảo trì'!$E$6:$E$405,$B38,'Nhật ký bảo trì'!$C$6:$C$405,"Sửa chữa sự cố",'Nhật ký bảo trì'!$B$6:$B$405,"&gt;="&amp;DATE('Tổng quan'!$B$6,1,1),'Nhật ký bảo trì'!$B$6:$B$405,"&lt;="&amp;DATE('Tổng quan'!$B$6,12,31))/$S38)</f>
        <v/>
      </c>
      <c r="V38" s="21" t="str">
        <f>IF($B38="","",SUMIFS('Nhật ký bảo trì'!$O$6:$O$405,'Nhật ký bảo trì'!$E$6:$E$405,$B38,'Nhật ký bảo trì'!$B$6:$B$405,"&gt;="&amp;DATE('Tổng quan'!$B$6,1,1),'Nhật ký bảo trì'!$B$6:$B$405,"&lt;="&amp;DATE('Tổng quan'!$B$6,12,31)))</f>
        <v/>
      </c>
      <c r="W38" s="10" t="str">
        <f>IF(OR($B38="",$K38=""),"",IF($K38&lt;'Tổng quan'!$B$11,"Hết bảo hành",IF($K38-'Tổng quan'!$B$11&lt;='Cài đặt'!$B$103,"Sắp hết BH ("&amp;($K38-'Tổng quan'!$B$11)&amp;" ngày)","Còn bảo hành")))</f>
        <v/>
      </c>
      <c r="X38" s="12"/>
    </row>
    <row r="39" ht="24.0" customHeight="1">
      <c r="A39" s="26" t="str">
        <f t="shared" si="1"/>
        <v/>
      </c>
      <c r="B39" s="27"/>
      <c r="C39" s="31"/>
      <c r="D39" s="31"/>
      <c r="E39" s="31"/>
      <c r="F39" s="31"/>
      <c r="G39" s="31"/>
      <c r="H39" s="32"/>
      <c r="I39" s="27"/>
      <c r="J39" s="27"/>
      <c r="K39" s="32"/>
      <c r="L39" s="31"/>
      <c r="M39" s="31"/>
      <c r="N39" s="26" t="str">
        <f>IF($B39="","",COUNTIF('Kế hoạch định kỳ'!$C$6:$C$125,$B39))</f>
        <v/>
      </c>
      <c r="O39" s="33" t="str">
        <f>IF($B39="","",IF(SUMPRODUCT(MAX(('Nhật ký bảo trì'!$E$6:$E$405=$B39)*('Nhật ký bảo trì'!$Q$6:$Q$405="Hoàn thành")*'Nhật ký bảo trì'!$B$6:$B$405))=0,"",SUMPRODUCT(MAX(('Nhật ký bảo trì'!$E$6:$E$405=$B39)*('Nhật ký bảo trì'!$Q$6:$Q$405="Hoàn thành")*'Nhật ký bảo trì'!$B$6:$B$405))))</f>
        <v/>
      </c>
      <c r="P39" s="33" t="str">
        <f>IF($B39="","",IF(SUMPRODUCT(MIN(('Kế hoạch định kỳ'!$C$6:$C$125=$B39)*'Kế hoạch định kỳ'!$W$6:$W$125+('Kế hoạch định kỳ'!$C$6:$C$125&lt;&gt;$B39)*99999))&gt;=99999,"",SUMPRODUCT(MIN(('Kế hoạch định kỳ'!$C$6:$C$125=$B39)*'Kế hoạch định kỳ'!$W$6:$W$125+('Kế hoạch định kỳ'!$C$6:$C$125&lt;&gt;$B39)*99999))))</f>
        <v/>
      </c>
      <c r="Q39" s="26" t="str">
        <f>IF($P39="","",$P39-'Tổng quan'!$B$11)</f>
        <v/>
      </c>
      <c r="R39" s="26" t="str">
        <f>IF($B39="","",IF($J39="Ngừng sử dụng","Ngừng sử dụng",IF($P39="","Chưa có kế hoạch",IF($P39&lt;'Tổng quan'!$B$11,"Có việc quá hạn",IF($P39-'Tổng quan'!$B$11&lt;='Cài đặt'!$B$102,"Sắp đến hạn","Trong hạn")))))</f>
        <v/>
      </c>
      <c r="S39" s="26" t="str">
        <f>IF($B39="","",COUNTIFS('Nhật ký bảo trì'!$E$6:$E$405,$B39,'Nhật ký bảo trì'!$C$6:$C$405,"Sửa chữa sự cố",'Nhật ký bảo trì'!$B$6:$B$405,"&gt;="&amp;DATE('Tổng quan'!$B$6,1,1),'Nhật ký bảo trì'!$B$6:$B$405,"&lt;="&amp;DATE('Tổng quan'!$B$6,12,31)))</f>
        <v/>
      </c>
      <c r="T39" s="39" t="str">
        <f>IF($B39="","",SUMIFS('Nhật ký bảo trì'!$K$6:$K$405,'Nhật ký bảo trì'!$E$6:$E$405,$B39,'Nhật ký bảo trì'!$B$6:$B$405,"&gt;="&amp;DATE('Tổng quan'!$B$6,1,1),'Nhật ký bảo trì'!$B$6:$B$405,"&lt;="&amp;DATE('Tổng quan'!$B$6,12,31)))</f>
        <v/>
      </c>
      <c r="U39" s="39" t="str">
        <f>IF(OR($B39="",N($S39)=0),"",SUMIFS('Nhật ký bảo trì'!$J$6:$J$405,'Nhật ký bảo trì'!$E$6:$E$405,$B39,'Nhật ký bảo trì'!$C$6:$C$405,"Sửa chữa sự cố",'Nhật ký bảo trì'!$B$6:$B$405,"&gt;="&amp;DATE('Tổng quan'!$B$6,1,1),'Nhật ký bảo trì'!$B$6:$B$405,"&lt;="&amp;DATE('Tổng quan'!$B$6,12,31))/$S39)</f>
        <v/>
      </c>
      <c r="V39" s="36" t="str">
        <f>IF($B39="","",SUMIFS('Nhật ký bảo trì'!$O$6:$O$405,'Nhật ký bảo trì'!$E$6:$E$405,$B39,'Nhật ký bảo trì'!$B$6:$B$405,"&gt;="&amp;DATE('Tổng quan'!$B$6,1,1),'Nhật ký bảo trì'!$B$6:$B$405,"&lt;="&amp;DATE('Tổng quan'!$B$6,12,31)))</f>
        <v/>
      </c>
      <c r="W39" s="26" t="str">
        <f>IF(OR($B39="",$K39=""),"",IF($K39&lt;'Tổng quan'!$B$11,"Hết bảo hành",IF($K39-'Tổng quan'!$B$11&lt;='Cài đặt'!$B$103,"Sắp hết BH ("&amp;($K39-'Tổng quan'!$B$11)&amp;" ngày)","Còn bảo hành")))</f>
        <v/>
      </c>
      <c r="X39" s="31"/>
    </row>
    <row r="40" ht="24.0" customHeight="1">
      <c r="A40" s="10" t="str">
        <f t="shared" si="1"/>
        <v/>
      </c>
      <c r="B40" s="11"/>
      <c r="C40" s="12"/>
      <c r="D40" s="12"/>
      <c r="E40" s="12"/>
      <c r="F40" s="12"/>
      <c r="G40" s="12"/>
      <c r="H40" s="13"/>
      <c r="I40" s="11"/>
      <c r="J40" s="11"/>
      <c r="K40" s="13"/>
      <c r="L40" s="12"/>
      <c r="M40" s="12"/>
      <c r="N40" s="10" t="str">
        <f>IF($B40="","",COUNTIF('Kế hoạch định kỳ'!$C$6:$C$125,$B40))</f>
        <v/>
      </c>
      <c r="O40" s="17" t="str">
        <f>IF($B40="","",IF(SUMPRODUCT(MAX(('Nhật ký bảo trì'!$E$6:$E$405=$B40)*('Nhật ký bảo trì'!$Q$6:$Q$405="Hoàn thành")*'Nhật ký bảo trì'!$B$6:$B$405))=0,"",SUMPRODUCT(MAX(('Nhật ký bảo trì'!$E$6:$E$405=$B40)*('Nhật ký bảo trì'!$Q$6:$Q$405="Hoàn thành")*'Nhật ký bảo trì'!$B$6:$B$405))))</f>
        <v/>
      </c>
      <c r="P40" s="17" t="str">
        <f>IF($B40="","",IF(SUMPRODUCT(MIN(('Kế hoạch định kỳ'!$C$6:$C$125=$B40)*'Kế hoạch định kỳ'!$W$6:$W$125+('Kế hoạch định kỳ'!$C$6:$C$125&lt;&gt;$B40)*99999))&gt;=99999,"",SUMPRODUCT(MIN(('Kế hoạch định kỳ'!$C$6:$C$125=$B40)*'Kế hoạch định kỳ'!$W$6:$W$125+('Kế hoạch định kỳ'!$C$6:$C$125&lt;&gt;$B40)*99999))))</f>
        <v/>
      </c>
      <c r="Q40" s="10" t="str">
        <f>IF($P40="","",$P40-'Tổng quan'!$B$11)</f>
        <v/>
      </c>
      <c r="R40" s="10" t="str">
        <f>IF($B40="","",IF($J40="Ngừng sử dụng","Ngừng sử dụng",IF($P40="","Chưa có kế hoạch",IF($P40&lt;'Tổng quan'!$B$11,"Có việc quá hạn",IF($P40-'Tổng quan'!$B$11&lt;='Cài đặt'!$B$102,"Sắp đến hạn","Trong hạn")))))</f>
        <v/>
      </c>
      <c r="S40" s="10" t="str">
        <f>IF($B40="","",COUNTIFS('Nhật ký bảo trì'!$E$6:$E$405,$B40,'Nhật ký bảo trì'!$C$6:$C$405,"Sửa chữa sự cố",'Nhật ký bảo trì'!$B$6:$B$405,"&gt;="&amp;DATE('Tổng quan'!$B$6,1,1),'Nhật ký bảo trì'!$B$6:$B$405,"&lt;="&amp;DATE('Tổng quan'!$B$6,12,31)))</f>
        <v/>
      </c>
      <c r="T40" s="22" t="str">
        <f>IF($B40="","",SUMIFS('Nhật ký bảo trì'!$K$6:$K$405,'Nhật ký bảo trì'!$E$6:$E$405,$B40,'Nhật ký bảo trì'!$B$6:$B$405,"&gt;="&amp;DATE('Tổng quan'!$B$6,1,1),'Nhật ký bảo trì'!$B$6:$B$405,"&lt;="&amp;DATE('Tổng quan'!$B$6,12,31)))</f>
        <v/>
      </c>
      <c r="U40" s="22" t="str">
        <f>IF(OR($B40="",N($S40)=0),"",SUMIFS('Nhật ký bảo trì'!$J$6:$J$405,'Nhật ký bảo trì'!$E$6:$E$405,$B40,'Nhật ký bảo trì'!$C$6:$C$405,"Sửa chữa sự cố",'Nhật ký bảo trì'!$B$6:$B$405,"&gt;="&amp;DATE('Tổng quan'!$B$6,1,1),'Nhật ký bảo trì'!$B$6:$B$405,"&lt;="&amp;DATE('Tổng quan'!$B$6,12,31))/$S40)</f>
        <v/>
      </c>
      <c r="V40" s="21" t="str">
        <f>IF($B40="","",SUMIFS('Nhật ký bảo trì'!$O$6:$O$405,'Nhật ký bảo trì'!$E$6:$E$405,$B40,'Nhật ký bảo trì'!$B$6:$B$405,"&gt;="&amp;DATE('Tổng quan'!$B$6,1,1),'Nhật ký bảo trì'!$B$6:$B$405,"&lt;="&amp;DATE('Tổng quan'!$B$6,12,31)))</f>
        <v/>
      </c>
      <c r="W40" s="10" t="str">
        <f>IF(OR($B40="",$K40=""),"",IF($K40&lt;'Tổng quan'!$B$11,"Hết bảo hành",IF($K40-'Tổng quan'!$B$11&lt;='Cài đặt'!$B$103,"Sắp hết BH ("&amp;($K40-'Tổng quan'!$B$11)&amp;" ngày)","Còn bảo hành")))</f>
        <v/>
      </c>
      <c r="X40" s="12"/>
    </row>
    <row r="41" ht="24.0" customHeight="1">
      <c r="A41" s="26" t="str">
        <f t="shared" si="1"/>
        <v/>
      </c>
      <c r="B41" s="27"/>
      <c r="C41" s="31"/>
      <c r="D41" s="31"/>
      <c r="E41" s="31"/>
      <c r="F41" s="31"/>
      <c r="G41" s="31"/>
      <c r="H41" s="32"/>
      <c r="I41" s="27"/>
      <c r="J41" s="27"/>
      <c r="K41" s="32"/>
      <c r="L41" s="31"/>
      <c r="M41" s="31"/>
      <c r="N41" s="26" t="str">
        <f>IF($B41="","",COUNTIF('Kế hoạch định kỳ'!$C$6:$C$125,$B41))</f>
        <v/>
      </c>
      <c r="O41" s="33" t="str">
        <f>IF($B41="","",IF(SUMPRODUCT(MAX(('Nhật ký bảo trì'!$E$6:$E$405=$B41)*('Nhật ký bảo trì'!$Q$6:$Q$405="Hoàn thành")*'Nhật ký bảo trì'!$B$6:$B$405))=0,"",SUMPRODUCT(MAX(('Nhật ký bảo trì'!$E$6:$E$405=$B41)*('Nhật ký bảo trì'!$Q$6:$Q$405="Hoàn thành")*'Nhật ký bảo trì'!$B$6:$B$405))))</f>
        <v/>
      </c>
      <c r="P41" s="33" t="str">
        <f>IF($B41="","",IF(SUMPRODUCT(MIN(('Kế hoạch định kỳ'!$C$6:$C$125=$B41)*'Kế hoạch định kỳ'!$W$6:$W$125+('Kế hoạch định kỳ'!$C$6:$C$125&lt;&gt;$B41)*99999))&gt;=99999,"",SUMPRODUCT(MIN(('Kế hoạch định kỳ'!$C$6:$C$125=$B41)*'Kế hoạch định kỳ'!$W$6:$W$125+('Kế hoạch định kỳ'!$C$6:$C$125&lt;&gt;$B41)*99999))))</f>
        <v/>
      </c>
      <c r="Q41" s="26" t="str">
        <f>IF($P41="","",$P41-'Tổng quan'!$B$11)</f>
        <v/>
      </c>
      <c r="R41" s="26" t="str">
        <f>IF($B41="","",IF($J41="Ngừng sử dụng","Ngừng sử dụng",IF($P41="","Chưa có kế hoạch",IF($P41&lt;'Tổng quan'!$B$11,"Có việc quá hạn",IF($P41-'Tổng quan'!$B$11&lt;='Cài đặt'!$B$102,"Sắp đến hạn","Trong hạn")))))</f>
        <v/>
      </c>
      <c r="S41" s="26" t="str">
        <f>IF($B41="","",COUNTIFS('Nhật ký bảo trì'!$E$6:$E$405,$B41,'Nhật ký bảo trì'!$C$6:$C$405,"Sửa chữa sự cố",'Nhật ký bảo trì'!$B$6:$B$405,"&gt;="&amp;DATE('Tổng quan'!$B$6,1,1),'Nhật ký bảo trì'!$B$6:$B$405,"&lt;="&amp;DATE('Tổng quan'!$B$6,12,31)))</f>
        <v/>
      </c>
      <c r="T41" s="39" t="str">
        <f>IF($B41="","",SUMIFS('Nhật ký bảo trì'!$K$6:$K$405,'Nhật ký bảo trì'!$E$6:$E$405,$B41,'Nhật ký bảo trì'!$B$6:$B$405,"&gt;="&amp;DATE('Tổng quan'!$B$6,1,1),'Nhật ký bảo trì'!$B$6:$B$405,"&lt;="&amp;DATE('Tổng quan'!$B$6,12,31)))</f>
        <v/>
      </c>
      <c r="U41" s="39" t="str">
        <f>IF(OR($B41="",N($S41)=0),"",SUMIFS('Nhật ký bảo trì'!$J$6:$J$405,'Nhật ký bảo trì'!$E$6:$E$405,$B41,'Nhật ký bảo trì'!$C$6:$C$405,"Sửa chữa sự cố",'Nhật ký bảo trì'!$B$6:$B$405,"&gt;="&amp;DATE('Tổng quan'!$B$6,1,1),'Nhật ký bảo trì'!$B$6:$B$405,"&lt;="&amp;DATE('Tổng quan'!$B$6,12,31))/$S41)</f>
        <v/>
      </c>
      <c r="V41" s="36" t="str">
        <f>IF($B41="","",SUMIFS('Nhật ký bảo trì'!$O$6:$O$405,'Nhật ký bảo trì'!$E$6:$E$405,$B41,'Nhật ký bảo trì'!$B$6:$B$405,"&gt;="&amp;DATE('Tổng quan'!$B$6,1,1),'Nhật ký bảo trì'!$B$6:$B$405,"&lt;="&amp;DATE('Tổng quan'!$B$6,12,31)))</f>
        <v/>
      </c>
      <c r="W41" s="26" t="str">
        <f>IF(OR($B41="",$K41=""),"",IF($K41&lt;'Tổng quan'!$B$11,"Hết bảo hành",IF($K41-'Tổng quan'!$B$11&lt;='Cài đặt'!$B$103,"Sắp hết BH ("&amp;($K41-'Tổng quan'!$B$11)&amp;" ngày)","Còn bảo hành")))</f>
        <v/>
      </c>
      <c r="X41" s="31"/>
    </row>
    <row r="42" ht="24.0" customHeight="1">
      <c r="A42" s="10" t="str">
        <f t="shared" si="1"/>
        <v/>
      </c>
      <c r="B42" s="11"/>
      <c r="C42" s="12"/>
      <c r="D42" s="12"/>
      <c r="E42" s="12"/>
      <c r="F42" s="12"/>
      <c r="G42" s="12"/>
      <c r="H42" s="13"/>
      <c r="I42" s="11"/>
      <c r="J42" s="11"/>
      <c r="K42" s="13"/>
      <c r="L42" s="12"/>
      <c r="M42" s="12"/>
      <c r="N42" s="10" t="str">
        <f>IF($B42="","",COUNTIF('Kế hoạch định kỳ'!$C$6:$C$125,$B42))</f>
        <v/>
      </c>
      <c r="O42" s="17" t="str">
        <f>IF($B42="","",IF(SUMPRODUCT(MAX(('Nhật ký bảo trì'!$E$6:$E$405=$B42)*('Nhật ký bảo trì'!$Q$6:$Q$405="Hoàn thành")*'Nhật ký bảo trì'!$B$6:$B$405))=0,"",SUMPRODUCT(MAX(('Nhật ký bảo trì'!$E$6:$E$405=$B42)*('Nhật ký bảo trì'!$Q$6:$Q$405="Hoàn thành")*'Nhật ký bảo trì'!$B$6:$B$405))))</f>
        <v/>
      </c>
      <c r="P42" s="17" t="str">
        <f>IF($B42="","",IF(SUMPRODUCT(MIN(('Kế hoạch định kỳ'!$C$6:$C$125=$B42)*'Kế hoạch định kỳ'!$W$6:$W$125+('Kế hoạch định kỳ'!$C$6:$C$125&lt;&gt;$B42)*99999))&gt;=99999,"",SUMPRODUCT(MIN(('Kế hoạch định kỳ'!$C$6:$C$125=$B42)*'Kế hoạch định kỳ'!$W$6:$W$125+('Kế hoạch định kỳ'!$C$6:$C$125&lt;&gt;$B42)*99999))))</f>
        <v/>
      </c>
      <c r="Q42" s="10" t="str">
        <f>IF($P42="","",$P42-'Tổng quan'!$B$11)</f>
        <v/>
      </c>
      <c r="R42" s="10" t="str">
        <f>IF($B42="","",IF($J42="Ngừng sử dụng","Ngừng sử dụng",IF($P42="","Chưa có kế hoạch",IF($P42&lt;'Tổng quan'!$B$11,"Có việc quá hạn",IF($P42-'Tổng quan'!$B$11&lt;='Cài đặt'!$B$102,"Sắp đến hạn","Trong hạn")))))</f>
        <v/>
      </c>
      <c r="S42" s="10" t="str">
        <f>IF($B42="","",COUNTIFS('Nhật ký bảo trì'!$E$6:$E$405,$B42,'Nhật ký bảo trì'!$C$6:$C$405,"Sửa chữa sự cố",'Nhật ký bảo trì'!$B$6:$B$405,"&gt;="&amp;DATE('Tổng quan'!$B$6,1,1),'Nhật ký bảo trì'!$B$6:$B$405,"&lt;="&amp;DATE('Tổng quan'!$B$6,12,31)))</f>
        <v/>
      </c>
      <c r="T42" s="22" t="str">
        <f>IF($B42="","",SUMIFS('Nhật ký bảo trì'!$K$6:$K$405,'Nhật ký bảo trì'!$E$6:$E$405,$B42,'Nhật ký bảo trì'!$B$6:$B$405,"&gt;="&amp;DATE('Tổng quan'!$B$6,1,1),'Nhật ký bảo trì'!$B$6:$B$405,"&lt;="&amp;DATE('Tổng quan'!$B$6,12,31)))</f>
        <v/>
      </c>
      <c r="U42" s="22" t="str">
        <f>IF(OR($B42="",N($S42)=0),"",SUMIFS('Nhật ký bảo trì'!$J$6:$J$405,'Nhật ký bảo trì'!$E$6:$E$405,$B42,'Nhật ký bảo trì'!$C$6:$C$405,"Sửa chữa sự cố",'Nhật ký bảo trì'!$B$6:$B$405,"&gt;="&amp;DATE('Tổng quan'!$B$6,1,1),'Nhật ký bảo trì'!$B$6:$B$405,"&lt;="&amp;DATE('Tổng quan'!$B$6,12,31))/$S42)</f>
        <v/>
      </c>
      <c r="V42" s="21" t="str">
        <f>IF($B42="","",SUMIFS('Nhật ký bảo trì'!$O$6:$O$405,'Nhật ký bảo trì'!$E$6:$E$405,$B42,'Nhật ký bảo trì'!$B$6:$B$405,"&gt;="&amp;DATE('Tổng quan'!$B$6,1,1),'Nhật ký bảo trì'!$B$6:$B$405,"&lt;="&amp;DATE('Tổng quan'!$B$6,12,31)))</f>
        <v/>
      </c>
      <c r="W42" s="10" t="str">
        <f>IF(OR($B42="",$K42=""),"",IF($K42&lt;'Tổng quan'!$B$11,"Hết bảo hành",IF($K42-'Tổng quan'!$B$11&lt;='Cài đặt'!$B$103,"Sắp hết BH ("&amp;($K42-'Tổng quan'!$B$11)&amp;" ngày)","Còn bảo hành")))</f>
        <v/>
      </c>
      <c r="X42" s="12"/>
    </row>
    <row r="43" ht="24.0" customHeight="1">
      <c r="A43" s="26" t="str">
        <f t="shared" si="1"/>
        <v/>
      </c>
      <c r="B43" s="27"/>
      <c r="C43" s="31"/>
      <c r="D43" s="31"/>
      <c r="E43" s="31"/>
      <c r="F43" s="31"/>
      <c r="G43" s="31"/>
      <c r="H43" s="32"/>
      <c r="I43" s="27"/>
      <c r="J43" s="27"/>
      <c r="K43" s="32"/>
      <c r="L43" s="31"/>
      <c r="M43" s="31"/>
      <c r="N43" s="26" t="str">
        <f>IF($B43="","",COUNTIF('Kế hoạch định kỳ'!$C$6:$C$125,$B43))</f>
        <v/>
      </c>
      <c r="O43" s="33" t="str">
        <f>IF($B43="","",IF(SUMPRODUCT(MAX(('Nhật ký bảo trì'!$E$6:$E$405=$B43)*('Nhật ký bảo trì'!$Q$6:$Q$405="Hoàn thành")*'Nhật ký bảo trì'!$B$6:$B$405))=0,"",SUMPRODUCT(MAX(('Nhật ký bảo trì'!$E$6:$E$405=$B43)*('Nhật ký bảo trì'!$Q$6:$Q$405="Hoàn thành")*'Nhật ký bảo trì'!$B$6:$B$405))))</f>
        <v/>
      </c>
      <c r="P43" s="33" t="str">
        <f>IF($B43="","",IF(SUMPRODUCT(MIN(('Kế hoạch định kỳ'!$C$6:$C$125=$B43)*'Kế hoạch định kỳ'!$W$6:$W$125+('Kế hoạch định kỳ'!$C$6:$C$125&lt;&gt;$B43)*99999))&gt;=99999,"",SUMPRODUCT(MIN(('Kế hoạch định kỳ'!$C$6:$C$125=$B43)*'Kế hoạch định kỳ'!$W$6:$W$125+('Kế hoạch định kỳ'!$C$6:$C$125&lt;&gt;$B43)*99999))))</f>
        <v/>
      </c>
      <c r="Q43" s="26" t="str">
        <f>IF($P43="","",$P43-'Tổng quan'!$B$11)</f>
        <v/>
      </c>
      <c r="R43" s="26" t="str">
        <f>IF($B43="","",IF($J43="Ngừng sử dụng","Ngừng sử dụng",IF($P43="","Chưa có kế hoạch",IF($P43&lt;'Tổng quan'!$B$11,"Có việc quá hạn",IF($P43-'Tổng quan'!$B$11&lt;='Cài đặt'!$B$102,"Sắp đến hạn","Trong hạn")))))</f>
        <v/>
      </c>
      <c r="S43" s="26" t="str">
        <f>IF($B43="","",COUNTIFS('Nhật ký bảo trì'!$E$6:$E$405,$B43,'Nhật ký bảo trì'!$C$6:$C$405,"Sửa chữa sự cố",'Nhật ký bảo trì'!$B$6:$B$405,"&gt;="&amp;DATE('Tổng quan'!$B$6,1,1),'Nhật ký bảo trì'!$B$6:$B$405,"&lt;="&amp;DATE('Tổng quan'!$B$6,12,31)))</f>
        <v/>
      </c>
      <c r="T43" s="39" t="str">
        <f>IF($B43="","",SUMIFS('Nhật ký bảo trì'!$K$6:$K$405,'Nhật ký bảo trì'!$E$6:$E$405,$B43,'Nhật ký bảo trì'!$B$6:$B$405,"&gt;="&amp;DATE('Tổng quan'!$B$6,1,1),'Nhật ký bảo trì'!$B$6:$B$405,"&lt;="&amp;DATE('Tổng quan'!$B$6,12,31)))</f>
        <v/>
      </c>
      <c r="U43" s="39" t="str">
        <f>IF(OR($B43="",N($S43)=0),"",SUMIFS('Nhật ký bảo trì'!$J$6:$J$405,'Nhật ký bảo trì'!$E$6:$E$405,$B43,'Nhật ký bảo trì'!$C$6:$C$405,"Sửa chữa sự cố",'Nhật ký bảo trì'!$B$6:$B$405,"&gt;="&amp;DATE('Tổng quan'!$B$6,1,1),'Nhật ký bảo trì'!$B$6:$B$405,"&lt;="&amp;DATE('Tổng quan'!$B$6,12,31))/$S43)</f>
        <v/>
      </c>
      <c r="V43" s="36" t="str">
        <f>IF($B43="","",SUMIFS('Nhật ký bảo trì'!$O$6:$O$405,'Nhật ký bảo trì'!$E$6:$E$405,$B43,'Nhật ký bảo trì'!$B$6:$B$405,"&gt;="&amp;DATE('Tổng quan'!$B$6,1,1),'Nhật ký bảo trì'!$B$6:$B$405,"&lt;="&amp;DATE('Tổng quan'!$B$6,12,31)))</f>
        <v/>
      </c>
      <c r="W43" s="26" t="str">
        <f>IF(OR($B43="",$K43=""),"",IF($K43&lt;'Tổng quan'!$B$11,"Hết bảo hành",IF($K43-'Tổng quan'!$B$11&lt;='Cài đặt'!$B$103,"Sắp hết BH ("&amp;($K43-'Tổng quan'!$B$11)&amp;" ngày)","Còn bảo hành")))</f>
        <v/>
      </c>
      <c r="X43" s="31"/>
    </row>
    <row r="44" ht="24.0" customHeight="1">
      <c r="A44" s="10" t="str">
        <f t="shared" si="1"/>
        <v/>
      </c>
      <c r="B44" s="11"/>
      <c r="C44" s="12"/>
      <c r="D44" s="12"/>
      <c r="E44" s="12"/>
      <c r="F44" s="12"/>
      <c r="G44" s="12"/>
      <c r="H44" s="13"/>
      <c r="I44" s="11"/>
      <c r="J44" s="11"/>
      <c r="K44" s="13"/>
      <c r="L44" s="12"/>
      <c r="M44" s="12"/>
      <c r="N44" s="10" t="str">
        <f>IF($B44="","",COUNTIF('Kế hoạch định kỳ'!$C$6:$C$125,$B44))</f>
        <v/>
      </c>
      <c r="O44" s="17" t="str">
        <f>IF($B44="","",IF(SUMPRODUCT(MAX(('Nhật ký bảo trì'!$E$6:$E$405=$B44)*('Nhật ký bảo trì'!$Q$6:$Q$405="Hoàn thành")*'Nhật ký bảo trì'!$B$6:$B$405))=0,"",SUMPRODUCT(MAX(('Nhật ký bảo trì'!$E$6:$E$405=$B44)*('Nhật ký bảo trì'!$Q$6:$Q$405="Hoàn thành")*'Nhật ký bảo trì'!$B$6:$B$405))))</f>
        <v/>
      </c>
      <c r="P44" s="17" t="str">
        <f>IF($B44="","",IF(SUMPRODUCT(MIN(('Kế hoạch định kỳ'!$C$6:$C$125=$B44)*'Kế hoạch định kỳ'!$W$6:$W$125+('Kế hoạch định kỳ'!$C$6:$C$125&lt;&gt;$B44)*99999))&gt;=99999,"",SUMPRODUCT(MIN(('Kế hoạch định kỳ'!$C$6:$C$125=$B44)*'Kế hoạch định kỳ'!$W$6:$W$125+('Kế hoạch định kỳ'!$C$6:$C$125&lt;&gt;$B44)*99999))))</f>
        <v/>
      </c>
      <c r="Q44" s="10" t="str">
        <f>IF($P44="","",$P44-'Tổng quan'!$B$11)</f>
        <v/>
      </c>
      <c r="R44" s="10" t="str">
        <f>IF($B44="","",IF($J44="Ngừng sử dụng","Ngừng sử dụng",IF($P44="","Chưa có kế hoạch",IF($P44&lt;'Tổng quan'!$B$11,"Có việc quá hạn",IF($P44-'Tổng quan'!$B$11&lt;='Cài đặt'!$B$102,"Sắp đến hạn","Trong hạn")))))</f>
        <v/>
      </c>
      <c r="S44" s="10" t="str">
        <f>IF($B44="","",COUNTIFS('Nhật ký bảo trì'!$E$6:$E$405,$B44,'Nhật ký bảo trì'!$C$6:$C$405,"Sửa chữa sự cố",'Nhật ký bảo trì'!$B$6:$B$405,"&gt;="&amp;DATE('Tổng quan'!$B$6,1,1),'Nhật ký bảo trì'!$B$6:$B$405,"&lt;="&amp;DATE('Tổng quan'!$B$6,12,31)))</f>
        <v/>
      </c>
      <c r="T44" s="22" t="str">
        <f>IF($B44="","",SUMIFS('Nhật ký bảo trì'!$K$6:$K$405,'Nhật ký bảo trì'!$E$6:$E$405,$B44,'Nhật ký bảo trì'!$B$6:$B$405,"&gt;="&amp;DATE('Tổng quan'!$B$6,1,1),'Nhật ký bảo trì'!$B$6:$B$405,"&lt;="&amp;DATE('Tổng quan'!$B$6,12,31)))</f>
        <v/>
      </c>
      <c r="U44" s="22" t="str">
        <f>IF(OR($B44="",N($S44)=0),"",SUMIFS('Nhật ký bảo trì'!$J$6:$J$405,'Nhật ký bảo trì'!$E$6:$E$405,$B44,'Nhật ký bảo trì'!$C$6:$C$405,"Sửa chữa sự cố",'Nhật ký bảo trì'!$B$6:$B$405,"&gt;="&amp;DATE('Tổng quan'!$B$6,1,1),'Nhật ký bảo trì'!$B$6:$B$405,"&lt;="&amp;DATE('Tổng quan'!$B$6,12,31))/$S44)</f>
        <v/>
      </c>
      <c r="V44" s="21" t="str">
        <f>IF($B44="","",SUMIFS('Nhật ký bảo trì'!$O$6:$O$405,'Nhật ký bảo trì'!$E$6:$E$405,$B44,'Nhật ký bảo trì'!$B$6:$B$405,"&gt;="&amp;DATE('Tổng quan'!$B$6,1,1),'Nhật ký bảo trì'!$B$6:$B$405,"&lt;="&amp;DATE('Tổng quan'!$B$6,12,31)))</f>
        <v/>
      </c>
      <c r="W44" s="10" t="str">
        <f>IF(OR($B44="",$K44=""),"",IF($K44&lt;'Tổng quan'!$B$11,"Hết bảo hành",IF($K44-'Tổng quan'!$B$11&lt;='Cài đặt'!$B$103,"Sắp hết BH ("&amp;($K44-'Tổng quan'!$B$11)&amp;" ngày)","Còn bảo hành")))</f>
        <v/>
      </c>
      <c r="X44" s="12"/>
    </row>
    <row r="45" ht="24.0" customHeight="1">
      <c r="A45" s="26" t="str">
        <f t="shared" si="1"/>
        <v/>
      </c>
      <c r="B45" s="27"/>
      <c r="C45" s="31"/>
      <c r="D45" s="31"/>
      <c r="E45" s="31"/>
      <c r="F45" s="31"/>
      <c r="G45" s="31"/>
      <c r="H45" s="32"/>
      <c r="I45" s="27"/>
      <c r="J45" s="27"/>
      <c r="K45" s="32"/>
      <c r="L45" s="31"/>
      <c r="M45" s="31"/>
      <c r="N45" s="26" t="str">
        <f>IF($B45="","",COUNTIF('Kế hoạch định kỳ'!$C$6:$C$125,$B45))</f>
        <v/>
      </c>
      <c r="O45" s="33" t="str">
        <f>IF($B45="","",IF(SUMPRODUCT(MAX(('Nhật ký bảo trì'!$E$6:$E$405=$B45)*('Nhật ký bảo trì'!$Q$6:$Q$405="Hoàn thành")*'Nhật ký bảo trì'!$B$6:$B$405))=0,"",SUMPRODUCT(MAX(('Nhật ký bảo trì'!$E$6:$E$405=$B45)*('Nhật ký bảo trì'!$Q$6:$Q$405="Hoàn thành")*'Nhật ký bảo trì'!$B$6:$B$405))))</f>
        <v/>
      </c>
      <c r="P45" s="33" t="str">
        <f>IF($B45="","",IF(SUMPRODUCT(MIN(('Kế hoạch định kỳ'!$C$6:$C$125=$B45)*'Kế hoạch định kỳ'!$W$6:$W$125+('Kế hoạch định kỳ'!$C$6:$C$125&lt;&gt;$B45)*99999))&gt;=99999,"",SUMPRODUCT(MIN(('Kế hoạch định kỳ'!$C$6:$C$125=$B45)*'Kế hoạch định kỳ'!$W$6:$W$125+('Kế hoạch định kỳ'!$C$6:$C$125&lt;&gt;$B45)*99999))))</f>
        <v/>
      </c>
      <c r="Q45" s="26" t="str">
        <f>IF($P45="","",$P45-'Tổng quan'!$B$11)</f>
        <v/>
      </c>
      <c r="R45" s="26" t="str">
        <f>IF($B45="","",IF($J45="Ngừng sử dụng","Ngừng sử dụng",IF($P45="","Chưa có kế hoạch",IF($P45&lt;'Tổng quan'!$B$11,"Có việc quá hạn",IF($P45-'Tổng quan'!$B$11&lt;='Cài đặt'!$B$102,"Sắp đến hạn","Trong hạn")))))</f>
        <v/>
      </c>
      <c r="S45" s="26" t="str">
        <f>IF($B45="","",COUNTIFS('Nhật ký bảo trì'!$E$6:$E$405,$B45,'Nhật ký bảo trì'!$C$6:$C$405,"Sửa chữa sự cố",'Nhật ký bảo trì'!$B$6:$B$405,"&gt;="&amp;DATE('Tổng quan'!$B$6,1,1),'Nhật ký bảo trì'!$B$6:$B$405,"&lt;="&amp;DATE('Tổng quan'!$B$6,12,31)))</f>
        <v/>
      </c>
      <c r="T45" s="39" t="str">
        <f>IF($B45="","",SUMIFS('Nhật ký bảo trì'!$K$6:$K$405,'Nhật ký bảo trì'!$E$6:$E$405,$B45,'Nhật ký bảo trì'!$B$6:$B$405,"&gt;="&amp;DATE('Tổng quan'!$B$6,1,1),'Nhật ký bảo trì'!$B$6:$B$405,"&lt;="&amp;DATE('Tổng quan'!$B$6,12,31)))</f>
        <v/>
      </c>
      <c r="U45" s="39" t="str">
        <f>IF(OR($B45="",N($S45)=0),"",SUMIFS('Nhật ký bảo trì'!$J$6:$J$405,'Nhật ký bảo trì'!$E$6:$E$405,$B45,'Nhật ký bảo trì'!$C$6:$C$405,"Sửa chữa sự cố",'Nhật ký bảo trì'!$B$6:$B$405,"&gt;="&amp;DATE('Tổng quan'!$B$6,1,1),'Nhật ký bảo trì'!$B$6:$B$405,"&lt;="&amp;DATE('Tổng quan'!$B$6,12,31))/$S45)</f>
        <v/>
      </c>
      <c r="V45" s="36" t="str">
        <f>IF($B45="","",SUMIFS('Nhật ký bảo trì'!$O$6:$O$405,'Nhật ký bảo trì'!$E$6:$E$405,$B45,'Nhật ký bảo trì'!$B$6:$B$405,"&gt;="&amp;DATE('Tổng quan'!$B$6,1,1),'Nhật ký bảo trì'!$B$6:$B$405,"&lt;="&amp;DATE('Tổng quan'!$B$6,12,31)))</f>
        <v/>
      </c>
      <c r="W45" s="26" t="str">
        <f>IF(OR($B45="",$K45=""),"",IF($K45&lt;'Tổng quan'!$B$11,"Hết bảo hành",IF($K45-'Tổng quan'!$B$11&lt;='Cài đặt'!$B$103,"Sắp hết BH ("&amp;($K45-'Tổng quan'!$B$11)&amp;" ngày)","Còn bảo hành")))</f>
        <v/>
      </c>
      <c r="X45" s="31"/>
    </row>
    <row r="46" ht="24.0" customHeight="1">
      <c r="A46" s="10" t="str">
        <f t="shared" si="1"/>
        <v/>
      </c>
      <c r="B46" s="11"/>
      <c r="C46" s="12"/>
      <c r="D46" s="12"/>
      <c r="E46" s="12"/>
      <c r="F46" s="12"/>
      <c r="G46" s="12"/>
      <c r="H46" s="13"/>
      <c r="I46" s="11"/>
      <c r="J46" s="11"/>
      <c r="K46" s="13"/>
      <c r="L46" s="12"/>
      <c r="M46" s="12"/>
      <c r="N46" s="10" t="str">
        <f>IF($B46="","",COUNTIF('Kế hoạch định kỳ'!$C$6:$C$125,$B46))</f>
        <v/>
      </c>
      <c r="O46" s="17" t="str">
        <f>IF($B46="","",IF(SUMPRODUCT(MAX(('Nhật ký bảo trì'!$E$6:$E$405=$B46)*('Nhật ký bảo trì'!$Q$6:$Q$405="Hoàn thành")*'Nhật ký bảo trì'!$B$6:$B$405))=0,"",SUMPRODUCT(MAX(('Nhật ký bảo trì'!$E$6:$E$405=$B46)*('Nhật ký bảo trì'!$Q$6:$Q$405="Hoàn thành")*'Nhật ký bảo trì'!$B$6:$B$405))))</f>
        <v/>
      </c>
      <c r="P46" s="17" t="str">
        <f>IF($B46="","",IF(SUMPRODUCT(MIN(('Kế hoạch định kỳ'!$C$6:$C$125=$B46)*'Kế hoạch định kỳ'!$W$6:$W$125+('Kế hoạch định kỳ'!$C$6:$C$125&lt;&gt;$B46)*99999))&gt;=99999,"",SUMPRODUCT(MIN(('Kế hoạch định kỳ'!$C$6:$C$125=$B46)*'Kế hoạch định kỳ'!$W$6:$W$125+('Kế hoạch định kỳ'!$C$6:$C$125&lt;&gt;$B46)*99999))))</f>
        <v/>
      </c>
      <c r="Q46" s="10" t="str">
        <f>IF($P46="","",$P46-'Tổng quan'!$B$11)</f>
        <v/>
      </c>
      <c r="R46" s="10" t="str">
        <f>IF($B46="","",IF($J46="Ngừng sử dụng","Ngừng sử dụng",IF($P46="","Chưa có kế hoạch",IF($P46&lt;'Tổng quan'!$B$11,"Có việc quá hạn",IF($P46-'Tổng quan'!$B$11&lt;='Cài đặt'!$B$102,"Sắp đến hạn","Trong hạn")))))</f>
        <v/>
      </c>
      <c r="S46" s="10" t="str">
        <f>IF($B46="","",COUNTIFS('Nhật ký bảo trì'!$E$6:$E$405,$B46,'Nhật ký bảo trì'!$C$6:$C$405,"Sửa chữa sự cố",'Nhật ký bảo trì'!$B$6:$B$405,"&gt;="&amp;DATE('Tổng quan'!$B$6,1,1),'Nhật ký bảo trì'!$B$6:$B$405,"&lt;="&amp;DATE('Tổng quan'!$B$6,12,31)))</f>
        <v/>
      </c>
      <c r="T46" s="22" t="str">
        <f>IF($B46="","",SUMIFS('Nhật ký bảo trì'!$K$6:$K$405,'Nhật ký bảo trì'!$E$6:$E$405,$B46,'Nhật ký bảo trì'!$B$6:$B$405,"&gt;="&amp;DATE('Tổng quan'!$B$6,1,1),'Nhật ký bảo trì'!$B$6:$B$405,"&lt;="&amp;DATE('Tổng quan'!$B$6,12,31)))</f>
        <v/>
      </c>
      <c r="U46" s="22" t="str">
        <f>IF(OR($B46="",N($S46)=0),"",SUMIFS('Nhật ký bảo trì'!$J$6:$J$405,'Nhật ký bảo trì'!$E$6:$E$405,$B46,'Nhật ký bảo trì'!$C$6:$C$405,"Sửa chữa sự cố",'Nhật ký bảo trì'!$B$6:$B$405,"&gt;="&amp;DATE('Tổng quan'!$B$6,1,1),'Nhật ký bảo trì'!$B$6:$B$405,"&lt;="&amp;DATE('Tổng quan'!$B$6,12,31))/$S46)</f>
        <v/>
      </c>
      <c r="V46" s="21" t="str">
        <f>IF($B46="","",SUMIFS('Nhật ký bảo trì'!$O$6:$O$405,'Nhật ký bảo trì'!$E$6:$E$405,$B46,'Nhật ký bảo trì'!$B$6:$B$405,"&gt;="&amp;DATE('Tổng quan'!$B$6,1,1),'Nhật ký bảo trì'!$B$6:$B$405,"&lt;="&amp;DATE('Tổng quan'!$B$6,12,31)))</f>
        <v/>
      </c>
      <c r="W46" s="10" t="str">
        <f>IF(OR($B46="",$K46=""),"",IF($K46&lt;'Tổng quan'!$B$11,"Hết bảo hành",IF($K46-'Tổng quan'!$B$11&lt;='Cài đặt'!$B$103,"Sắp hết BH ("&amp;($K46-'Tổng quan'!$B$11)&amp;" ngày)","Còn bảo hành")))</f>
        <v/>
      </c>
      <c r="X46" s="12"/>
    </row>
    <row r="47" ht="24.0" customHeight="1">
      <c r="A47" s="26" t="str">
        <f t="shared" si="1"/>
        <v/>
      </c>
      <c r="B47" s="27"/>
      <c r="C47" s="31"/>
      <c r="D47" s="31"/>
      <c r="E47" s="31"/>
      <c r="F47" s="31"/>
      <c r="G47" s="31"/>
      <c r="H47" s="32"/>
      <c r="I47" s="27"/>
      <c r="J47" s="27"/>
      <c r="K47" s="32"/>
      <c r="L47" s="31"/>
      <c r="M47" s="31"/>
      <c r="N47" s="26" t="str">
        <f>IF($B47="","",COUNTIF('Kế hoạch định kỳ'!$C$6:$C$125,$B47))</f>
        <v/>
      </c>
      <c r="O47" s="33" t="str">
        <f>IF($B47="","",IF(SUMPRODUCT(MAX(('Nhật ký bảo trì'!$E$6:$E$405=$B47)*('Nhật ký bảo trì'!$Q$6:$Q$405="Hoàn thành")*'Nhật ký bảo trì'!$B$6:$B$405))=0,"",SUMPRODUCT(MAX(('Nhật ký bảo trì'!$E$6:$E$405=$B47)*('Nhật ký bảo trì'!$Q$6:$Q$405="Hoàn thành")*'Nhật ký bảo trì'!$B$6:$B$405))))</f>
        <v/>
      </c>
      <c r="P47" s="33" t="str">
        <f>IF($B47="","",IF(SUMPRODUCT(MIN(('Kế hoạch định kỳ'!$C$6:$C$125=$B47)*'Kế hoạch định kỳ'!$W$6:$W$125+('Kế hoạch định kỳ'!$C$6:$C$125&lt;&gt;$B47)*99999))&gt;=99999,"",SUMPRODUCT(MIN(('Kế hoạch định kỳ'!$C$6:$C$125=$B47)*'Kế hoạch định kỳ'!$W$6:$W$125+('Kế hoạch định kỳ'!$C$6:$C$125&lt;&gt;$B47)*99999))))</f>
        <v/>
      </c>
      <c r="Q47" s="26" t="str">
        <f>IF($P47="","",$P47-'Tổng quan'!$B$11)</f>
        <v/>
      </c>
      <c r="R47" s="26" t="str">
        <f>IF($B47="","",IF($J47="Ngừng sử dụng","Ngừng sử dụng",IF($P47="","Chưa có kế hoạch",IF($P47&lt;'Tổng quan'!$B$11,"Có việc quá hạn",IF($P47-'Tổng quan'!$B$11&lt;='Cài đặt'!$B$102,"Sắp đến hạn","Trong hạn")))))</f>
        <v/>
      </c>
      <c r="S47" s="26" t="str">
        <f>IF($B47="","",COUNTIFS('Nhật ký bảo trì'!$E$6:$E$405,$B47,'Nhật ký bảo trì'!$C$6:$C$405,"Sửa chữa sự cố",'Nhật ký bảo trì'!$B$6:$B$405,"&gt;="&amp;DATE('Tổng quan'!$B$6,1,1),'Nhật ký bảo trì'!$B$6:$B$405,"&lt;="&amp;DATE('Tổng quan'!$B$6,12,31)))</f>
        <v/>
      </c>
      <c r="T47" s="39" t="str">
        <f>IF($B47="","",SUMIFS('Nhật ký bảo trì'!$K$6:$K$405,'Nhật ký bảo trì'!$E$6:$E$405,$B47,'Nhật ký bảo trì'!$B$6:$B$405,"&gt;="&amp;DATE('Tổng quan'!$B$6,1,1),'Nhật ký bảo trì'!$B$6:$B$405,"&lt;="&amp;DATE('Tổng quan'!$B$6,12,31)))</f>
        <v/>
      </c>
      <c r="U47" s="39" t="str">
        <f>IF(OR($B47="",N($S47)=0),"",SUMIFS('Nhật ký bảo trì'!$J$6:$J$405,'Nhật ký bảo trì'!$E$6:$E$405,$B47,'Nhật ký bảo trì'!$C$6:$C$405,"Sửa chữa sự cố",'Nhật ký bảo trì'!$B$6:$B$405,"&gt;="&amp;DATE('Tổng quan'!$B$6,1,1),'Nhật ký bảo trì'!$B$6:$B$405,"&lt;="&amp;DATE('Tổng quan'!$B$6,12,31))/$S47)</f>
        <v/>
      </c>
      <c r="V47" s="36" t="str">
        <f>IF($B47="","",SUMIFS('Nhật ký bảo trì'!$O$6:$O$405,'Nhật ký bảo trì'!$E$6:$E$405,$B47,'Nhật ký bảo trì'!$B$6:$B$405,"&gt;="&amp;DATE('Tổng quan'!$B$6,1,1),'Nhật ký bảo trì'!$B$6:$B$405,"&lt;="&amp;DATE('Tổng quan'!$B$6,12,31)))</f>
        <v/>
      </c>
      <c r="W47" s="26" t="str">
        <f>IF(OR($B47="",$K47=""),"",IF($K47&lt;'Tổng quan'!$B$11,"Hết bảo hành",IF($K47-'Tổng quan'!$B$11&lt;='Cài đặt'!$B$103,"Sắp hết BH ("&amp;($K47-'Tổng quan'!$B$11)&amp;" ngày)","Còn bảo hành")))</f>
        <v/>
      </c>
      <c r="X47" s="31"/>
    </row>
    <row r="48" ht="24.0" customHeight="1">
      <c r="A48" s="10" t="str">
        <f t="shared" si="1"/>
        <v/>
      </c>
      <c r="B48" s="11"/>
      <c r="C48" s="12"/>
      <c r="D48" s="12"/>
      <c r="E48" s="12"/>
      <c r="F48" s="12"/>
      <c r="G48" s="12"/>
      <c r="H48" s="13"/>
      <c r="I48" s="11"/>
      <c r="J48" s="11"/>
      <c r="K48" s="13"/>
      <c r="L48" s="12"/>
      <c r="M48" s="12"/>
      <c r="N48" s="10" t="str">
        <f>IF($B48="","",COUNTIF('Kế hoạch định kỳ'!$C$6:$C$125,$B48))</f>
        <v/>
      </c>
      <c r="O48" s="17" t="str">
        <f>IF($B48="","",IF(SUMPRODUCT(MAX(('Nhật ký bảo trì'!$E$6:$E$405=$B48)*('Nhật ký bảo trì'!$Q$6:$Q$405="Hoàn thành")*'Nhật ký bảo trì'!$B$6:$B$405))=0,"",SUMPRODUCT(MAX(('Nhật ký bảo trì'!$E$6:$E$405=$B48)*('Nhật ký bảo trì'!$Q$6:$Q$405="Hoàn thành")*'Nhật ký bảo trì'!$B$6:$B$405))))</f>
        <v/>
      </c>
      <c r="P48" s="17" t="str">
        <f>IF($B48="","",IF(SUMPRODUCT(MIN(('Kế hoạch định kỳ'!$C$6:$C$125=$B48)*'Kế hoạch định kỳ'!$W$6:$W$125+('Kế hoạch định kỳ'!$C$6:$C$125&lt;&gt;$B48)*99999))&gt;=99999,"",SUMPRODUCT(MIN(('Kế hoạch định kỳ'!$C$6:$C$125=$B48)*'Kế hoạch định kỳ'!$W$6:$W$125+('Kế hoạch định kỳ'!$C$6:$C$125&lt;&gt;$B48)*99999))))</f>
        <v/>
      </c>
      <c r="Q48" s="10" t="str">
        <f>IF($P48="","",$P48-'Tổng quan'!$B$11)</f>
        <v/>
      </c>
      <c r="R48" s="10" t="str">
        <f>IF($B48="","",IF($J48="Ngừng sử dụng","Ngừng sử dụng",IF($P48="","Chưa có kế hoạch",IF($P48&lt;'Tổng quan'!$B$11,"Có việc quá hạn",IF($P48-'Tổng quan'!$B$11&lt;='Cài đặt'!$B$102,"Sắp đến hạn","Trong hạn")))))</f>
        <v/>
      </c>
      <c r="S48" s="10" t="str">
        <f>IF($B48="","",COUNTIFS('Nhật ký bảo trì'!$E$6:$E$405,$B48,'Nhật ký bảo trì'!$C$6:$C$405,"Sửa chữa sự cố",'Nhật ký bảo trì'!$B$6:$B$405,"&gt;="&amp;DATE('Tổng quan'!$B$6,1,1),'Nhật ký bảo trì'!$B$6:$B$405,"&lt;="&amp;DATE('Tổng quan'!$B$6,12,31)))</f>
        <v/>
      </c>
      <c r="T48" s="22" t="str">
        <f>IF($B48="","",SUMIFS('Nhật ký bảo trì'!$K$6:$K$405,'Nhật ký bảo trì'!$E$6:$E$405,$B48,'Nhật ký bảo trì'!$B$6:$B$405,"&gt;="&amp;DATE('Tổng quan'!$B$6,1,1),'Nhật ký bảo trì'!$B$6:$B$405,"&lt;="&amp;DATE('Tổng quan'!$B$6,12,31)))</f>
        <v/>
      </c>
      <c r="U48" s="22" t="str">
        <f>IF(OR($B48="",N($S48)=0),"",SUMIFS('Nhật ký bảo trì'!$J$6:$J$405,'Nhật ký bảo trì'!$E$6:$E$405,$B48,'Nhật ký bảo trì'!$C$6:$C$405,"Sửa chữa sự cố",'Nhật ký bảo trì'!$B$6:$B$405,"&gt;="&amp;DATE('Tổng quan'!$B$6,1,1),'Nhật ký bảo trì'!$B$6:$B$405,"&lt;="&amp;DATE('Tổng quan'!$B$6,12,31))/$S48)</f>
        <v/>
      </c>
      <c r="V48" s="21" t="str">
        <f>IF($B48="","",SUMIFS('Nhật ký bảo trì'!$O$6:$O$405,'Nhật ký bảo trì'!$E$6:$E$405,$B48,'Nhật ký bảo trì'!$B$6:$B$405,"&gt;="&amp;DATE('Tổng quan'!$B$6,1,1),'Nhật ký bảo trì'!$B$6:$B$405,"&lt;="&amp;DATE('Tổng quan'!$B$6,12,31)))</f>
        <v/>
      </c>
      <c r="W48" s="10" t="str">
        <f>IF(OR($B48="",$K48=""),"",IF($K48&lt;'Tổng quan'!$B$11,"Hết bảo hành",IF($K48-'Tổng quan'!$B$11&lt;='Cài đặt'!$B$103,"Sắp hết BH ("&amp;($K48-'Tổng quan'!$B$11)&amp;" ngày)","Còn bảo hành")))</f>
        <v/>
      </c>
      <c r="X48" s="12"/>
    </row>
    <row r="49" ht="24.0" customHeight="1">
      <c r="A49" s="26" t="str">
        <f t="shared" si="1"/>
        <v/>
      </c>
      <c r="B49" s="27"/>
      <c r="C49" s="31"/>
      <c r="D49" s="31"/>
      <c r="E49" s="31"/>
      <c r="F49" s="31"/>
      <c r="G49" s="31"/>
      <c r="H49" s="32"/>
      <c r="I49" s="27"/>
      <c r="J49" s="27"/>
      <c r="K49" s="32"/>
      <c r="L49" s="31"/>
      <c r="M49" s="31"/>
      <c r="N49" s="26" t="str">
        <f>IF($B49="","",COUNTIF('Kế hoạch định kỳ'!$C$6:$C$125,$B49))</f>
        <v/>
      </c>
      <c r="O49" s="33" t="str">
        <f>IF($B49="","",IF(SUMPRODUCT(MAX(('Nhật ký bảo trì'!$E$6:$E$405=$B49)*('Nhật ký bảo trì'!$Q$6:$Q$405="Hoàn thành")*'Nhật ký bảo trì'!$B$6:$B$405))=0,"",SUMPRODUCT(MAX(('Nhật ký bảo trì'!$E$6:$E$405=$B49)*('Nhật ký bảo trì'!$Q$6:$Q$405="Hoàn thành")*'Nhật ký bảo trì'!$B$6:$B$405))))</f>
        <v/>
      </c>
      <c r="P49" s="33" t="str">
        <f>IF($B49="","",IF(SUMPRODUCT(MIN(('Kế hoạch định kỳ'!$C$6:$C$125=$B49)*'Kế hoạch định kỳ'!$W$6:$W$125+('Kế hoạch định kỳ'!$C$6:$C$125&lt;&gt;$B49)*99999))&gt;=99999,"",SUMPRODUCT(MIN(('Kế hoạch định kỳ'!$C$6:$C$125=$B49)*'Kế hoạch định kỳ'!$W$6:$W$125+('Kế hoạch định kỳ'!$C$6:$C$125&lt;&gt;$B49)*99999))))</f>
        <v/>
      </c>
      <c r="Q49" s="26" t="str">
        <f>IF($P49="","",$P49-'Tổng quan'!$B$11)</f>
        <v/>
      </c>
      <c r="R49" s="26" t="str">
        <f>IF($B49="","",IF($J49="Ngừng sử dụng","Ngừng sử dụng",IF($P49="","Chưa có kế hoạch",IF($P49&lt;'Tổng quan'!$B$11,"Có việc quá hạn",IF($P49-'Tổng quan'!$B$11&lt;='Cài đặt'!$B$102,"Sắp đến hạn","Trong hạn")))))</f>
        <v/>
      </c>
      <c r="S49" s="26" t="str">
        <f>IF($B49="","",COUNTIFS('Nhật ký bảo trì'!$E$6:$E$405,$B49,'Nhật ký bảo trì'!$C$6:$C$405,"Sửa chữa sự cố",'Nhật ký bảo trì'!$B$6:$B$405,"&gt;="&amp;DATE('Tổng quan'!$B$6,1,1),'Nhật ký bảo trì'!$B$6:$B$405,"&lt;="&amp;DATE('Tổng quan'!$B$6,12,31)))</f>
        <v/>
      </c>
      <c r="T49" s="39" t="str">
        <f>IF($B49="","",SUMIFS('Nhật ký bảo trì'!$K$6:$K$405,'Nhật ký bảo trì'!$E$6:$E$405,$B49,'Nhật ký bảo trì'!$B$6:$B$405,"&gt;="&amp;DATE('Tổng quan'!$B$6,1,1),'Nhật ký bảo trì'!$B$6:$B$405,"&lt;="&amp;DATE('Tổng quan'!$B$6,12,31)))</f>
        <v/>
      </c>
      <c r="U49" s="39" t="str">
        <f>IF(OR($B49="",N($S49)=0),"",SUMIFS('Nhật ký bảo trì'!$J$6:$J$405,'Nhật ký bảo trì'!$E$6:$E$405,$B49,'Nhật ký bảo trì'!$C$6:$C$405,"Sửa chữa sự cố",'Nhật ký bảo trì'!$B$6:$B$405,"&gt;="&amp;DATE('Tổng quan'!$B$6,1,1),'Nhật ký bảo trì'!$B$6:$B$405,"&lt;="&amp;DATE('Tổng quan'!$B$6,12,31))/$S49)</f>
        <v/>
      </c>
      <c r="V49" s="36" t="str">
        <f>IF($B49="","",SUMIFS('Nhật ký bảo trì'!$O$6:$O$405,'Nhật ký bảo trì'!$E$6:$E$405,$B49,'Nhật ký bảo trì'!$B$6:$B$405,"&gt;="&amp;DATE('Tổng quan'!$B$6,1,1),'Nhật ký bảo trì'!$B$6:$B$405,"&lt;="&amp;DATE('Tổng quan'!$B$6,12,31)))</f>
        <v/>
      </c>
      <c r="W49" s="26" t="str">
        <f>IF(OR($B49="",$K49=""),"",IF($K49&lt;'Tổng quan'!$B$11,"Hết bảo hành",IF($K49-'Tổng quan'!$B$11&lt;='Cài đặt'!$B$103,"Sắp hết BH ("&amp;($K49-'Tổng quan'!$B$11)&amp;" ngày)","Còn bảo hành")))</f>
        <v/>
      </c>
      <c r="X49" s="31"/>
    </row>
    <row r="50" ht="24.0" customHeight="1">
      <c r="A50" s="10" t="str">
        <f t="shared" si="1"/>
        <v/>
      </c>
      <c r="B50" s="11"/>
      <c r="C50" s="12"/>
      <c r="D50" s="12"/>
      <c r="E50" s="12"/>
      <c r="F50" s="12"/>
      <c r="G50" s="12"/>
      <c r="H50" s="13"/>
      <c r="I50" s="11"/>
      <c r="J50" s="11"/>
      <c r="K50" s="13"/>
      <c r="L50" s="12"/>
      <c r="M50" s="12"/>
      <c r="N50" s="10" t="str">
        <f>IF($B50="","",COUNTIF('Kế hoạch định kỳ'!$C$6:$C$125,$B50))</f>
        <v/>
      </c>
      <c r="O50" s="17" t="str">
        <f>IF($B50="","",IF(SUMPRODUCT(MAX(('Nhật ký bảo trì'!$E$6:$E$405=$B50)*('Nhật ký bảo trì'!$Q$6:$Q$405="Hoàn thành")*'Nhật ký bảo trì'!$B$6:$B$405))=0,"",SUMPRODUCT(MAX(('Nhật ký bảo trì'!$E$6:$E$405=$B50)*('Nhật ký bảo trì'!$Q$6:$Q$405="Hoàn thành")*'Nhật ký bảo trì'!$B$6:$B$405))))</f>
        <v/>
      </c>
      <c r="P50" s="17" t="str">
        <f>IF($B50="","",IF(SUMPRODUCT(MIN(('Kế hoạch định kỳ'!$C$6:$C$125=$B50)*'Kế hoạch định kỳ'!$W$6:$W$125+('Kế hoạch định kỳ'!$C$6:$C$125&lt;&gt;$B50)*99999))&gt;=99999,"",SUMPRODUCT(MIN(('Kế hoạch định kỳ'!$C$6:$C$125=$B50)*'Kế hoạch định kỳ'!$W$6:$W$125+('Kế hoạch định kỳ'!$C$6:$C$125&lt;&gt;$B50)*99999))))</f>
        <v/>
      </c>
      <c r="Q50" s="10" t="str">
        <f>IF($P50="","",$P50-'Tổng quan'!$B$11)</f>
        <v/>
      </c>
      <c r="R50" s="10" t="str">
        <f>IF($B50="","",IF($J50="Ngừng sử dụng","Ngừng sử dụng",IF($P50="","Chưa có kế hoạch",IF($P50&lt;'Tổng quan'!$B$11,"Có việc quá hạn",IF($P50-'Tổng quan'!$B$11&lt;='Cài đặt'!$B$102,"Sắp đến hạn","Trong hạn")))))</f>
        <v/>
      </c>
      <c r="S50" s="10" t="str">
        <f>IF($B50="","",COUNTIFS('Nhật ký bảo trì'!$E$6:$E$405,$B50,'Nhật ký bảo trì'!$C$6:$C$405,"Sửa chữa sự cố",'Nhật ký bảo trì'!$B$6:$B$405,"&gt;="&amp;DATE('Tổng quan'!$B$6,1,1),'Nhật ký bảo trì'!$B$6:$B$405,"&lt;="&amp;DATE('Tổng quan'!$B$6,12,31)))</f>
        <v/>
      </c>
      <c r="T50" s="22" t="str">
        <f>IF($B50="","",SUMIFS('Nhật ký bảo trì'!$K$6:$K$405,'Nhật ký bảo trì'!$E$6:$E$405,$B50,'Nhật ký bảo trì'!$B$6:$B$405,"&gt;="&amp;DATE('Tổng quan'!$B$6,1,1),'Nhật ký bảo trì'!$B$6:$B$405,"&lt;="&amp;DATE('Tổng quan'!$B$6,12,31)))</f>
        <v/>
      </c>
      <c r="U50" s="22" t="str">
        <f>IF(OR($B50="",N($S50)=0),"",SUMIFS('Nhật ký bảo trì'!$J$6:$J$405,'Nhật ký bảo trì'!$E$6:$E$405,$B50,'Nhật ký bảo trì'!$C$6:$C$405,"Sửa chữa sự cố",'Nhật ký bảo trì'!$B$6:$B$405,"&gt;="&amp;DATE('Tổng quan'!$B$6,1,1),'Nhật ký bảo trì'!$B$6:$B$405,"&lt;="&amp;DATE('Tổng quan'!$B$6,12,31))/$S50)</f>
        <v/>
      </c>
      <c r="V50" s="21" t="str">
        <f>IF($B50="","",SUMIFS('Nhật ký bảo trì'!$O$6:$O$405,'Nhật ký bảo trì'!$E$6:$E$405,$B50,'Nhật ký bảo trì'!$B$6:$B$405,"&gt;="&amp;DATE('Tổng quan'!$B$6,1,1),'Nhật ký bảo trì'!$B$6:$B$405,"&lt;="&amp;DATE('Tổng quan'!$B$6,12,31)))</f>
        <v/>
      </c>
      <c r="W50" s="10" t="str">
        <f>IF(OR($B50="",$K50=""),"",IF($K50&lt;'Tổng quan'!$B$11,"Hết bảo hành",IF($K50-'Tổng quan'!$B$11&lt;='Cài đặt'!$B$103,"Sắp hết BH ("&amp;($K50-'Tổng quan'!$B$11)&amp;" ngày)","Còn bảo hành")))</f>
        <v/>
      </c>
      <c r="X50" s="12"/>
    </row>
    <row r="51" ht="24.0" customHeight="1">
      <c r="A51" s="26" t="str">
        <f t="shared" si="1"/>
        <v/>
      </c>
      <c r="B51" s="27"/>
      <c r="C51" s="31"/>
      <c r="D51" s="31"/>
      <c r="E51" s="31"/>
      <c r="F51" s="31"/>
      <c r="G51" s="31"/>
      <c r="H51" s="32"/>
      <c r="I51" s="27"/>
      <c r="J51" s="27"/>
      <c r="K51" s="32"/>
      <c r="L51" s="31"/>
      <c r="M51" s="31"/>
      <c r="N51" s="26" t="str">
        <f>IF($B51="","",COUNTIF('Kế hoạch định kỳ'!$C$6:$C$125,$B51))</f>
        <v/>
      </c>
      <c r="O51" s="33" t="str">
        <f>IF($B51="","",IF(SUMPRODUCT(MAX(('Nhật ký bảo trì'!$E$6:$E$405=$B51)*('Nhật ký bảo trì'!$Q$6:$Q$405="Hoàn thành")*'Nhật ký bảo trì'!$B$6:$B$405))=0,"",SUMPRODUCT(MAX(('Nhật ký bảo trì'!$E$6:$E$405=$B51)*('Nhật ký bảo trì'!$Q$6:$Q$405="Hoàn thành")*'Nhật ký bảo trì'!$B$6:$B$405))))</f>
        <v/>
      </c>
      <c r="P51" s="33" t="str">
        <f>IF($B51="","",IF(SUMPRODUCT(MIN(('Kế hoạch định kỳ'!$C$6:$C$125=$B51)*'Kế hoạch định kỳ'!$W$6:$W$125+('Kế hoạch định kỳ'!$C$6:$C$125&lt;&gt;$B51)*99999))&gt;=99999,"",SUMPRODUCT(MIN(('Kế hoạch định kỳ'!$C$6:$C$125=$B51)*'Kế hoạch định kỳ'!$W$6:$W$125+('Kế hoạch định kỳ'!$C$6:$C$125&lt;&gt;$B51)*99999))))</f>
        <v/>
      </c>
      <c r="Q51" s="26" t="str">
        <f>IF($P51="","",$P51-'Tổng quan'!$B$11)</f>
        <v/>
      </c>
      <c r="R51" s="26" t="str">
        <f>IF($B51="","",IF($J51="Ngừng sử dụng","Ngừng sử dụng",IF($P51="","Chưa có kế hoạch",IF($P51&lt;'Tổng quan'!$B$11,"Có việc quá hạn",IF($P51-'Tổng quan'!$B$11&lt;='Cài đặt'!$B$102,"Sắp đến hạn","Trong hạn")))))</f>
        <v/>
      </c>
      <c r="S51" s="26" t="str">
        <f>IF($B51="","",COUNTIFS('Nhật ký bảo trì'!$E$6:$E$405,$B51,'Nhật ký bảo trì'!$C$6:$C$405,"Sửa chữa sự cố",'Nhật ký bảo trì'!$B$6:$B$405,"&gt;="&amp;DATE('Tổng quan'!$B$6,1,1),'Nhật ký bảo trì'!$B$6:$B$405,"&lt;="&amp;DATE('Tổng quan'!$B$6,12,31)))</f>
        <v/>
      </c>
      <c r="T51" s="39" t="str">
        <f>IF($B51="","",SUMIFS('Nhật ký bảo trì'!$K$6:$K$405,'Nhật ký bảo trì'!$E$6:$E$405,$B51,'Nhật ký bảo trì'!$B$6:$B$405,"&gt;="&amp;DATE('Tổng quan'!$B$6,1,1),'Nhật ký bảo trì'!$B$6:$B$405,"&lt;="&amp;DATE('Tổng quan'!$B$6,12,31)))</f>
        <v/>
      </c>
      <c r="U51" s="39" t="str">
        <f>IF(OR($B51="",N($S51)=0),"",SUMIFS('Nhật ký bảo trì'!$J$6:$J$405,'Nhật ký bảo trì'!$E$6:$E$405,$B51,'Nhật ký bảo trì'!$C$6:$C$405,"Sửa chữa sự cố",'Nhật ký bảo trì'!$B$6:$B$405,"&gt;="&amp;DATE('Tổng quan'!$B$6,1,1),'Nhật ký bảo trì'!$B$6:$B$405,"&lt;="&amp;DATE('Tổng quan'!$B$6,12,31))/$S51)</f>
        <v/>
      </c>
      <c r="V51" s="36" t="str">
        <f>IF($B51="","",SUMIFS('Nhật ký bảo trì'!$O$6:$O$405,'Nhật ký bảo trì'!$E$6:$E$405,$B51,'Nhật ký bảo trì'!$B$6:$B$405,"&gt;="&amp;DATE('Tổng quan'!$B$6,1,1),'Nhật ký bảo trì'!$B$6:$B$405,"&lt;="&amp;DATE('Tổng quan'!$B$6,12,31)))</f>
        <v/>
      </c>
      <c r="W51" s="26" t="str">
        <f>IF(OR($B51="",$K51=""),"",IF($K51&lt;'Tổng quan'!$B$11,"Hết bảo hành",IF($K51-'Tổng quan'!$B$11&lt;='Cài đặt'!$B$103,"Sắp hết BH ("&amp;($K51-'Tổng quan'!$B$11)&amp;" ngày)","Còn bảo hành")))</f>
        <v/>
      </c>
      <c r="X51" s="31"/>
    </row>
    <row r="52" ht="24.0" customHeight="1">
      <c r="A52" s="10" t="str">
        <f t="shared" si="1"/>
        <v/>
      </c>
      <c r="B52" s="11"/>
      <c r="C52" s="12"/>
      <c r="D52" s="12"/>
      <c r="E52" s="12"/>
      <c r="F52" s="12"/>
      <c r="G52" s="12"/>
      <c r="H52" s="13"/>
      <c r="I52" s="11"/>
      <c r="J52" s="11"/>
      <c r="K52" s="13"/>
      <c r="L52" s="12"/>
      <c r="M52" s="12"/>
      <c r="N52" s="10" t="str">
        <f>IF($B52="","",COUNTIF('Kế hoạch định kỳ'!$C$6:$C$125,$B52))</f>
        <v/>
      </c>
      <c r="O52" s="17" t="str">
        <f>IF($B52="","",IF(SUMPRODUCT(MAX(('Nhật ký bảo trì'!$E$6:$E$405=$B52)*('Nhật ký bảo trì'!$Q$6:$Q$405="Hoàn thành")*'Nhật ký bảo trì'!$B$6:$B$405))=0,"",SUMPRODUCT(MAX(('Nhật ký bảo trì'!$E$6:$E$405=$B52)*('Nhật ký bảo trì'!$Q$6:$Q$405="Hoàn thành")*'Nhật ký bảo trì'!$B$6:$B$405))))</f>
        <v/>
      </c>
      <c r="P52" s="17" t="str">
        <f>IF($B52="","",IF(SUMPRODUCT(MIN(('Kế hoạch định kỳ'!$C$6:$C$125=$B52)*'Kế hoạch định kỳ'!$W$6:$W$125+('Kế hoạch định kỳ'!$C$6:$C$125&lt;&gt;$B52)*99999))&gt;=99999,"",SUMPRODUCT(MIN(('Kế hoạch định kỳ'!$C$6:$C$125=$B52)*'Kế hoạch định kỳ'!$W$6:$W$125+('Kế hoạch định kỳ'!$C$6:$C$125&lt;&gt;$B52)*99999))))</f>
        <v/>
      </c>
      <c r="Q52" s="10" t="str">
        <f>IF($P52="","",$P52-'Tổng quan'!$B$11)</f>
        <v/>
      </c>
      <c r="R52" s="10" t="str">
        <f>IF($B52="","",IF($J52="Ngừng sử dụng","Ngừng sử dụng",IF($P52="","Chưa có kế hoạch",IF($P52&lt;'Tổng quan'!$B$11,"Có việc quá hạn",IF($P52-'Tổng quan'!$B$11&lt;='Cài đặt'!$B$102,"Sắp đến hạn","Trong hạn")))))</f>
        <v/>
      </c>
      <c r="S52" s="10" t="str">
        <f>IF($B52="","",COUNTIFS('Nhật ký bảo trì'!$E$6:$E$405,$B52,'Nhật ký bảo trì'!$C$6:$C$405,"Sửa chữa sự cố",'Nhật ký bảo trì'!$B$6:$B$405,"&gt;="&amp;DATE('Tổng quan'!$B$6,1,1),'Nhật ký bảo trì'!$B$6:$B$405,"&lt;="&amp;DATE('Tổng quan'!$B$6,12,31)))</f>
        <v/>
      </c>
      <c r="T52" s="22" t="str">
        <f>IF($B52="","",SUMIFS('Nhật ký bảo trì'!$K$6:$K$405,'Nhật ký bảo trì'!$E$6:$E$405,$B52,'Nhật ký bảo trì'!$B$6:$B$405,"&gt;="&amp;DATE('Tổng quan'!$B$6,1,1),'Nhật ký bảo trì'!$B$6:$B$405,"&lt;="&amp;DATE('Tổng quan'!$B$6,12,31)))</f>
        <v/>
      </c>
      <c r="U52" s="22" t="str">
        <f>IF(OR($B52="",N($S52)=0),"",SUMIFS('Nhật ký bảo trì'!$J$6:$J$405,'Nhật ký bảo trì'!$E$6:$E$405,$B52,'Nhật ký bảo trì'!$C$6:$C$405,"Sửa chữa sự cố",'Nhật ký bảo trì'!$B$6:$B$405,"&gt;="&amp;DATE('Tổng quan'!$B$6,1,1),'Nhật ký bảo trì'!$B$6:$B$405,"&lt;="&amp;DATE('Tổng quan'!$B$6,12,31))/$S52)</f>
        <v/>
      </c>
      <c r="V52" s="21" t="str">
        <f>IF($B52="","",SUMIFS('Nhật ký bảo trì'!$O$6:$O$405,'Nhật ký bảo trì'!$E$6:$E$405,$B52,'Nhật ký bảo trì'!$B$6:$B$405,"&gt;="&amp;DATE('Tổng quan'!$B$6,1,1),'Nhật ký bảo trì'!$B$6:$B$405,"&lt;="&amp;DATE('Tổng quan'!$B$6,12,31)))</f>
        <v/>
      </c>
      <c r="W52" s="10" t="str">
        <f>IF(OR($B52="",$K52=""),"",IF($K52&lt;'Tổng quan'!$B$11,"Hết bảo hành",IF($K52-'Tổng quan'!$B$11&lt;='Cài đặt'!$B$103,"Sắp hết BH ("&amp;($K52-'Tổng quan'!$B$11)&amp;" ngày)","Còn bảo hành")))</f>
        <v/>
      </c>
      <c r="X52" s="12"/>
    </row>
    <row r="53" ht="24.0" customHeight="1">
      <c r="A53" s="26" t="str">
        <f t="shared" si="1"/>
        <v/>
      </c>
      <c r="B53" s="27"/>
      <c r="C53" s="31"/>
      <c r="D53" s="31"/>
      <c r="E53" s="31"/>
      <c r="F53" s="31"/>
      <c r="G53" s="31"/>
      <c r="H53" s="32"/>
      <c r="I53" s="27"/>
      <c r="J53" s="27"/>
      <c r="K53" s="32"/>
      <c r="L53" s="31"/>
      <c r="M53" s="31"/>
      <c r="N53" s="26" t="str">
        <f>IF($B53="","",COUNTIF('Kế hoạch định kỳ'!$C$6:$C$125,$B53))</f>
        <v/>
      </c>
      <c r="O53" s="33" t="str">
        <f>IF($B53="","",IF(SUMPRODUCT(MAX(('Nhật ký bảo trì'!$E$6:$E$405=$B53)*('Nhật ký bảo trì'!$Q$6:$Q$405="Hoàn thành")*'Nhật ký bảo trì'!$B$6:$B$405))=0,"",SUMPRODUCT(MAX(('Nhật ký bảo trì'!$E$6:$E$405=$B53)*('Nhật ký bảo trì'!$Q$6:$Q$405="Hoàn thành")*'Nhật ký bảo trì'!$B$6:$B$405))))</f>
        <v/>
      </c>
      <c r="P53" s="33" t="str">
        <f>IF($B53="","",IF(SUMPRODUCT(MIN(('Kế hoạch định kỳ'!$C$6:$C$125=$B53)*'Kế hoạch định kỳ'!$W$6:$W$125+('Kế hoạch định kỳ'!$C$6:$C$125&lt;&gt;$B53)*99999))&gt;=99999,"",SUMPRODUCT(MIN(('Kế hoạch định kỳ'!$C$6:$C$125=$B53)*'Kế hoạch định kỳ'!$W$6:$W$125+('Kế hoạch định kỳ'!$C$6:$C$125&lt;&gt;$B53)*99999))))</f>
        <v/>
      </c>
      <c r="Q53" s="26" t="str">
        <f>IF($P53="","",$P53-'Tổng quan'!$B$11)</f>
        <v/>
      </c>
      <c r="R53" s="26" t="str">
        <f>IF($B53="","",IF($J53="Ngừng sử dụng","Ngừng sử dụng",IF($P53="","Chưa có kế hoạch",IF($P53&lt;'Tổng quan'!$B$11,"Có việc quá hạn",IF($P53-'Tổng quan'!$B$11&lt;='Cài đặt'!$B$102,"Sắp đến hạn","Trong hạn")))))</f>
        <v/>
      </c>
      <c r="S53" s="26" t="str">
        <f>IF($B53="","",COUNTIFS('Nhật ký bảo trì'!$E$6:$E$405,$B53,'Nhật ký bảo trì'!$C$6:$C$405,"Sửa chữa sự cố",'Nhật ký bảo trì'!$B$6:$B$405,"&gt;="&amp;DATE('Tổng quan'!$B$6,1,1),'Nhật ký bảo trì'!$B$6:$B$405,"&lt;="&amp;DATE('Tổng quan'!$B$6,12,31)))</f>
        <v/>
      </c>
      <c r="T53" s="39" t="str">
        <f>IF($B53="","",SUMIFS('Nhật ký bảo trì'!$K$6:$K$405,'Nhật ký bảo trì'!$E$6:$E$405,$B53,'Nhật ký bảo trì'!$B$6:$B$405,"&gt;="&amp;DATE('Tổng quan'!$B$6,1,1),'Nhật ký bảo trì'!$B$6:$B$405,"&lt;="&amp;DATE('Tổng quan'!$B$6,12,31)))</f>
        <v/>
      </c>
      <c r="U53" s="39" t="str">
        <f>IF(OR($B53="",N($S53)=0),"",SUMIFS('Nhật ký bảo trì'!$J$6:$J$405,'Nhật ký bảo trì'!$E$6:$E$405,$B53,'Nhật ký bảo trì'!$C$6:$C$405,"Sửa chữa sự cố",'Nhật ký bảo trì'!$B$6:$B$405,"&gt;="&amp;DATE('Tổng quan'!$B$6,1,1),'Nhật ký bảo trì'!$B$6:$B$405,"&lt;="&amp;DATE('Tổng quan'!$B$6,12,31))/$S53)</f>
        <v/>
      </c>
      <c r="V53" s="36" t="str">
        <f>IF($B53="","",SUMIFS('Nhật ký bảo trì'!$O$6:$O$405,'Nhật ký bảo trì'!$E$6:$E$405,$B53,'Nhật ký bảo trì'!$B$6:$B$405,"&gt;="&amp;DATE('Tổng quan'!$B$6,1,1),'Nhật ký bảo trì'!$B$6:$B$405,"&lt;="&amp;DATE('Tổng quan'!$B$6,12,31)))</f>
        <v/>
      </c>
      <c r="W53" s="26" t="str">
        <f>IF(OR($B53="",$K53=""),"",IF($K53&lt;'Tổng quan'!$B$11,"Hết bảo hành",IF($K53-'Tổng quan'!$B$11&lt;='Cài đặt'!$B$103,"Sắp hết BH ("&amp;($K53-'Tổng quan'!$B$11)&amp;" ngày)","Còn bảo hành")))</f>
        <v/>
      </c>
      <c r="X53" s="31"/>
    </row>
    <row r="54" ht="24.0" customHeight="1">
      <c r="A54" s="10" t="str">
        <f t="shared" si="1"/>
        <v/>
      </c>
      <c r="B54" s="11"/>
      <c r="C54" s="12"/>
      <c r="D54" s="12"/>
      <c r="E54" s="12"/>
      <c r="F54" s="12"/>
      <c r="G54" s="12"/>
      <c r="H54" s="13"/>
      <c r="I54" s="11"/>
      <c r="J54" s="11"/>
      <c r="K54" s="13"/>
      <c r="L54" s="12"/>
      <c r="M54" s="12"/>
      <c r="N54" s="10" t="str">
        <f>IF($B54="","",COUNTIF('Kế hoạch định kỳ'!$C$6:$C$125,$B54))</f>
        <v/>
      </c>
      <c r="O54" s="17" t="str">
        <f>IF($B54="","",IF(SUMPRODUCT(MAX(('Nhật ký bảo trì'!$E$6:$E$405=$B54)*('Nhật ký bảo trì'!$Q$6:$Q$405="Hoàn thành")*'Nhật ký bảo trì'!$B$6:$B$405))=0,"",SUMPRODUCT(MAX(('Nhật ký bảo trì'!$E$6:$E$405=$B54)*('Nhật ký bảo trì'!$Q$6:$Q$405="Hoàn thành")*'Nhật ký bảo trì'!$B$6:$B$405))))</f>
        <v/>
      </c>
      <c r="P54" s="17" t="str">
        <f>IF($B54="","",IF(SUMPRODUCT(MIN(('Kế hoạch định kỳ'!$C$6:$C$125=$B54)*'Kế hoạch định kỳ'!$W$6:$W$125+('Kế hoạch định kỳ'!$C$6:$C$125&lt;&gt;$B54)*99999))&gt;=99999,"",SUMPRODUCT(MIN(('Kế hoạch định kỳ'!$C$6:$C$125=$B54)*'Kế hoạch định kỳ'!$W$6:$W$125+('Kế hoạch định kỳ'!$C$6:$C$125&lt;&gt;$B54)*99999))))</f>
        <v/>
      </c>
      <c r="Q54" s="10" t="str">
        <f>IF($P54="","",$P54-'Tổng quan'!$B$11)</f>
        <v/>
      </c>
      <c r="R54" s="10" t="str">
        <f>IF($B54="","",IF($J54="Ngừng sử dụng","Ngừng sử dụng",IF($P54="","Chưa có kế hoạch",IF($P54&lt;'Tổng quan'!$B$11,"Có việc quá hạn",IF($P54-'Tổng quan'!$B$11&lt;='Cài đặt'!$B$102,"Sắp đến hạn","Trong hạn")))))</f>
        <v/>
      </c>
      <c r="S54" s="10" t="str">
        <f>IF($B54="","",COUNTIFS('Nhật ký bảo trì'!$E$6:$E$405,$B54,'Nhật ký bảo trì'!$C$6:$C$405,"Sửa chữa sự cố",'Nhật ký bảo trì'!$B$6:$B$405,"&gt;="&amp;DATE('Tổng quan'!$B$6,1,1),'Nhật ký bảo trì'!$B$6:$B$405,"&lt;="&amp;DATE('Tổng quan'!$B$6,12,31)))</f>
        <v/>
      </c>
      <c r="T54" s="22" t="str">
        <f>IF($B54="","",SUMIFS('Nhật ký bảo trì'!$K$6:$K$405,'Nhật ký bảo trì'!$E$6:$E$405,$B54,'Nhật ký bảo trì'!$B$6:$B$405,"&gt;="&amp;DATE('Tổng quan'!$B$6,1,1),'Nhật ký bảo trì'!$B$6:$B$405,"&lt;="&amp;DATE('Tổng quan'!$B$6,12,31)))</f>
        <v/>
      </c>
      <c r="U54" s="22" t="str">
        <f>IF(OR($B54="",N($S54)=0),"",SUMIFS('Nhật ký bảo trì'!$J$6:$J$405,'Nhật ký bảo trì'!$E$6:$E$405,$B54,'Nhật ký bảo trì'!$C$6:$C$405,"Sửa chữa sự cố",'Nhật ký bảo trì'!$B$6:$B$405,"&gt;="&amp;DATE('Tổng quan'!$B$6,1,1),'Nhật ký bảo trì'!$B$6:$B$405,"&lt;="&amp;DATE('Tổng quan'!$B$6,12,31))/$S54)</f>
        <v/>
      </c>
      <c r="V54" s="21" t="str">
        <f>IF($B54="","",SUMIFS('Nhật ký bảo trì'!$O$6:$O$405,'Nhật ký bảo trì'!$E$6:$E$405,$B54,'Nhật ký bảo trì'!$B$6:$B$405,"&gt;="&amp;DATE('Tổng quan'!$B$6,1,1),'Nhật ký bảo trì'!$B$6:$B$405,"&lt;="&amp;DATE('Tổng quan'!$B$6,12,31)))</f>
        <v/>
      </c>
      <c r="W54" s="10" t="str">
        <f>IF(OR($B54="",$K54=""),"",IF($K54&lt;'Tổng quan'!$B$11,"Hết bảo hành",IF($K54-'Tổng quan'!$B$11&lt;='Cài đặt'!$B$103,"Sắp hết BH ("&amp;($K54-'Tổng quan'!$B$11)&amp;" ngày)","Còn bảo hành")))</f>
        <v/>
      </c>
      <c r="X54" s="12"/>
    </row>
    <row r="55" ht="24.0" customHeight="1">
      <c r="A55" s="26" t="str">
        <f t="shared" si="1"/>
        <v/>
      </c>
      <c r="B55" s="27"/>
      <c r="C55" s="31"/>
      <c r="D55" s="31"/>
      <c r="E55" s="31"/>
      <c r="F55" s="31"/>
      <c r="G55" s="31"/>
      <c r="H55" s="32"/>
      <c r="I55" s="27"/>
      <c r="J55" s="27"/>
      <c r="K55" s="32"/>
      <c r="L55" s="31"/>
      <c r="M55" s="31"/>
      <c r="N55" s="26" t="str">
        <f>IF($B55="","",COUNTIF('Kế hoạch định kỳ'!$C$6:$C$125,$B55))</f>
        <v/>
      </c>
      <c r="O55" s="33" t="str">
        <f>IF($B55="","",IF(SUMPRODUCT(MAX(('Nhật ký bảo trì'!$E$6:$E$405=$B55)*('Nhật ký bảo trì'!$Q$6:$Q$405="Hoàn thành")*'Nhật ký bảo trì'!$B$6:$B$405))=0,"",SUMPRODUCT(MAX(('Nhật ký bảo trì'!$E$6:$E$405=$B55)*('Nhật ký bảo trì'!$Q$6:$Q$405="Hoàn thành")*'Nhật ký bảo trì'!$B$6:$B$405))))</f>
        <v/>
      </c>
      <c r="P55" s="33" t="str">
        <f>IF($B55="","",IF(SUMPRODUCT(MIN(('Kế hoạch định kỳ'!$C$6:$C$125=$B55)*'Kế hoạch định kỳ'!$W$6:$W$125+('Kế hoạch định kỳ'!$C$6:$C$125&lt;&gt;$B55)*99999))&gt;=99999,"",SUMPRODUCT(MIN(('Kế hoạch định kỳ'!$C$6:$C$125=$B55)*'Kế hoạch định kỳ'!$W$6:$W$125+('Kế hoạch định kỳ'!$C$6:$C$125&lt;&gt;$B55)*99999))))</f>
        <v/>
      </c>
      <c r="Q55" s="26" t="str">
        <f>IF($P55="","",$P55-'Tổng quan'!$B$11)</f>
        <v/>
      </c>
      <c r="R55" s="26" t="str">
        <f>IF($B55="","",IF($J55="Ngừng sử dụng","Ngừng sử dụng",IF($P55="","Chưa có kế hoạch",IF($P55&lt;'Tổng quan'!$B$11,"Có việc quá hạn",IF($P55-'Tổng quan'!$B$11&lt;='Cài đặt'!$B$102,"Sắp đến hạn","Trong hạn")))))</f>
        <v/>
      </c>
      <c r="S55" s="26" t="str">
        <f>IF($B55="","",COUNTIFS('Nhật ký bảo trì'!$E$6:$E$405,$B55,'Nhật ký bảo trì'!$C$6:$C$405,"Sửa chữa sự cố",'Nhật ký bảo trì'!$B$6:$B$405,"&gt;="&amp;DATE('Tổng quan'!$B$6,1,1),'Nhật ký bảo trì'!$B$6:$B$405,"&lt;="&amp;DATE('Tổng quan'!$B$6,12,31)))</f>
        <v/>
      </c>
      <c r="T55" s="39" t="str">
        <f>IF($B55="","",SUMIFS('Nhật ký bảo trì'!$K$6:$K$405,'Nhật ký bảo trì'!$E$6:$E$405,$B55,'Nhật ký bảo trì'!$B$6:$B$405,"&gt;="&amp;DATE('Tổng quan'!$B$6,1,1),'Nhật ký bảo trì'!$B$6:$B$405,"&lt;="&amp;DATE('Tổng quan'!$B$6,12,31)))</f>
        <v/>
      </c>
      <c r="U55" s="39" t="str">
        <f>IF(OR($B55="",N($S55)=0),"",SUMIFS('Nhật ký bảo trì'!$J$6:$J$405,'Nhật ký bảo trì'!$E$6:$E$405,$B55,'Nhật ký bảo trì'!$C$6:$C$405,"Sửa chữa sự cố",'Nhật ký bảo trì'!$B$6:$B$405,"&gt;="&amp;DATE('Tổng quan'!$B$6,1,1),'Nhật ký bảo trì'!$B$6:$B$405,"&lt;="&amp;DATE('Tổng quan'!$B$6,12,31))/$S55)</f>
        <v/>
      </c>
      <c r="V55" s="36" t="str">
        <f>IF($B55="","",SUMIFS('Nhật ký bảo trì'!$O$6:$O$405,'Nhật ký bảo trì'!$E$6:$E$405,$B55,'Nhật ký bảo trì'!$B$6:$B$405,"&gt;="&amp;DATE('Tổng quan'!$B$6,1,1),'Nhật ký bảo trì'!$B$6:$B$405,"&lt;="&amp;DATE('Tổng quan'!$B$6,12,31)))</f>
        <v/>
      </c>
      <c r="W55" s="26" t="str">
        <f>IF(OR($B55="",$K55=""),"",IF($K55&lt;'Tổng quan'!$B$11,"Hết bảo hành",IF($K55-'Tổng quan'!$B$11&lt;='Cài đặt'!$B$103,"Sắp hết BH ("&amp;($K55-'Tổng quan'!$B$11)&amp;" ngày)","Còn bảo hành")))</f>
        <v/>
      </c>
      <c r="X55" s="31"/>
    </row>
    <row r="56" ht="24.0" customHeight="1">
      <c r="A56" s="10" t="str">
        <f t="shared" si="1"/>
        <v/>
      </c>
      <c r="B56" s="11"/>
      <c r="C56" s="12"/>
      <c r="D56" s="12"/>
      <c r="E56" s="12"/>
      <c r="F56" s="12"/>
      <c r="G56" s="12"/>
      <c r="H56" s="13"/>
      <c r="I56" s="11"/>
      <c r="J56" s="11"/>
      <c r="K56" s="13"/>
      <c r="L56" s="12"/>
      <c r="M56" s="12"/>
      <c r="N56" s="10" t="str">
        <f>IF($B56="","",COUNTIF('Kế hoạch định kỳ'!$C$6:$C$125,$B56))</f>
        <v/>
      </c>
      <c r="O56" s="17" t="str">
        <f>IF($B56="","",IF(SUMPRODUCT(MAX(('Nhật ký bảo trì'!$E$6:$E$405=$B56)*('Nhật ký bảo trì'!$Q$6:$Q$405="Hoàn thành")*'Nhật ký bảo trì'!$B$6:$B$405))=0,"",SUMPRODUCT(MAX(('Nhật ký bảo trì'!$E$6:$E$405=$B56)*('Nhật ký bảo trì'!$Q$6:$Q$405="Hoàn thành")*'Nhật ký bảo trì'!$B$6:$B$405))))</f>
        <v/>
      </c>
      <c r="P56" s="17" t="str">
        <f>IF($B56="","",IF(SUMPRODUCT(MIN(('Kế hoạch định kỳ'!$C$6:$C$125=$B56)*'Kế hoạch định kỳ'!$W$6:$W$125+('Kế hoạch định kỳ'!$C$6:$C$125&lt;&gt;$B56)*99999))&gt;=99999,"",SUMPRODUCT(MIN(('Kế hoạch định kỳ'!$C$6:$C$125=$B56)*'Kế hoạch định kỳ'!$W$6:$W$125+('Kế hoạch định kỳ'!$C$6:$C$125&lt;&gt;$B56)*99999))))</f>
        <v/>
      </c>
      <c r="Q56" s="10" t="str">
        <f>IF($P56="","",$P56-'Tổng quan'!$B$11)</f>
        <v/>
      </c>
      <c r="R56" s="10" t="str">
        <f>IF($B56="","",IF($J56="Ngừng sử dụng","Ngừng sử dụng",IF($P56="","Chưa có kế hoạch",IF($P56&lt;'Tổng quan'!$B$11,"Có việc quá hạn",IF($P56-'Tổng quan'!$B$11&lt;='Cài đặt'!$B$102,"Sắp đến hạn","Trong hạn")))))</f>
        <v/>
      </c>
      <c r="S56" s="10" t="str">
        <f>IF($B56="","",COUNTIFS('Nhật ký bảo trì'!$E$6:$E$405,$B56,'Nhật ký bảo trì'!$C$6:$C$405,"Sửa chữa sự cố",'Nhật ký bảo trì'!$B$6:$B$405,"&gt;="&amp;DATE('Tổng quan'!$B$6,1,1),'Nhật ký bảo trì'!$B$6:$B$405,"&lt;="&amp;DATE('Tổng quan'!$B$6,12,31)))</f>
        <v/>
      </c>
      <c r="T56" s="22" t="str">
        <f>IF($B56="","",SUMIFS('Nhật ký bảo trì'!$K$6:$K$405,'Nhật ký bảo trì'!$E$6:$E$405,$B56,'Nhật ký bảo trì'!$B$6:$B$405,"&gt;="&amp;DATE('Tổng quan'!$B$6,1,1),'Nhật ký bảo trì'!$B$6:$B$405,"&lt;="&amp;DATE('Tổng quan'!$B$6,12,31)))</f>
        <v/>
      </c>
      <c r="U56" s="22" t="str">
        <f>IF(OR($B56="",N($S56)=0),"",SUMIFS('Nhật ký bảo trì'!$J$6:$J$405,'Nhật ký bảo trì'!$E$6:$E$405,$B56,'Nhật ký bảo trì'!$C$6:$C$405,"Sửa chữa sự cố",'Nhật ký bảo trì'!$B$6:$B$405,"&gt;="&amp;DATE('Tổng quan'!$B$6,1,1),'Nhật ký bảo trì'!$B$6:$B$405,"&lt;="&amp;DATE('Tổng quan'!$B$6,12,31))/$S56)</f>
        <v/>
      </c>
      <c r="V56" s="21" t="str">
        <f>IF($B56="","",SUMIFS('Nhật ký bảo trì'!$O$6:$O$405,'Nhật ký bảo trì'!$E$6:$E$405,$B56,'Nhật ký bảo trì'!$B$6:$B$405,"&gt;="&amp;DATE('Tổng quan'!$B$6,1,1),'Nhật ký bảo trì'!$B$6:$B$405,"&lt;="&amp;DATE('Tổng quan'!$B$6,12,31)))</f>
        <v/>
      </c>
      <c r="W56" s="10" t="str">
        <f>IF(OR($B56="",$K56=""),"",IF($K56&lt;'Tổng quan'!$B$11,"Hết bảo hành",IF($K56-'Tổng quan'!$B$11&lt;='Cài đặt'!$B$103,"Sắp hết BH ("&amp;($K56-'Tổng quan'!$B$11)&amp;" ngày)","Còn bảo hành")))</f>
        <v/>
      </c>
      <c r="X56" s="12"/>
    </row>
    <row r="57" ht="24.0" customHeight="1">
      <c r="A57" s="26" t="str">
        <f t="shared" si="1"/>
        <v/>
      </c>
      <c r="B57" s="27"/>
      <c r="C57" s="31"/>
      <c r="D57" s="31"/>
      <c r="E57" s="31"/>
      <c r="F57" s="31"/>
      <c r="G57" s="31"/>
      <c r="H57" s="32"/>
      <c r="I57" s="27"/>
      <c r="J57" s="27"/>
      <c r="K57" s="32"/>
      <c r="L57" s="31"/>
      <c r="M57" s="31"/>
      <c r="N57" s="26" t="str">
        <f>IF($B57="","",COUNTIF('Kế hoạch định kỳ'!$C$6:$C$125,$B57))</f>
        <v/>
      </c>
      <c r="O57" s="33" t="str">
        <f>IF($B57="","",IF(SUMPRODUCT(MAX(('Nhật ký bảo trì'!$E$6:$E$405=$B57)*('Nhật ký bảo trì'!$Q$6:$Q$405="Hoàn thành")*'Nhật ký bảo trì'!$B$6:$B$405))=0,"",SUMPRODUCT(MAX(('Nhật ký bảo trì'!$E$6:$E$405=$B57)*('Nhật ký bảo trì'!$Q$6:$Q$405="Hoàn thành")*'Nhật ký bảo trì'!$B$6:$B$405))))</f>
        <v/>
      </c>
      <c r="P57" s="33" t="str">
        <f>IF($B57="","",IF(SUMPRODUCT(MIN(('Kế hoạch định kỳ'!$C$6:$C$125=$B57)*'Kế hoạch định kỳ'!$W$6:$W$125+('Kế hoạch định kỳ'!$C$6:$C$125&lt;&gt;$B57)*99999))&gt;=99999,"",SUMPRODUCT(MIN(('Kế hoạch định kỳ'!$C$6:$C$125=$B57)*'Kế hoạch định kỳ'!$W$6:$W$125+('Kế hoạch định kỳ'!$C$6:$C$125&lt;&gt;$B57)*99999))))</f>
        <v/>
      </c>
      <c r="Q57" s="26" t="str">
        <f>IF($P57="","",$P57-'Tổng quan'!$B$11)</f>
        <v/>
      </c>
      <c r="R57" s="26" t="str">
        <f>IF($B57="","",IF($J57="Ngừng sử dụng","Ngừng sử dụng",IF($P57="","Chưa có kế hoạch",IF($P57&lt;'Tổng quan'!$B$11,"Có việc quá hạn",IF($P57-'Tổng quan'!$B$11&lt;='Cài đặt'!$B$102,"Sắp đến hạn","Trong hạn")))))</f>
        <v/>
      </c>
      <c r="S57" s="26" t="str">
        <f>IF($B57="","",COUNTIFS('Nhật ký bảo trì'!$E$6:$E$405,$B57,'Nhật ký bảo trì'!$C$6:$C$405,"Sửa chữa sự cố",'Nhật ký bảo trì'!$B$6:$B$405,"&gt;="&amp;DATE('Tổng quan'!$B$6,1,1),'Nhật ký bảo trì'!$B$6:$B$405,"&lt;="&amp;DATE('Tổng quan'!$B$6,12,31)))</f>
        <v/>
      </c>
      <c r="T57" s="39" t="str">
        <f>IF($B57="","",SUMIFS('Nhật ký bảo trì'!$K$6:$K$405,'Nhật ký bảo trì'!$E$6:$E$405,$B57,'Nhật ký bảo trì'!$B$6:$B$405,"&gt;="&amp;DATE('Tổng quan'!$B$6,1,1),'Nhật ký bảo trì'!$B$6:$B$405,"&lt;="&amp;DATE('Tổng quan'!$B$6,12,31)))</f>
        <v/>
      </c>
      <c r="U57" s="39" t="str">
        <f>IF(OR($B57="",N($S57)=0),"",SUMIFS('Nhật ký bảo trì'!$J$6:$J$405,'Nhật ký bảo trì'!$E$6:$E$405,$B57,'Nhật ký bảo trì'!$C$6:$C$405,"Sửa chữa sự cố",'Nhật ký bảo trì'!$B$6:$B$405,"&gt;="&amp;DATE('Tổng quan'!$B$6,1,1),'Nhật ký bảo trì'!$B$6:$B$405,"&lt;="&amp;DATE('Tổng quan'!$B$6,12,31))/$S57)</f>
        <v/>
      </c>
      <c r="V57" s="36" t="str">
        <f>IF($B57="","",SUMIFS('Nhật ký bảo trì'!$O$6:$O$405,'Nhật ký bảo trì'!$E$6:$E$405,$B57,'Nhật ký bảo trì'!$B$6:$B$405,"&gt;="&amp;DATE('Tổng quan'!$B$6,1,1),'Nhật ký bảo trì'!$B$6:$B$405,"&lt;="&amp;DATE('Tổng quan'!$B$6,12,31)))</f>
        <v/>
      </c>
      <c r="W57" s="26" t="str">
        <f>IF(OR($B57="",$K57=""),"",IF($K57&lt;'Tổng quan'!$B$11,"Hết bảo hành",IF($K57-'Tổng quan'!$B$11&lt;='Cài đặt'!$B$103,"Sắp hết BH ("&amp;($K57-'Tổng quan'!$B$11)&amp;" ngày)","Còn bảo hành")))</f>
        <v/>
      </c>
      <c r="X57" s="31"/>
    </row>
    <row r="58" ht="24.0" customHeight="1">
      <c r="A58" s="10" t="str">
        <f t="shared" si="1"/>
        <v/>
      </c>
      <c r="B58" s="11"/>
      <c r="C58" s="12"/>
      <c r="D58" s="12"/>
      <c r="E58" s="12"/>
      <c r="F58" s="12"/>
      <c r="G58" s="12"/>
      <c r="H58" s="13"/>
      <c r="I58" s="11"/>
      <c r="J58" s="11"/>
      <c r="K58" s="13"/>
      <c r="L58" s="12"/>
      <c r="M58" s="12"/>
      <c r="N58" s="10" t="str">
        <f>IF($B58="","",COUNTIF('Kế hoạch định kỳ'!$C$6:$C$125,$B58))</f>
        <v/>
      </c>
      <c r="O58" s="17" t="str">
        <f>IF($B58="","",IF(SUMPRODUCT(MAX(('Nhật ký bảo trì'!$E$6:$E$405=$B58)*('Nhật ký bảo trì'!$Q$6:$Q$405="Hoàn thành")*'Nhật ký bảo trì'!$B$6:$B$405))=0,"",SUMPRODUCT(MAX(('Nhật ký bảo trì'!$E$6:$E$405=$B58)*('Nhật ký bảo trì'!$Q$6:$Q$405="Hoàn thành")*'Nhật ký bảo trì'!$B$6:$B$405))))</f>
        <v/>
      </c>
      <c r="P58" s="17" t="str">
        <f>IF($B58="","",IF(SUMPRODUCT(MIN(('Kế hoạch định kỳ'!$C$6:$C$125=$B58)*'Kế hoạch định kỳ'!$W$6:$W$125+('Kế hoạch định kỳ'!$C$6:$C$125&lt;&gt;$B58)*99999))&gt;=99999,"",SUMPRODUCT(MIN(('Kế hoạch định kỳ'!$C$6:$C$125=$B58)*'Kế hoạch định kỳ'!$W$6:$W$125+('Kế hoạch định kỳ'!$C$6:$C$125&lt;&gt;$B58)*99999))))</f>
        <v/>
      </c>
      <c r="Q58" s="10" t="str">
        <f>IF($P58="","",$P58-'Tổng quan'!$B$11)</f>
        <v/>
      </c>
      <c r="R58" s="10" t="str">
        <f>IF($B58="","",IF($J58="Ngừng sử dụng","Ngừng sử dụng",IF($P58="","Chưa có kế hoạch",IF($P58&lt;'Tổng quan'!$B$11,"Có việc quá hạn",IF($P58-'Tổng quan'!$B$11&lt;='Cài đặt'!$B$102,"Sắp đến hạn","Trong hạn")))))</f>
        <v/>
      </c>
      <c r="S58" s="10" t="str">
        <f>IF($B58="","",COUNTIFS('Nhật ký bảo trì'!$E$6:$E$405,$B58,'Nhật ký bảo trì'!$C$6:$C$405,"Sửa chữa sự cố",'Nhật ký bảo trì'!$B$6:$B$405,"&gt;="&amp;DATE('Tổng quan'!$B$6,1,1),'Nhật ký bảo trì'!$B$6:$B$405,"&lt;="&amp;DATE('Tổng quan'!$B$6,12,31)))</f>
        <v/>
      </c>
      <c r="T58" s="22" t="str">
        <f>IF($B58="","",SUMIFS('Nhật ký bảo trì'!$K$6:$K$405,'Nhật ký bảo trì'!$E$6:$E$405,$B58,'Nhật ký bảo trì'!$B$6:$B$405,"&gt;="&amp;DATE('Tổng quan'!$B$6,1,1),'Nhật ký bảo trì'!$B$6:$B$405,"&lt;="&amp;DATE('Tổng quan'!$B$6,12,31)))</f>
        <v/>
      </c>
      <c r="U58" s="22" t="str">
        <f>IF(OR($B58="",N($S58)=0),"",SUMIFS('Nhật ký bảo trì'!$J$6:$J$405,'Nhật ký bảo trì'!$E$6:$E$405,$B58,'Nhật ký bảo trì'!$C$6:$C$405,"Sửa chữa sự cố",'Nhật ký bảo trì'!$B$6:$B$405,"&gt;="&amp;DATE('Tổng quan'!$B$6,1,1),'Nhật ký bảo trì'!$B$6:$B$405,"&lt;="&amp;DATE('Tổng quan'!$B$6,12,31))/$S58)</f>
        <v/>
      </c>
      <c r="V58" s="21" t="str">
        <f>IF($B58="","",SUMIFS('Nhật ký bảo trì'!$O$6:$O$405,'Nhật ký bảo trì'!$E$6:$E$405,$B58,'Nhật ký bảo trì'!$B$6:$B$405,"&gt;="&amp;DATE('Tổng quan'!$B$6,1,1),'Nhật ký bảo trì'!$B$6:$B$405,"&lt;="&amp;DATE('Tổng quan'!$B$6,12,31)))</f>
        <v/>
      </c>
      <c r="W58" s="10" t="str">
        <f>IF(OR($B58="",$K58=""),"",IF($K58&lt;'Tổng quan'!$B$11,"Hết bảo hành",IF($K58-'Tổng quan'!$B$11&lt;='Cài đặt'!$B$103,"Sắp hết BH ("&amp;($K58-'Tổng quan'!$B$11)&amp;" ngày)","Còn bảo hành")))</f>
        <v/>
      </c>
      <c r="X58" s="12"/>
    </row>
    <row r="59" ht="24.0" customHeight="1">
      <c r="A59" s="26" t="str">
        <f t="shared" si="1"/>
        <v/>
      </c>
      <c r="B59" s="27"/>
      <c r="C59" s="31"/>
      <c r="D59" s="31"/>
      <c r="E59" s="31"/>
      <c r="F59" s="31"/>
      <c r="G59" s="31"/>
      <c r="H59" s="32"/>
      <c r="I59" s="27"/>
      <c r="J59" s="27"/>
      <c r="K59" s="32"/>
      <c r="L59" s="31"/>
      <c r="M59" s="31"/>
      <c r="N59" s="26" t="str">
        <f>IF($B59="","",COUNTIF('Kế hoạch định kỳ'!$C$6:$C$125,$B59))</f>
        <v/>
      </c>
      <c r="O59" s="33" t="str">
        <f>IF($B59="","",IF(SUMPRODUCT(MAX(('Nhật ký bảo trì'!$E$6:$E$405=$B59)*('Nhật ký bảo trì'!$Q$6:$Q$405="Hoàn thành")*'Nhật ký bảo trì'!$B$6:$B$405))=0,"",SUMPRODUCT(MAX(('Nhật ký bảo trì'!$E$6:$E$405=$B59)*('Nhật ký bảo trì'!$Q$6:$Q$405="Hoàn thành")*'Nhật ký bảo trì'!$B$6:$B$405))))</f>
        <v/>
      </c>
      <c r="P59" s="33" t="str">
        <f>IF($B59="","",IF(SUMPRODUCT(MIN(('Kế hoạch định kỳ'!$C$6:$C$125=$B59)*'Kế hoạch định kỳ'!$W$6:$W$125+('Kế hoạch định kỳ'!$C$6:$C$125&lt;&gt;$B59)*99999))&gt;=99999,"",SUMPRODUCT(MIN(('Kế hoạch định kỳ'!$C$6:$C$125=$B59)*'Kế hoạch định kỳ'!$W$6:$W$125+('Kế hoạch định kỳ'!$C$6:$C$125&lt;&gt;$B59)*99999))))</f>
        <v/>
      </c>
      <c r="Q59" s="26" t="str">
        <f>IF($P59="","",$P59-'Tổng quan'!$B$11)</f>
        <v/>
      </c>
      <c r="R59" s="26" t="str">
        <f>IF($B59="","",IF($J59="Ngừng sử dụng","Ngừng sử dụng",IF($P59="","Chưa có kế hoạch",IF($P59&lt;'Tổng quan'!$B$11,"Có việc quá hạn",IF($P59-'Tổng quan'!$B$11&lt;='Cài đặt'!$B$102,"Sắp đến hạn","Trong hạn")))))</f>
        <v/>
      </c>
      <c r="S59" s="26" t="str">
        <f>IF($B59="","",COUNTIFS('Nhật ký bảo trì'!$E$6:$E$405,$B59,'Nhật ký bảo trì'!$C$6:$C$405,"Sửa chữa sự cố",'Nhật ký bảo trì'!$B$6:$B$405,"&gt;="&amp;DATE('Tổng quan'!$B$6,1,1),'Nhật ký bảo trì'!$B$6:$B$405,"&lt;="&amp;DATE('Tổng quan'!$B$6,12,31)))</f>
        <v/>
      </c>
      <c r="T59" s="39" t="str">
        <f>IF($B59="","",SUMIFS('Nhật ký bảo trì'!$K$6:$K$405,'Nhật ký bảo trì'!$E$6:$E$405,$B59,'Nhật ký bảo trì'!$B$6:$B$405,"&gt;="&amp;DATE('Tổng quan'!$B$6,1,1),'Nhật ký bảo trì'!$B$6:$B$405,"&lt;="&amp;DATE('Tổng quan'!$B$6,12,31)))</f>
        <v/>
      </c>
      <c r="U59" s="39" t="str">
        <f>IF(OR($B59="",N($S59)=0),"",SUMIFS('Nhật ký bảo trì'!$J$6:$J$405,'Nhật ký bảo trì'!$E$6:$E$405,$B59,'Nhật ký bảo trì'!$C$6:$C$405,"Sửa chữa sự cố",'Nhật ký bảo trì'!$B$6:$B$405,"&gt;="&amp;DATE('Tổng quan'!$B$6,1,1),'Nhật ký bảo trì'!$B$6:$B$405,"&lt;="&amp;DATE('Tổng quan'!$B$6,12,31))/$S59)</f>
        <v/>
      </c>
      <c r="V59" s="36" t="str">
        <f>IF($B59="","",SUMIFS('Nhật ký bảo trì'!$O$6:$O$405,'Nhật ký bảo trì'!$E$6:$E$405,$B59,'Nhật ký bảo trì'!$B$6:$B$405,"&gt;="&amp;DATE('Tổng quan'!$B$6,1,1),'Nhật ký bảo trì'!$B$6:$B$405,"&lt;="&amp;DATE('Tổng quan'!$B$6,12,31)))</f>
        <v/>
      </c>
      <c r="W59" s="26" t="str">
        <f>IF(OR($B59="",$K59=""),"",IF($K59&lt;'Tổng quan'!$B$11,"Hết bảo hành",IF($K59-'Tổng quan'!$B$11&lt;='Cài đặt'!$B$103,"Sắp hết BH ("&amp;($K59-'Tổng quan'!$B$11)&amp;" ngày)","Còn bảo hành")))</f>
        <v/>
      </c>
      <c r="X59" s="31"/>
    </row>
    <row r="60" ht="24.0" customHeight="1">
      <c r="A60" s="10" t="str">
        <f t="shared" si="1"/>
        <v/>
      </c>
      <c r="B60" s="11"/>
      <c r="C60" s="12"/>
      <c r="D60" s="12"/>
      <c r="E60" s="12"/>
      <c r="F60" s="12"/>
      <c r="G60" s="12"/>
      <c r="H60" s="13"/>
      <c r="I60" s="11"/>
      <c r="J60" s="11"/>
      <c r="K60" s="13"/>
      <c r="L60" s="12"/>
      <c r="M60" s="12"/>
      <c r="N60" s="10" t="str">
        <f>IF($B60="","",COUNTIF('Kế hoạch định kỳ'!$C$6:$C$125,$B60))</f>
        <v/>
      </c>
      <c r="O60" s="17" t="str">
        <f>IF($B60="","",IF(SUMPRODUCT(MAX(('Nhật ký bảo trì'!$E$6:$E$405=$B60)*('Nhật ký bảo trì'!$Q$6:$Q$405="Hoàn thành")*'Nhật ký bảo trì'!$B$6:$B$405))=0,"",SUMPRODUCT(MAX(('Nhật ký bảo trì'!$E$6:$E$405=$B60)*('Nhật ký bảo trì'!$Q$6:$Q$405="Hoàn thành")*'Nhật ký bảo trì'!$B$6:$B$405))))</f>
        <v/>
      </c>
      <c r="P60" s="17" t="str">
        <f>IF($B60="","",IF(SUMPRODUCT(MIN(('Kế hoạch định kỳ'!$C$6:$C$125=$B60)*'Kế hoạch định kỳ'!$W$6:$W$125+('Kế hoạch định kỳ'!$C$6:$C$125&lt;&gt;$B60)*99999))&gt;=99999,"",SUMPRODUCT(MIN(('Kế hoạch định kỳ'!$C$6:$C$125=$B60)*'Kế hoạch định kỳ'!$W$6:$W$125+('Kế hoạch định kỳ'!$C$6:$C$125&lt;&gt;$B60)*99999))))</f>
        <v/>
      </c>
      <c r="Q60" s="10" t="str">
        <f>IF($P60="","",$P60-'Tổng quan'!$B$11)</f>
        <v/>
      </c>
      <c r="R60" s="10" t="str">
        <f>IF($B60="","",IF($J60="Ngừng sử dụng","Ngừng sử dụng",IF($P60="","Chưa có kế hoạch",IF($P60&lt;'Tổng quan'!$B$11,"Có việc quá hạn",IF($P60-'Tổng quan'!$B$11&lt;='Cài đặt'!$B$102,"Sắp đến hạn","Trong hạn")))))</f>
        <v/>
      </c>
      <c r="S60" s="10" t="str">
        <f>IF($B60="","",COUNTIFS('Nhật ký bảo trì'!$E$6:$E$405,$B60,'Nhật ký bảo trì'!$C$6:$C$405,"Sửa chữa sự cố",'Nhật ký bảo trì'!$B$6:$B$405,"&gt;="&amp;DATE('Tổng quan'!$B$6,1,1),'Nhật ký bảo trì'!$B$6:$B$405,"&lt;="&amp;DATE('Tổng quan'!$B$6,12,31)))</f>
        <v/>
      </c>
      <c r="T60" s="22" t="str">
        <f>IF($B60="","",SUMIFS('Nhật ký bảo trì'!$K$6:$K$405,'Nhật ký bảo trì'!$E$6:$E$405,$B60,'Nhật ký bảo trì'!$B$6:$B$405,"&gt;="&amp;DATE('Tổng quan'!$B$6,1,1),'Nhật ký bảo trì'!$B$6:$B$405,"&lt;="&amp;DATE('Tổng quan'!$B$6,12,31)))</f>
        <v/>
      </c>
      <c r="U60" s="22" t="str">
        <f>IF(OR($B60="",N($S60)=0),"",SUMIFS('Nhật ký bảo trì'!$J$6:$J$405,'Nhật ký bảo trì'!$E$6:$E$405,$B60,'Nhật ký bảo trì'!$C$6:$C$405,"Sửa chữa sự cố",'Nhật ký bảo trì'!$B$6:$B$405,"&gt;="&amp;DATE('Tổng quan'!$B$6,1,1),'Nhật ký bảo trì'!$B$6:$B$405,"&lt;="&amp;DATE('Tổng quan'!$B$6,12,31))/$S60)</f>
        <v/>
      </c>
      <c r="V60" s="21" t="str">
        <f>IF($B60="","",SUMIFS('Nhật ký bảo trì'!$O$6:$O$405,'Nhật ký bảo trì'!$E$6:$E$405,$B60,'Nhật ký bảo trì'!$B$6:$B$405,"&gt;="&amp;DATE('Tổng quan'!$B$6,1,1),'Nhật ký bảo trì'!$B$6:$B$405,"&lt;="&amp;DATE('Tổng quan'!$B$6,12,31)))</f>
        <v/>
      </c>
      <c r="W60" s="10" t="str">
        <f>IF(OR($B60="",$K60=""),"",IF($K60&lt;'Tổng quan'!$B$11,"Hết bảo hành",IF($K60-'Tổng quan'!$B$11&lt;='Cài đặt'!$B$103,"Sắp hết BH ("&amp;($K60-'Tổng quan'!$B$11)&amp;" ngày)","Còn bảo hành")))</f>
        <v/>
      </c>
      <c r="X60" s="12"/>
    </row>
    <row r="61" ht="24.0" customHeight="1">
      <c r="A61" s="26" t="str">
        <f t="shared" si="1"/>
        <v/>
      </c>
      <c r="B61" s="27"/>
      <c r="C61" s="31"/>
      <c r="D61" s="31"/>
      <c r="E61" s="31"/>
      <c r="F61" s="31"/>
      <c r="G61" s="31"/>
      <c r="H61" s="32"/>
      <c r="I61" s="27"/>
      <c r="J61" s="27"/>
      <c r="K61" s="32"/>
      <c r="L61" s="31"/>
      <c r="M61" s="31"/>
      <c r="N61" s="26" t="str">
        <f>IF($B61="","",COUNTIF('Kế hoạch định kỳ'!$C$6:$C$125,$B61))</f>
        <v/>
      </c>
      <c r="O61" s="33" t="str">
        <f>IF($B61="","",IF(SUMPRODUCT(MAX(('Nhật ký bảo trì'!$E$6:$E$405=$B61)*('Nhật ký bảo trì'!$Q$6:$Q$405="Hoàn thành")*'Nhật ký bảo trì'!$B$6:$B$405))=0,"",SUMPRODUCT(MAX(('Nhật ký bảo trì'!$E$6:$E$405=$B61)*('Nhật ký bảo trì'!$Q$6:$Q$405="Hoàn thành")*'Nhật ký bảo trì'!$B$6:$B$405))))</f>
        <v/>
      </c>
      <c r="P61" s="33" t="str">
        <f>IF($B61="","",IF(SUMPRODUCT(MIN(('Kế hoạch định kỳ'!$C$6:$C$125=$B61)*'Kế hoạch định kỳ'!$W$6:$W$125+('Kế hoạch định kỳ'!$C$6:$C$125&lt;&gt;$B61)*99999))&gt;=99999,"",SUMPRODUCT(MIN(('Kế hoạch định kỳ'!$C$6:$C$125=$B61)*'Kế hoạch định kỳ'!$W$6:$W$125+('Kế hoạch định kỳ'!$C$6:$C$125&lt;&gt;$B61)*99999))))</f>
        <v/>
      </c>
      <c r="Q61" s="26" t="str">
        <f>IF($P61="","",$P61-'Tổng quan'!$B$11)</f>
        <v/>
      </c>
      <c r="R61" s="26" t="str">
        <f>IF($B61="","",IF($J61="Ngừng sử dụng","Ngừng sử dụng",IF($P61="","Chưa có kế hoạch",IF($P61&lt;'Tổng quan'!$B$11,"Có việc quá hạn",IF($P61-'Tổng quan'!$B$11&lt;='Cài đặt'!$B$102,"Sắp đến hạn","Trong hạn")))))</f>
        <v/>
      </c>
      <c r="S61" s="26" t="str">
        <f>IF($B61="","",COUNTIFS('Nhật ký bảo trì'!$E$6:$E$405,$B61,'Nhật ký bảo trì'!$C$6:$C$405,"Sửa chữa sự cố",'Nhật ký bảo trì'!$B$6:$B$405,"&gt;="&amp;DATE('Tổng quan'!$B$6,1,1),'Nhật ký bảo trì'!$B$6:$B$405,"&lt;="&amp;DATE('Tổng quan'!$B$6,12,31)))</f>
        <v/>
      </c>
      <c r="T61" s="39" t="str">
        <f>IF($B61="","",SUMIFS('Nhật ký bảo trì'!$K$6:$K$405,'Nhật ký bảo trì'!$E$6:$E$405,$B61,'Nhật ký bảo trì'!$B$6:$B$405,"&gt;="&amp;DATE('Tổng quan'!$B$6,1,1),'Nhật ký bảo trì'!$B$6:$B$405,"&lt;="&amp;DATE('Tổng quan'!$B$6,12,31)))</f>
        <v/>
      </c>
      <c r="U61" s="39" t="str">
        <f>IF(OR($B61="",N($S61)=0),"",SUMIFS('Nhật ký bảo trì'!$J$6:$J$405,'Nhật ký bảo trì'!$E$6:$E$405,$B61,'Nhật ký bảo trì'!$C$6:$C$405,"Sửa chữa sự cố",'Nhật ký bảo trì'!$B$6:$B$405,"&gt;="&amp;DATE('Tổng quan'!$B$6,1,1),'Nhật ký bảo trì'!$B$6:$B$405,"&lt;="&amp;DATE('Tổng quan'!$B$6,12,31))/$S61)</f>
        <v/>
      </c>
      <c r="V61" s="36" t="str">
        <f>IF($B61="","",SUMIFS('Nhật ký bảo trì'!$O$6:$O$405,'Nhật ký bảo trì'!$E$6:$E$405,$B61,'Nhật ký bảo trì'!$B$6:$B$405,"&gt;="&amp;DATE('Tổng quan'!$B$6,1,1),'Nhật ký bảo trì'!$B$6:$B$405,"&lt;="&amp;DATE('Tổng quan'!$B$6,12,31)))</f>
        <v/>
      </c>
      <c r="W61" s="26" t="str">
        <f>IF(OR($B61="",$K61=""),"",IF($K61&lt;'Tổng quan'!$B$11,"Hết bảo hành",IF($K61-'Tổng quan'!$B$11&lt;='Cài đặt'!$B$103,"Sắp hết BH ("&amp;($K61-'Tổng quan'!$B$11)&amp;" ngày)","Còn bảo hành")))</f>
        <v/>
      </c>
      <c r="X61" s="31"/>
    </row>
    <row r="62" ht="24.0" customHeight="1">
      <c r="A62" s="10" t="str">
        <f t="shared" si="1"/>
        <v/>
      </c>
      <c r="B62" s="11"/>
      <c r="C62" s="12"/>
      <c r="D62" s="12"/>
      <c r="E62" s="12"/>
      <c r="F62" s="12"/>
      <c r="G62" s="12"/>
      <c r="H62" s="13"/>
      <c r="I62" s="11"/>
      <c r="J62" s="11"/>
      <c r="K62" s="13"/>
      <c r="L62" s="12"/>
      <c r="M62" s="12"/>
      <c r="N62" s="10" t="str">
        <f>IF($B62="","",COUNTIF('Kế hoạch định kỳ'!$C$6:$C$125,$B62))</f>
        <v/>
      </c>
      <c r="O62" s="17" t="str">
        <f>IF($B62="","",IF(SUMPRODUCT(MAX(('Nhật ký bảo trì'!$E$6:$E$405=$B62)*('Nhật ký bảo trì'!$Q$6:$Q$405="Hoàn thành")*'Nhật ký bảo trì'!$B$6:$B$405))=0,"",SUMPRODUCT(MAX(('Nhật ký bảo trì'!$E$6:$E$405=$B62)*('Nhật ký bảo trì'!$Q$6:$Q$405="Hoàn thành")*'Nhật ký bảo trì'!$B$6:$B$405))))</f>
        <v/>
      </c>
      <c r="P62" s="17" t="str">
        <f>IF($B62="","",IF(SUMPRODUCT(MIN(('Kế hoạch định kỳ'!$C$6:$C$125=$B62)*'Kế hoạch định kỳ'!$W$6:$W$125+('Kế hoạch định kỳ'!$C$6:$C$125&lt;&gt;$B62)*99999))&gt;=99999,"",SUMPRODUCT(MIN(('Kế hoạch định kỳ'!$C$6:$C$125=$B62)*'Kế hoạch định kỳ'!$W$6:$W$125+('Kế hoạch định kỳ'!$C$6:$C$125&lt;&gt;$B62)*99999))))</f>
        <v/>
      </c>
      <c r="Q62" s="10" t="str">
        <f>IF($P62="","",$P62-'Tổng quan'!$B$11)</f>
        <v/>
      </c>
      <c r="R62" s="10" t="str">
        <f>IF($B62="","",IF($J62="Ngừng sử dụng","Ngừng sử dụng",IF($P62="","Chưa có kế hoạch",IF($P62&lt;'Tổng quan'!$B$11,"Có việc quá hạn",IF($P62-'Tổng quan'!$B$11&lt;='Cài đặt'!$B$102,"Sắp đến hạn","Trong hạn")))))</f>
        <v/>
      </c>
      <c r="S62" s="10" t="str">
        <f>IF($B62="","",COUNTIFS('Nhật ký bảo trì'!$E$6:$E$405,$B62,'Nhật ký bảo trì'!$C$6:$C$405,"Sửa chữa sự cố",'Nhật ký bảo trì'!$B$6:$B$405,"&gt;="&amp;DATE('Tổng quan'!$B$6,1,1),'Nhật ký bảo trì'!$B$6:$B$405,"&lt;="&amp;DATE('Tổng quan'!$B$6,12,31)))</f>
        <v/>
      </c>
      <c r="T62" s="22" t="str">
        <f>IF($B62="","",SUMIFS('Nhật ký bảo trì'!$K$6:$K$405,'Nhật ký bảo trì'!$E$6:$E$405,$B62,'Nhật ký bảo trì'!$B$6:$B$405,"&gt;="&amp;DATE('Tổng quan'!$B$6,1,1),'Nhật ký bảo trì'!$B$6:$B$405,"&lt;="&amp;DATE('Tổng quan'!$B$6,12,31)))</f>
        <v/>
      </c>
      <c r="U62" s="22" t="str">
        <f>IF(OR($B62="",N($S62)=0),"",SUMIFS('Nhật ký bảo trì'!$J$6:$J$405,'Nhật ký bảo trì'!$E$6:$E$405,$B62,'Nhật ký bảo trì'!$C$6:$C$405,"Sửa chữa sự cố",'Nhật ký bảo trì'!$B$6:$B$405,"&gt;="&amp;DATE('Tổng quan'!$B$6,1,1),'Nhật ký bảo trì'!$B$6:$B$405,"&lt;="&amp;DATE('Tổng quan'!$B$6,12,31))/$S62)</f>
        <v/>
      </c>
      <c r="V62" s="21" t="str">
        <f>IF($B62="","",SUMIFS('Nhật ký bảo trì'!$O$6:$O$405,'Nhật ký bảo trì'!$E$6:$E$405,$B62,'Nhật ký bảo trì'!$B$6:$B$405,"&gt;="&amp;DATE('Tổng quan'!$B$6,1,1),'Nhật ký bảo trì'!$B$6:$B$405,"&lt;="&amp;DATE('Tổng quan'!$B$6,12,31)))</f>
        <v/>
      </c>
      <c r="W62" s="10" t="str">
        <f>IF(OR($B62="",$K62=""),"",IF($K62&lt;'Tổng quan'!$B$11,"Hết bảo hành",IF($K62-'Tổng quan'!$B$11&lt;='Cài đặt'!$B$103,"Sắp hết BH ("&amp;($K62-'Tổng quan'!$B$11)&amp;" ngày)","Còn bảo hành")))</f>
        <v/>
      </c>
      <c r="X62" s="12"/>
    </row>
    <row r="63" ht="24.0" customHeight="1">
      <c r="A63" s="26" t="str">
        <f t="shared" si="1"/>
        <v/>
      </c>
      <c r="B63" s="27"/>
      <c r="C63" s="31"/>
      <c r="D63" s="31"/>
      <c r="E63" s="31"/>
      <c r="F63" s="31"/>
      <c r="G63" s="31"/>
      <c r="H63" s="32"/>
      <c r="I63" s="27"/>
      <c r="J63" s="27"/>
      <c r="K63" s="32"/>
      <c r="L63" s="31"/>
      <c r="M63" s="31"/>
      <c r="N63" s="26" t="str">
        <f>IF($B63="","",COUNTIF('Kế hoạch định kỳ'!$C$6:$C$125,$B63))</f>
        <v/>
      </c>
      <c r="O63" s="33" t="str">
        <f>IF($B63="","",IF(SUMPRODUCT(MAX(('Nhật ký bảo trì'!$E$6:$E$405=$B63)*('Nhật ký bảo trì'!$Q$6:$Q$405="Hoàn thành")*'Nhật ký bảo trì'!$B$6:$B$405))=0,"",SUMPRODUCT(MAX(('Nhật ký bảo trì'!$E$6:$E$405=$B63)*('Nhật ký bảo trì'!$Q$6:$Q$405="Hoàn thành")*'Nhật ký bảo trì'!$B$6:$B$405))))</f>
        <v/>
      </c>
      <c r="P63" s="33" t="str">
        <f>IF($B63="","",IF(SUMPRODUCT(MIN(('Kế hoạch định kỳ'!$C$6:$C$125=$B63)*'Kế hoạch định kỳ'!$W$6:$W$125+('Kế hoạch định kỳ'!$C$6:$C$125&lt;&gt;$B63)*99999))&gt;=99999,"",SUMPRODUCT(MIN(('Kế hoạch định kỳ'!$C$6:$C$125=$B63)*'Kế hoạch định kỳ'!$W$6:$W$125+('Kế hoạch định kỳ'!$C$6:$C$125&lt;&gt;$B63)*99999))))</f>
        <v/>
      </c>
      <c r="Q63" s="26" t="str">
        <f>IF($P63="","",$P63-'Tổng quan'!$B$11)</f>
        <v/>
      </c>
      <c r="R63" s="26" t="str">
        <f>IF($B63="","",IF($J63="Ngừng sử dụng","Ngừng sử dụng",IF($P63="","Chưa có kế hoạch",IF($P63&lt;'Tổng quan'!$B$11,"Có việc quá hạn",IF($P63-'Tổng quan'!$B$11&lt;='Cài đặt'!$B$102,"Sắp đến hạn","Trong hạn")))))</f>
        <v/>
      </c>
      <c r="S63" s="26" t="str">
        <f>IF($B63="","",COUNTIFS('Nhật ký bảo trì'!$E$6:$E$405,$B63,'Nhật ký bảo trì'!$C$6:$C$405,"Sửa chữa sự cố",'Nhật ký bảo trì'!$B$6:$B$405,"&gt;="&amp;DATE('Tổng quan'!$B$6,1,1),'Nhật ký bảo trì'!$B$6:$B$405,"&lt;="&amp;DATE('Tổng quan'!$B$6,12,31)))</f>
        <v/>
      </c>
      <c r="T63" s="39" t="str">
        <f>IF($B63="","",SUMIFS('Nhật ký bảo trì'!$K$6:$K$405,'Nhật ký bảo trì'!$E$6:$E$405,$B63,'Nhật ký bảo trì'!$B$6:$B$405,"&gt;="&amp;DATE('Tổng quan'!$B$6,1,1),'Nhật ký bảo trì'!$B$6:$B$405,"&lt;="&amp;DATE('Tổng quan'!$B$6,12,31)))</f>
        <v/>
      </c>
      <c r="U63" s="39" t="str">
        <f>IF(OR($B63="",N($S63)=0),"",SUMIFS('Nhật ký bảo trì'!$J$6:$J$405,'Nhật ký bảo trì'!$E$6:$E$405,$B63,'Nhật ký bảo trì'!$C$6:$C$405,"Sửa chữa sự cố",'Nhật ký bảo trì'!$B$6:$B$405,"&gt;="&amp;DATE('Tổng quan'!$B$6,1,1),'Nhật ký bảo trì'!$B$6:$B$405,"&lt;="&amp;DATE('Tổng quan'!$B$6,12,31))/$S63)</f>
        <v/>
      </c>
      <c r="V63" s="36" t="str">
        <f>IF($B63="","",SUMIFS('Nhật ký bảo trì'!$O$6:$O$405,'Nhật ký bảo trì'!$E$6:$E$405,$B63,'Nhật ký bảo trì'!$B$6:$B$405,"&gt;="&amp;DATE('Tổng quan'!$B$6,1,1),'Nhật ký bảo trì'!$B$6:$B$405,"&lt;="&amp;DATE('Tổng quan'!$B$6,12,31)))</f>
        <v/>
      </c>
      <c r="W63" s="26" t="str">
        <f>IF(OR($B63="",$K63=""),"",IF($K63&lt;'Tổng quan'!$B$11,"Hết bảo hành",IF($K63-'Tổng quan'!$B$11&lt;='Cài đặt'!$B$103,"Sắp hết BH ("&amp;($K63-'Tổng quan'!$B$11)&amp;" ngày)","Còn bảo hành")))</f>
        <v/>
      </c>
      <c r="X63" s="31"/>
    </row>
    <row r="64" ht="24.0" customHeight="1">
      <c r="A64" s="10" t="str">
        <f t="shared" si="1"/>
        <v/>
      </c>
      <c r="B64" s="11"/>
      <c r="C64" s="12"/>
      <c r="D64" s="12"/>
      <c r="E64" s="12"/>
      <c r="F64" s="12"/>
      <c r="G64" s="12"/>
      <c r="H64" s="13"/>
      <c r="I64" s="11"/>
      <c r="J64" s="11"/>
      <c r="K64" s="13"/>
      <c r="L64" s="12"/>
      <c r="M64" s="12"/>
      <c r="N64" s="10" t="str">
        <f>IF($B64="","",COUNTIF('Kế hoạch định kỳ'!$C$6:$C$125,$B64))</f>
        <v/>
      </c>
      <c r="O64" s="17" t="str">
        <f>IF($B64="","",IF(SUMPRODUCT(MAX(('Nhật ký bảo trì'!$E$6:$E$405=$B64)*('Nhật ký bảo trì'!$Q$6:$Q$405="Hoàn thành")*'Nhật ký bảo trì'!$B$6:$B$405))=0,"",SUMPRODUCT(MAX(('Nhật ký bảo trì'!$E$6:$E$405=$B64)*('Nhật ký bảo trì'!$Q$6:$Q$405="Hoàn thành")*'Nhật ký bảo trì'!$B$6:$B$405))))</f>
        <v/>
      </c>
      <c r="P64" s="17" t="str">
        <f>IF($B64="","",IF(SUMPRODUCT(MIN(('Kế hoạch định kỳ'!$C$6:$C$125=$B64)*'Kế hoạch định kỳ'!$W$6:$W$125+('Kế hoạch định kỳ'!$C$6:$C$125&lt;&gt;$B64)*99999))&gt;=99999,"",SUMPRODUCT(MIN(('Kế hoạch định kỳ'!$C$6:$C$125=$B64)*'Kế hoạch định kỳ'!$W$6:$W$125+('Kế hoạch định kỳ'!$C$6:$C$125&lt;&gt;$B64)*99999))))</f>
        <v/>
      </c>
      <c r="Q64" s="10" t="str">
        <f>IF($P64="","",$P64-'Tổng quan'!$B$11)</f>
        <v/>
      </c>
      <c r="R64" s="10" t="str">
        <f>IF($B64="","",IF($J64="Ngừng sử dụng","Ngừng sử dụng",IF($P64="","Chưa có kế hoạch",IF($P64&lt;'Tổng quan'!$B$11,"Có việc quá hạn",IF($P64-'Tổng quan'!$B$11&lt;='Cài đặt'!$B$102,"Sắp đến hạn","Trong hạn")))))</f>
        <v/>
      </c>
      <c r="S64" s="10" t="str">
        <f>IF($B64="","",COUNTIFS('Nhật ký bảo trì'!$E$6:$E$405,$B64,'Nhật ký bảo trì'!$C$6:$C$405,"Sửa chữa sự cố",'Nhật ký bảo trì'!$B$6:$B$405,"&gt;="&amp;DATE('Tổng quan'!$B$6,1,1),'Nhật ký bảo trì'!$B$6:$B$405,"&lt;="&amp;DATE('Tổng quan'!$B$6,12,31)))</f>
        <v/>
      </c>
      <c r="T64" s="22" t="str">
        <f>IF($B64="","",SUMIFS('Nhật ký bảo trì'!$K$6:$K$405,'Nhật ký bảo trì'!$E$6:$E$405,$B64,'Nhật ký bảo trì'!$B$6:$B$405,"&gt;="&amp;DATE('Tổng quan'!$B$6,1,1),'Nhật ký bảo trì'!$B$6:$B$405,"&lt;="&amp;DATE('Tổng quan'!$B$6,12,31)))</f>
        <v/>
      </c>
      <c r="U64" s="22" t="str">
        <f>IF(OR($B64="",N($S64)=0),"",SUMIFS('Nhật ký bảo trì'!$J$6:$J$405,'Nhật ký bảo trì'!$E$6:$E$405,$B64,'Nhật ký bảo trì'!$C$6:$C$405,"Sửa chữa sự cố",'Nhật ký bảo trì'!$B$6:$B$405,"&gt;="&amp;DATE('Tổng quan'!$B$6,1,1),'Nhật ký bảo trì'!$B$6:$B$405,"&lt;="&amp;DATE('Tổng quan'!$B$6,12,31))/$S64)</f>
        <v/>
      </c>
      <c r="V64" s="21" t="str">
        <f>IF($B64="","",SUMIFS('Nhật ký bảo trì'!$O$6:$O$405,'Nhật ký bảo trì'!$E$6:$E$405,$B64,'Nhật ký bảo trì'!$B$6:$B$405,"&gt;="&amp;DATE('Tổng quan'!$B$6,1,1),'Nhật ký bảo trì'!$B$6:$B$405,"&lt;="&amp;DATE('Tổng quan'!$B$6,12,31)))</f>
        <v/>
      </c>
      <c r="W64" s="10" t="str">
        <f>IF(OR($B64="",$K64=""),"",IF($K64&lt;'Tổng quan'!$B$11,"Hết bảo hành",IF($K64-'Tổng quan'!$B$11&lt;='Cài đặt'!$B$103,"Sắp hết BH ("&amp;($K64-'Tổng quan'!$B$11)&amp;" ngày)","Còn bảo hành")))</f>
        <v/>
      </c>
      <c r="X64" s="12"/>
    </row>
    <row r="65" ht="24.0" customHeight="1">
      <c r="A65" s="26" t="str">
        <f t="shared" si="1"/>
        <v/>
      </c>
      <c r="B65" s="27"/>
      <c r="C65" s="31"/>
      <c r="D65" s="31"/>
      <c r="E65" s="31"/>
      <c r="F65" s="31"/>
      <c r="G65" s="31"/>
      <c r="H65" s="32"/>
      <c r="I65" s="27"/>
      <c r="J65" s="27"/>
      <c r="K65" s="32"/>
      <c r="L65" s="31"/>
      <c r="M65" s="31"/>
      <c r="N65" s="26" t="str">
        <f>IF($B65="","",COUNTIF('Kế hoạch định kỳ'!$C$6:$C$125,$B65))</f>
        <v/>
      </c>
      <c r="O65" s="33" t="str">
        <f>IF($B65="","",IF(SUMPRODUCT(MAX(('Nhật ký bảo trì'!$E$6:$E$405=$B65)*('Nhật ký bảo trì'!$Q$6:$Q$405="Hoàn thành")*'Nhật ký bảo trì'!$B$6:$B$405))=0,"",SUMPRODUCT(MAX(('Nhật ký bảo trì'!$E$6:$E$405=$B65)*('Nhật ký bảo trì'!$Q$6:$Q$405="Hoàn thành")*'Nhật ký bảo trì'!$B$6:$B$405))))</f>
        <v/>
      </c>
      <c r="P65" s="33" t="str">
        <f>IF($B65="","",IF(SUMPRODUCT(MIN(('Kế hoạch định kỳ'!$C$6:$C$125=$B65)*'Kế hoạch định kỳ'!$W$6:$W$125+('Kế hoạch định kỳ'!$C$6:$C$125&lt;&gt;$B65)*99999))&gt;=99999,"",SUMPRODUCT(MIN(('Kế hoạch định kỳ'!$C$6:$C$125=$B65)*'Kế hoạch định kỳ'!$W$6:$W$125+('Kế hoạch định kỳ'!$C$6:$C$125&lt;&gt;$B65)*99999))))</f>
        <v/>
      </c>
      <c r="Q65" s="26" t="str">
        <f>IF($P65="","",$P65-'Tổng quan'!$B$11)</f>
        <v/>
      </c>
      <c r="R65" s="26" t="str">
        <f>IF($B65="","",IF($J65="Ngừng sử dụng","Ngừng sử dụng",IF($P65="","Chưa có kế hoạch",IF($P65&lt;'Tổng quan'!$B$11,"Có việc quá hạn",IF($P65-'Tổng quan'!$B$11&lt;='Cài đặt'!$B$102,"Sắp đến hạn","Trong hạn")))))</f>
        <v/>
      </c>
      <c r="S65" s="26" t="str">
        <f>IF($B65="","",COUNTIFS('Nhật ký bảo trì'!$E$6:$E$405,$B65,'Nhật ký bảo trì'!$C$6:$C$405,"Sửa chữa sự cố",'Nhật ký bảo trì'!$B$6:$B$405,"&gt;="&amp;DATE('Tổng quan'!$B$6,1,1),'Nhật ký bảo trì'!$B$6:$B$405,"&lt;="&amp;DATE('Tổng quan'!$B$6,12,31)))</f>
        <v/>
      </c>
      <c r="T65" s="39" t="str">
        <f>IF($B65="","",SUMIFS('Nhật ký bảo trì'!$K$6:$K$405,'Nhật ký bảo trì'!$E$6:$E$405,$B65,'Nhật ký bảo trì'!$B$6:$B$405,"&gt;="&amp;DATE('Tổng quan'!$B$6,1,1),'Nhật ký bảo trì'!$B$6:$B$405,"&lt;="&amp;DATE('Tổng quan'!$B$6,12,31)))</f>
        <v/>
      </c>
      <c r="U65" s="39" t="str">
        <f>IF(OR($B65="",N($S65)=0),"",SUMIFS('Nhật ký bảo trì'!$J$6:$J$405,'Nhật ký bảo trì'!$E$6:$E$405,$B65,'Nhật ký bảo trì'!$C$6:$C$405,"Sửa chữa sự cố",'Nhật ký bảo trì'!$B$6:$B$405,"&gt;="&amp;DATE('Tổng quan'!$B$6,1,1),'Nhật ký bảo trì'!$B$6:$B$405,"&lt;="&amp;DATE('Tổng quan'!$B$6,12,31))/$S65)</f>
        <v/>
      </c>
      <c r="V65" s="36" t="str">
        <f>IF($B65="","",SUMIFS('Nhật ký bảo trì'!$O$6:$O$405,'Nhật ký bảo trì'!$E$6:$E$405,$B65,'Nhật ký bảo trì'!$B$6:$B$405,"&gt;="&amp;DATE('Tổng quan'!$B$6,1,1),'Nhật ký bảo trì'!$B$6:$B$405,"&lt;="&amp;DATE('Tổng quan'!$B$6,12,31)))</f>
        <v/>
      </c>
      <c r="W65" s="26" t="str">
        <f>IF(OR($B65="",$K65=""),"",IF($K65&lt;'Tổng quan'!$B$11,"Hết bảo hành",IF($K65-'Tổng quan'!$B$11&lt;='Cài đặt'!$B$103,"Sắp hết BH ("&amp;($K65-'Tổng quan'!$B$11)&amp;" ngày)","Còn bảo hành")))</f>
        <v/>
      </c>
      <c r="X65" s="31"/>
    </row>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X1"/>
    <mergeCell ref="A2:X2"/>
    <mergeCell ref="A4:M4"/>
    <mergeCell ref="N4:R4"/>
    <mergeCell ref="S4:V4"/>
    <mergeCell ref="W4:X4"/>
  </mergeCells>
  <conditionalFormatting sqref="R6:R65">
    <cfRule type="cellIs" dxfId="0" priority="1" operator="equal">
      <formula>"Có việc quá hạn"</formula>
    </cfRule>
  </conditionalFormatting>
  <conditionalFormatting sqref="R6:R65">
    <cfRule type="cellIs" dxfId="1" priority="2" operator="equal">
      <formula>"Sắp đến hạn"</formula>
    </cfRule>
  </conditionalFormatting>
  <conditionalFormatting sqref="R6:R65">
    <cfRule type="cellIs" dxfId="3" priority="3" operator="equal">
      <formula>"Ngừng sử dụng"</formula>
    </cfRule>
  </conditionalFormatting>
  <conditionalFormatting sqref="W6:W65">
    <cfRule type="expression" dxfId="3" priority="4">
      <formula>$W6="Hết bảo hành"</formula>
    </cfRule>
  </conditionalFormatting>
  <conditionalFormatting sqref="W6:W65">
    <cfRule type="expression" dxfId="1" priority="5">
      <formula>LEFT($W6,4)="Sắp "</formula>
    </cfRule>
  </conditionalFormatting>
  <conditionalFormatting sqref="J6:J65">
    <cfRule type="cellIs" dxfId="2" priority="6" operator="equal">
      <formula>"Đang hỏng"</formula>
    </cfRule>
  </conditionalFormatting>
  <conditionalFormatting sqref="J6:J65">
    <cfRule type="cellIs" dxfId="4" priority="7" operator="equal">
      <formula>"Đang bảo trì"</formula>
    </cfRule>
  </conditionalFormatting>
  <dataValidations>
    <dataValidation type="list" allowBlank="1" sqref="E6:E65">
      <formula1>'Cài đặt'!$A$19:$A$28</formula1>
    </dataValidation>
    <dataValidation type="list" allowBlank="1" sqref="D6:D65">
      <formula1>'Cài đặt'!$A$6:$A$15</formula1>
    </dataValidation>
    <dataValidation type="list" allowBlank="1" sqref="L6:L65">
      <formula1>'Cài đặt'!$A$85:$A$99</formula1>
    </dataValidation>
    <dataValidation type="list" allowBlank="1" sqref="I6:I65">
      <formula1>'Cài đặt'!$A$32:$A$35</formula1>
    </dataValidation>
    <dataValidation type="date" operator="greaterThan" allowBlank="1" sqref="H6:H65 K6:K65">
      <formula1>36526.0</formula1>
    </dataValidation>
    <dataValidation type="list" allowBlank="1" sqref="J6:J65">
      <formula1>'Cài đặt'!$A$39:$A$43</formula1>
    </dataValidation>
  </dataValidations>
  <printOptions/>
  <pageMargins bottom="1.0" footer="0.0" header="0.0" left="0.75" right="0.75" top="1.0"/>
  <pageSetup fitToHeight="0" paperSize="8"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xSplit="6.0" ySplit="5.0" topLeftCell="G6" activePane="bottomRight" state="frozen"/>
      <selection activeCell="G1" sqref="G1" pane="topRight"/>
      <selection activeCell="A6" sqref="A6" pane="bottomLeft"/>
      <selection activeCell="G6" sqref="G6" pane="bottomRight"/>
    </sheetView>
  </sheetViews>
  <sheetFormatPr customHeight="1" defaultColWidth="14.43" defaultRowHeight="15.0"/>
  <cols>
    <col customWidth="1" min="1" max="1" width="6.0"/>
    <col customWidth="1" min="2" max="3" width="11.0"/>
    <col customWidth="1" min="4" max="4" width="28.0"/>
    <col customWidth="1" min="5" max="5" width="18.0"/>
    <col customWidth="1" min="6" max="6" width="40.0"/>
    <col customWidth="1" min="7" max="7" width="18.0"/>
    <col customWidth="1" min="8" max="8" width="13.0"/>
    <col customWidth="1" min="9" max="9" width="11.0"/>
    <col customWidth="1" min="10" max="10" width="10.0"/>
    <col customWidth="1" min="11" max="13" width="13.0"/>
    <col customWidth="1" min="14" max="14" width="9.0"/>
    <col customWidth="1" min="15" max="15" width="22.0"/>
    <col customWidth="1" min="16" max="16" width="10.0"/>
    <col customWidth="1" min="17" max="17" width="18.0"/>
    <col customWidth="1" min="18" max="18" width="28.0"/>
    <col customWidth="1" min="19" max="19" width="14.0"/>
    <col customWidth="1" min="20" max="20" width="10.0"/>
    <col customWidth="1" min="21" max="21" width="15.0"/>
    <col customWidth="1" min="22" max="22" width="24.0"/>
    <col customWidth="1" min="23" max="24" width="9.0"/>
    <col customWidth="1" min="25" max="25" width="10.0"/>
    <col customWidth="1" min="26" max="26" width="8.71"/>
  </cols>
  <sheetData>
    <row r="1" ht="42.0" customHeight="1">
      <c r="A1" s="1" t="s">
        <v>0</v>
      </c>
      <c r="B1" s="2"/>
      <c r="C1" s="2"/>
      <c r="D1" s="2"/>
      <c r="E1" s="2"/>
      <c r="F1" s="2"/>
      <c r="G1" s="2"/>
      <c r="H1" s="2"/>
      <c r="I1" s="2"/>
      <c r="J1" s="2"/>
      <c r="K1" s="2"/>
      <c r="L1" s="2"/>
      <c r="M1" s="2"/>
      <c r="N1" s="2"/>
      <c r="O1" s="2"/>
      <c r="P1" s="2"/>
      <c r="Q1" s="2"/>
      <c r="R1" s="2"/>
      <c r="S1" s="2"/>
      <c r="T1" s="2"/>
      <c r="U1" s="2"/>
      <c r="V1" s="2"/>
      <c r="W1" s="2"/>
      <c r="X1" s="2"/>
      <c r="Y1" s="3"/>
    </row>
    <row r="2" ht="19.5" customHeight="1">
      <c r="A2" s="4" t="s">
        <v>4</v>
      </c>
    </row>
    <row r="4" ht="24.0" customHeight="1">
      <c r="A4" s="5" t="s">
        <v>6</v>
      </c>
      <c r="B4" s="2"/>
      <c r="C4" s="2"/>
      <c r="D4" s="2"/>
      <c r="E4" s="2"/>
      <c r="F4" s="2"/>
      <c r="G4" s="3"/>
      <c r="H4" s="6" t="s">
        <v>7</v>
      </c>
      <c r="I4" s="2"/>
      <c r="J4" s="2"/>
      <c r="K4" s="2"/>
      <c r="L4" s="2"/>
      <c r="M4" s="2"/>
      <c r="N4" s="2"/>
      <c r="O4" s="3"/>
      <c r="P4" s="5" t="s">
        <v>10</v>
      </c>
      <c r="Q4" s="2"/>
      <c r="R4" s="2"/>
      <c r="S4" s="2"/>
      <c r="T4" s="2"/>
      <c r="U4" s="3"/>
      <c r="V4" s="6" t="s">
        <v>12</v>
      </c>
      <c r="W4" s="2"/>
      <c r="X4" s="2"/>
      <c r="Y4" s="3"/>
    </row>
    <row r="5" ht="51.75" customHeight="1">
      <c r="A5" s="7" t="s">
        <v>13</v>
      </c>
      <c r="B5" s="7" t="s">
        <v>16</v>
      </c>
      <c r="C5" s="7" t="s">
        <v>15</v>
      </c>
      <c r="D5" s="7" t="s">
        <v>17</v>
      </c>
      <c r="E5" s="7" t="s">
        <v>18</v>
      </c>
      <c r="F5" s="7" t="s">
        <v>23</v>
      </c>
      <c r="G5" s="7" t="s">
        <v>29</v>
      </c>
      <c r="H5" s="7" t="s">
        <v>26</v>
      </c>
      <c r="I5" s="7" t="s">
        <v>33</v>
      </c>
      <c r="J5" s="7" t="s">
        <v>36</v>
      </c>
      <c r="K5" s="7" t="s">
        <v>39</v>
      </c>
      <c r="L5" s="7" t="s">
        <v>42</v>
      </c>
      <c r="M5" s="7" t="s">
        <v>45</v>
      </c>
      <c r="N5" s="7" t="s">
        <v>37</v>
      </c>
      <c r="O5" s="7" t="s">
        <v>48</v>
      </c>
      <c r="P5" s="7" t="s">
        <v>49</v>
      </c>
      <c r="Q5" s="7" t="s">
        <v>50</v>
      </c>
      <c r="R5" s="7" t="s">
        <v>51</v>
      </c>
      <c r="S5" s="7" t="s">
        <v>52</v>
      </c>
      <c r="T5" s="7" t="s">
        <v>53</v>
      </c>
      <c r="U5" s="7" t="s">
        <v>54</v>
      </c>
      <c r="V5" s="7" t="s">
        <v>47</v>
      </c>
      <c r="W5" s="7" t="s">
        <v>55</v>
      </c>
      <c r="X5" s="7" t="s">
        <v>56</v>
      </c>
      <c r="Y5" s="7" t="s">
        <v>57</v>
      </c>
    </row>
    <row r="6" ht="30.0" customHeight="1">
      <c r="A6" s="10">
        <f t="shared" ref="A6:A125" si="1">IF($B6="","",ROW()-5)</f>
        <v>1</v>
      </c>
      <c r="B6" s="11" t="s">
        <v>60</v>
      </c>
      <c r="C6" s="11" t="s">
        <v>58</v>
      </c>
      <c r="D6" s="14" t="str">
        <f t="array" ref="D6">IF($C6="","",IFERROR(INDEX('Danh mục thiết bị'!$C$6:$C$65,MATCH($C6,'Danh mục thiết bị'!$B$6:$B$65,0)),"Mã TB không tồn tại"))</f>
        <v>Máy in Flexo 6 màu</v>
      </c>
      <c r="E6" s="14" t="str">
        <f t="array" ref="E6">IF($C6="","",IFERROR(INDEX('Danh mục thiết bị'!$D$6:$D$65,MATCH($C6,'Danh mục thiết bị'!$B$6:$B$65,0)),""))</f>
        <v>Máy sản xuất</v>
      </c>
      <c r="F6" s="15" t="s">
        <v>69</v>
      </c>
      <c r="G6" s="11" t="s">
        <v>70</v>
      </c>
      <c r="H6" s="11" t="s">
        <v>71</v>
      </c>
      <c r="I6" s="11"/>
      <c r="J6" s="16">
        <f t="array" ref="J6">IF($B6="","",IF($I6&lt;&gt;"",$I6,IFERROR(INDEX('Cài đặt'!$B$47:$B$56,MATCH($H6,'Cài đặt'!$A$47:$A$56,0)),"")))</f>
        <v>30</v>
      </c>
      <c r="K6" s="13">
        <v>46027.0</v>
      </c>
      <c r="L6" s="17">
        <f>IF($B6="","",IF(SUMPRODUCT(MAX(('Nhật ký bảo trì'!$D$6:$D$405=$B6)*('Nhật ký bảo trì'!$Q$6:$Q$405="Hoàn thành")*'Nhật ký bảo trì'!$B$6:$B$405))=0,"",SUMPRODUCT(MAX(('Nhật ký bảo trì'!$D$6:$D$405=$B6)*('Nhật ký bảo trì'!$Q$6:$Q$405="Hoàn thành")*'Nhật ký bảo trì'!$B$6:$B$405))))</f>
        <v>46307</v>
      </c>
      <c r="M6" s="17">
        <f t="shared" ref="M6:M125" si="2">IF(OR($B6="",$J6=""),"",IF($L6&lt;&gt;"",$L6+$J6,IF($K6&lt;&gt;"",$K6,"")))</f>
        <v>46337</v>
      </c>
      <c r="N6" s="10">
        <f>IF($M6="","",$M6-'Tổng quan'!$B$11)</f>
        <v>12</v>
      </c>
      <c r="O6" s="10" t="str">
        <f t="array" ref="O6">IF($B6="","",IF(IFERROR(INDEX('Danh mục thiết bị'!$J$6:$J$65,MATCH($C6,'Danh mục thiết bị'!$B$6:$B$65,0)),"")="Ngừng sử dụng","Thiết bị ngừng sử dụng",IF($J6="","Chưa chọn chu kỳ",IF($M6="","Chưa có ngày áp dụng",IF($M6&lt;'Tổng quan'!$B$11,"Quá hạn "&amp;('Tổng quan'!$B$11-$M6)&amp;" ngày",IF($M6='Tổng quan'!$B$11,"Đến hạn hôm nay",IF($M6-'Tổng quan'!$B$11&lt;='Cài đặt'!$B$102,"Sắp đến hạn ("&amp;($M6-'Tổng quan'!$B$11)&amp;" ngày)","Còn "&amp;($M6-'Tổng quan'!$B$11)&amp;" ngày")))))))</f>
        <v>Còn 12 ngày</v>
      </c>
      <c r="P6" s="19">
        <v>3.0</v>
      </c>
      <c r="Q6" s="12" t="s">
        <v>74</v>
      </c>
      <c r="R6" s="15" t="s">
        <v>75</v>
      </c>
      <c r="S6" s="20">
        <v>400000.0</v>
      </c>
      <c r="T6" s="10">
        <f t="shared" ref="T6:T125" si="3">IF(OR($B6="",N($J6)&lt;=0),"",ROUND(365/$J6,0))</f>
        <v>12</v>
      </c>
      <c r="U6" s="21">
        <f t="shared" ref="U6:U125" si="4">IF($T6="","",$T6*N($S6))</f>
        <v>4800000</v>
      </c>
      <c r="V6" s="15"/>
      <c r="W6" s="23">
        <f t="shared" ref="W6:W125" si="5">IF(OR($B6="",$M6=""),99999,$M6)</f>
        <v>46337</v>
      </c>
      <c r="X6" s="23">
        <f t="shared" ref="X6:X125" si="6">IF(OR($B6="",$J6=""),99999,IF($J6&lt;=0,99999,$J6))</f>
        <v>30</v>
      </c>
      <c r="Y6" s="25" t="str">
        <f t="shared" ref="Y6:Y125" si="7">IF(OR(LEFT($O6,7)="Quá hạn",LEFT($O6,8)="Sắp đến",$O6="Đến hạn hôm nay"),$W6+ROW()/100000,"")</f>
        <v/>
      </c>
    </row>
    <row r="7" ht="30.0" customHeight="1">
      <c r="A7" s="26">
        <f t="shared" si="1"/>
        <v>2</v>
      </c>
      <c r="B7" s="27" t="s">
        <v>76</v>
      </c>
      <c r="C7" s="27" t="s">
        <v>58</v>
      </c>
      <c r="D7" s="28" t="str">
        <f t="array" ref="D7">IF($C7="","",IFERROR(INDEX('Danh mục thiết bị'!$C$6:$C$65,MATCH($C7,'Danh mục thiết bị'!$B$6:$B$65,0)),"Mã TB không tồn tại"))</f>
        <v>Máy in Flexo 6 màu</v>
      </c>
      <c r="E7" s="28" t="str">
        <f t="array" ref="E7">IF($C7="","",IFERROR(INDEX('Danh mục thiết bị'!$D$6:$D$65,MATCH($C7,'Danh mục thiết bị'!$B$6:$B$65,0)),""))</f>
        <v>Máy sản xuất</v>
      </c>
      <c r="F7" s="29" t="s">
        <v>77</v>
      </c>
      <c r="G7" s="27" t="s">
        <v>78</v>
      </c>
      <c r="H7" s="27" t="s">
        <v>79</v>
      </c>
      <c r="I7" s="27"/>
      <c r="J7" s="30">
        <f t="array" ref="J7">IF($B7="","",IF($I7&lt;&gt;"",$I7,IFERROR(INDEX('Cài đặt'!$B$47:$B$56,MATCH($H7,'Cài đặt'!$A$47:$A$56,0)),"")))</f>
        <v>90</v>
      </c>
      <c r="K7" s="32">
        <v>46027.0</v>
      </c>
      <c r="L7" s="33">
        <f>IF($B7="","",IF(SUMPRODUCT(MAX(('Nhật ký bảo trì'!$D$6:$D$405=$B7)*('Nhật ký bảo trì'!$Q$6:$Q$405="Hoàn thành")*'Nhật ký bảo trì'!$B$6:$B$405))=0,"",SUMPRODUCT(MAX(('Nhật ký bảo trì'!$D$6:$D$405=$B7)*('Nhật ký bảo trì'!$Q$6:$Q$405="Hoàn thành")*'Nhật ký bảo trì'!$B$6:$B$405))))</f>
        <v>46254</v>
      </c>
      <c r="M7" s="33">
        <f t="shared" si="2"/>
        <v>46344</v>
      </c>
      <c r="N7" s="26">
        <f>IF($M7="","",$M7-'Tổng quan'!$B$11)</f>
        <v>19</v>
      </c>
      <c r="O7" s="26" t="str">
        <f t="array" ref="O7">IF($B7="","",IF(IFERROR(INDEX('Danh mục thiết bị'!$J$6:$J$65,MATCH($C7,'Danh mục thiết bị'!$B$6:$B$65,0)),"")="Ngừng sử dụng","Thiết bị ngừng sử dụng",IF($J7="","Chưa chọn chu kỳ",IF($M7="","Chưa có ngày áp dụng",IF($M7&lt;'Tổng quan'!$B$11,"Quá hạn "&amp;('Tổng quan'!$B$11-$M7)&amp;" ngày",IF($M7='Tổng quan'!$B$11,"Đến hạn hôm nay",IF($M7-'Tổng quan'!$B$11&lt;='Cài đặt'!$B$102,"Sắp đến hạn ("&amp;($M7-'Tổng quan'!$B$11)&amp;" ngày)","Còn "&amp;($M7-'Tổng quan'!$B$11)&amp;" ngày")))))))</f>
        <v>Còn 19 ngày</v>
      </c>
      <c r="P7" s="34">
        <v>2.0</v>
      </c>
      <c r="Q7" s="31" t="s">
        <v>74</v>
      </c>
      <c r="R7" s="29" t="s">
        <v>86</v>
      </c>
      <c r="S7" s="35">
        <v>1500000.0</v>
      </c>
      <c r="T7" s="26">
        <f t="shared" si="3"/>
        <v>4</v>
      </c>
      <c r="U7" s="36">
        <f t="shared" si="4"/>
        <v>6000000</v>
      </c>
      <c r="V7" s="29"/>
      <c r="W7" s="37">
        <f t="shared" si="5"/>
        <v>46344</v>
      </c>
      <c r="X7" s="37">
        <f t="shared" si="6"/>
        <v>90</v>
      </c>
      <c r="Y7" s="38" t="str">
        <f t="shared" si="7"/>
        <v/>
      </c>
    </row>
    <row r="8" ht="30.0" customHeight="1">
      <c r="A8" s="10">
        <f t="shared" si="1"/>
        <v>3</v>
      </c>
      <c r="B8" s="11" t="s">
        <v>87</v>
      </c>
      <c r="C8" s="11" t="s">
        <v>58</v>
      </c>
      <c r="D8" s="14" t="str">
        <f t="array" ref="D8">IF($C8="","",IFERROR(INDEX('Danh mục thiết bị'!$C$6:$C$65,MATCH($C8,'Danh mục thiết bị'!$B$6:$B$65,0)),"Mã TB không tồn tại"))</f>
        <v>Máy in Flexo 6 màu</v>
      </c>
      <c r="E8" s="14" t="str">
        <f t="array" ref="E8">IF($C8="","",IFERROR(INDEX('Danh mục thiết bị'!$D$6:$D$65,MATCH($C8,'Danh mục thiết bị'!$B$6:$B$65,0)),""))</f>
        <v>Máy sản xuất</v>
      </c>
      <c r="F8" s="15" t="s">
        <v>88</v>
      </c>
      <c r="G8" s="11" t="s">
        <v>89</v>
      </c>
      <c r="H8" s="11" t="s">
        <v>90</v>
      </c>
      <c r="I8" s="11"/>
      <c r="J8" s="16">
        <f t="array" ref="J8">IF($B8="","",IF($I8&lt;&gt;"",$I8,IFERROR(INDEX('Cài đặt'!$B$47:$B$56,MATCH($H8,'Cài đặt'!$A$47:$A$56,0)),"")))</f>
        <v>365</v>
      </c>
      <c r="K8" s="13">
        <v>46091.0</v>
      </c>
      <c r="L8" s="17">
        <f>IF($B8="","",IF(SUMPRODUCT(MAX(('Nhật ký bảo trì'!$D$6:$D$405=$B8)*('Nhật ký bảo trì'!$Q$6:$Q$405="Hoàn thành")*'Nhật ký bảo trì'!$B$6:$B$405))=0,"",SUMPRODUCT(MAX(('Nhật ký bảo trì'!$D$6:$D$405=$B8)*('Nhật ký bảo trì'!$Q$6:$Q$405="Hoàn thành")*'Nhật ký bảo trì'!$B$6:$B$405))))</f>
        <v>46091</v>
      </c>
      <c r="M8" s="17">
        <f t="shared" si="2"/>
        <v>46456</v>
      </c>
      <c r="N8" s="10">
        <f>IF($M8="","",$M8-'Tổng quan'!$B$11)</f>
        <v>131</v>
      </c>
      <c r="O8" s="10" t="str">
        <f t="array" ref="O8">IF($B8="","",IF(IFERROR(INDEX('Danh mục thiết bị'!$J$6:$J$65,MATCH($C8,'Danh mục thiết bị'!$B$6:$B$65,0)),"")="Ngừng sử dụng","Thiết bị ngừng sử dụng",IF($J8="","Chưa chọn chu kỳ",IF($M8="","Chưa có ngày áp dụng",IF($M8&lt;'Tổng quan'!$B$11,"Quá hạn "&amp;('Tổng quan'!$B$11-$M8)&amp;" ngày",IF($M8='Tổng quan'!$B$11,"Đến hạn hôm nay",IF($M8-'Tổng quan'!$B$11&lt;='Cài đặt'!$B$102,"Sắp đến hạn ("&amp;($M8-'Tổng quan'!$B$11)&amp;" ngày)","Còn "&amp;($M8-'Tổng quan'!$B$11)&amp;" ngày")))))))</f>
        <v>Còn 131 ngày</v>
      </c>
      <c r="P8" s="19">
        <v>16.0</v>
      </c>
      <c r="Q8" s="12" t="s">
        <v>67</v>
      </c>
      <c r="R8" s="15" t="s">
        <v>91</v>
      </c>
      <c r="S8" s="20">
        <v>1.2E7</v>
      </c>
      <c r="T8" s="10">
        <f t="shared" si="3"/>
        <v>1</v>
      </c>
      <c r="U8" s="21">
        <f t="shared" si="4"/>
        <v>12000000</v>
      </c>
      <c r="V8" s="15"/>
      <c r="W8" s="23">
        <f t="shared" si="5"/>
        <v>46456</v>
      </c>
      <c r="X8" s="23">
        <f t="shared" si="6"/>
        <v>365</v>
      </c>
      <c r="Y8" s="25" t="str">
        <f t="shared" si="7"/>
        <v/>
      </c>
    </row>
    <row r="9" ht="30.0" customHeight="1">
      <c r="A9" s="26">
        <f t="shared" si="1"/>
        <v>4</v>
      </c>
      <c r="B9" s="27" t="s">
        <v>92</v>
      </c>
      <c r="C9" s="27" t="s">
        <v>80</v>
      </c>
      <c r="D9" s="28" t="str">
        <f t="array" ref="D9">IF($C9="","",IFERROR(INDEX('Danh mục thiết bị'!$C$6:$C$65,MATCH($C9,'Danh mục thiết bị'!$B$6:$B$65,0)),"Mã TB không tồn tại"))</f>
        <v>Máy cắt thành phẩm tự động</v>
      </c>
      <c r="E9" s="28" t="str">
        <f t="array" ref="E9">IF($C9="","",IFERROR(INDEX('Danh mục thiết bị'!$D$6:$D$65,MATCH($C9,'Danh mục thiết bị'!$B$6:$B$65,0)),""))</f>
        <v>Máy sản xuất</v>
      </c>
      <c r="F9" s="29" t="s">
        <v>93</v>
      </c>
      <c r="G9" s="27" t="s">
        <v>94</v>
      </c>
      <c r="H9" s="27" t="s">
        <v>95</v>
      </c>
      <c r="I9" s="27"/>
      <c r="J9" s="30">
        <f t="array" ref="J9">IF($B9="","",IF($I9&lt;&gt;"",$I9,IFERROR(INDEX('Cài đặt'!$B$47:$B$56,MATCH($H9,'Cài đặt'!$A$47:$A$56,0)),"")))</f>
        <v>60</v>
      </c>
      <c r="K9" s="32">
        <v>46027.0</v>
      </c>
      <c r="L9" s="33">
        <f>IF($B9="","",IF(SUMPRODUCT(MAX(('Nhật ký bảo trì'!$D$6:$D$405=$B9)*('Nhật ký bảo trì'!$Q$6:$Q$405="Hoàn thành")*'Nhật ký bảo trì'!$B$6:$B$405))=0,"",SUMPRODUCT(MAX(('Nhật ký bảo trì'!$D$6:$D$405=$B9)*('Nhật ký bảo trì'!$Q$6:$Q$405="Hoàn thành")*'Nhật ký bảo trì'!$B$6:$B$405))))</f>
        <v>46270</v>
      </c>
      <c r="M9" s="33">
        <f t="shared" si="2"/>
        <v>46330</v>
      </c>
      <c r="N9" s="26">
        <f>IF($M9="","",$M9-'Tổng quan'!$B$11)</f>
        <v>5</v>
      </c>
      <c r="O9" s="26" t="str">
        <f t="array" ref="O9">IF($B9="","",IF(IFERROR(INDEX('Danh mục thiết bị'!$J$6:$J$65,MATCH($C9,'Danh mục thiết bị'!$B$6:$B$65,0)),"")="Ngừng sử dụng","Thiết bị ngừng sử dụng",IF($J9="","Chưa chọn chu kỳ",IF($M9="","Chưa có ngày áp dụng",IF($M9&lt;'Tổng quan'!$B$11,"Quá hạn "&amp;('Tổng quan'!$B$11-$M9)&amp;" ngày",IF($M9='Tổng quan'!$B$11,"Đến hạn hôm nay",IF($M9-'Tổng quan'!$B$11&lt;='Cài đặt'!$B$102,"Sắp đến hạn ("&amp;($M9-'Tổng quan'!$B$11)&amp;" ngày)","Còn "&amp;($M9-'Tổng quan'!$B$11)&amp;" ngày")))))))</f>
        <v>Sắp đến hạn (5 ngày)</v>
      </c>
      <c r="P9" s="34">
        <v>2.0</v>
      </c>
      <c r="Q9" s="31" t="s">
        <v>74</v>
      </c>
      <c r="R9" s="29" t="s">
        <v>104</v>
      </c>
      <c r="S9" s="35">
        <v>2500000.0</v>
      </c>
      <c r="T9" s="26">
        <f t="shared" si="3"/>
        <v>6</v>
      </c>
      <c r="U9" s="36">
        <f t="shared" si="4"/>
        <v>15000000</v>
      </c>
      <c r="V9" s="29"/>
      <c r="W9" s="37">
        <f t="shared" si="5"/>
        <v>46330</v>
      </c>
      <c r="X9" s="37">
        <f t="shared" si="6"/>
        <v>60</v>
      </c>
      <c r="Y9" s="38" t="str">
        <f t="shared" si="7"/>
        <v/>
      </c>
    </row>
    <row r="10" ht="30.0" customHeight="1">
      <c r="A10" s="10">
        <f t="shared" si="1"/>
        <v>5</v>
      </c>
      <c r="B10" s="11" t="s">
        <v>105</v>
      </c>
      <c r="C10" s="11" t="s">
        <v>80</v>
      </c>
      <c r="D10" s="14" t="str">
        <f t="array" ref="D10">IF($C10="","",IFERROR(INDEX('Danh mục thiết bị'!$C$6:$C$65,MATCH($C10,'Danh mục thiết bị'!$B$6:$B$65,0)),"Mã TB không tồn tại"))</f>
        <v>Máy cắt thành phẩm tự động</v>
      </c>
      <c r="E10" s="14" t="str">
        <f t="array" ref="E10">IF($C10="","",IFERROR(INDEX('Danh mục thiết bị'!$D$6:$D$65,MATCH($C10,'Danh mục thiết bị'!$B$6:$B$65,0)),""))</f>
        <v>Máy sản xuất</v>
      </c>
      <c r="F10" s="15" t="s">
        <v>106</v>
      </c>
      <c r="G10" s="11" t="s">
        <v>78</v>
      </c>
      <c r="H10" s="11" t="s">
        <v>71</v>
      </c>
      <c r="I10" s="11"/>
      <c r="J10" s="16">
        <f t="array" ref="J10">IF($B10="","",IF($I10&lt;&gt;"",$I10,IFERROR(INDEX('Cài đặt'!$B$47:$B$56,MATCH($H10,'Cài đặt'!$A$47:$A$56,0)),"")))</f>
        <v>30</v>
      </c>
      <c r="K10" s="13">
        <v>46027.0</v>
      </c>
      <c r="L10" s="17">
        <f>IF($B10="","",IF(SUMPRODUCT(MAX(('Nhật ký bảo trì'!$D$6:$D$405=$B10)*('Nhật ký bảo trì'!$Q$6:$Q$405="Hoàn thành")*'Nhật ký bảo trì'!$B$6:$B$405))=0,"",SUMPRODUCT(MAX(('Nhật ký bảo trì'!$D$6:$D$405=$B10)*('Nhật ký bảo trì'!$Q$6:$Q$405="Hoàn thành")*'Nhật ký bảo trì'!$B$6:$B$405))))</f>
        <v>46291</v>
      </c>
      <c r="M10" s="17">
        <f t="shared" si="2"/>
        <v>46321</v>
      </c>
      <c r="N10" s="10">
        <f>IF($M10="","",$M10-'Tổng quan'!$B$11)</f>
        <v>-4</v>
      </c>
      <c r="O10" s="10" t="str">
        <f t="array" ref="O10">IF($B10="","",IF(IFERROR(INDEX('Danh mục thiết bị'!$J$6:$J$65,MATCH($C10,'Danh mục thiết bị'!$B$6:$B$65,0)),"")="Ngừng sử dụng","Thiết bị ngừng sử dụng",IF($J10="","Chưa chọn chu kỳ",IF($M10="","Chưa có ngày áp dụng",IF($M10&lt;'Tổng quan'!$B$11,"Quá hạn "&amp;('Tổng quan'!$B$11-$M10)&amp;" ngày",IF($M10='Tổng quan'!$B$11,"Đến hạn hôm nay",IF($M10-'Tổng quan'!$B$11&lt;='Cài đặt'!$B$102,"Sắp đến hạn ("&amp;($M10-'Tổng quan'!$B$11)&amp;" ngày)","Còn "&amp;($M10-'Tổng quan'!$B$11)&amp;" ngày")))))))</f>
        <v>Quá hạn 4 ngày</v>
      </c>
      <c r="P10" s="19">
        <v>1.5</v>
      </c>
      <c r="Q10" s="12" t="s">
        <v>107</v>
      </c>
      <c r="R10" s="15" t="s">
        <v>108</v>
      </c>
      <c r="S10" s="20">
        <v>200000.0</v>
      </c>
      <c r="T10" s="10">
        <f t="shared" si="3"/>
        <v>12</v>
      </c>
      <c r="U10" s="21">
        <f t="shared" si="4"/>
        <v>2400000</v>
      </c>
      <c r="V10" s="15"/>
      <c r="W10" s="23">
        <f t="shared" si="5"/>
        <v>46321</v>
      </c>
      <c r="X10" s="23">
        <f t="shared" si="6"/>
        <v>30</v>
      </c>
      <c r="Y10" s="25">
        <f t="shared" si="7"/>
        <v>46321.0001</v>
      </c>
    </row>
    <row r="11" ht="30.0" customHeight="1">
      <c r="A11" s="26">
        <f t="shared" si="1"/>
        <v>6</v>
      </c>
      <c r="B11" s="27" t="s">
        <v>109</v>
      </c>
      <c r="C11" s="27" t="s">
        <v>96</v>
      </c>
      <c r="D11" s="28" t="str">
        <f t="array" ref="D11">IF($C11="","",IFERROR(INDEX('Danh mục thiết bị'!$C$6:$C$65,MATCH($C11,'Danh mục thiết bị'!$B$6:$B$65,0)),"Mã TB không tồn tại"))</f>
        <v>Máy nén khí trục vít 75kW</v>
      </c>
      <c r="E11" s="28" t="str">
        <f t="array" ref="E11">IF($C11="","",IFERROR(INDEX('Danh mục thiết bị'!$D$6:$D$65,MATCH($C11,'Danh mục thiết bị'!$B$6:$B$65,0)),""))</f>
        <v>Máy nén khí</v>
      </c>
      <c r="F11" s="29" t="s">
        <v>110</v>
      </c>
      <c r="G11" s="27" t="s">
        <v>78</v>
      </c>
      <c r="H11" s="27" t="s">
        <v>111</v>
      </c>
      <c r="I11" s="27"/>
      <c r="J11" s="30">
        <f t="array" ref="J11">IF($B11="","",IF($I11&lt;&gt;"",$I11,IFERROR(INDEX('Cài đặt'!$B$47:$B$56,MATCH($H11,'Cài đặt'!$A$47:$A$56,0)),"")))</f>
        <v>14</v>
      </c>
      <c r="K11" s="32">
        <v>46027.0</v>
      </c>
      <c r="L11" s="33">
        <f>IF($B11="","",IF(SUMPRODUCT(MAX(('Nhật ký bảo trì'!$D$6:$D$405=$B11)*('Nhật ký bảo trì'!$Q$6:$Q$405="Hoàn thành")*'Nhật ký bảo trì'!$B$6:$B$405))=0,"",SUMPRODUCT(MAX(('Nhật ký bảo trì'!$D$6:$D$405=$B11)*('Nhật ký bảo trì'!$Q$6:$Q$405="Hoàn thành")*'Nhật ký bảo trì'!$B$6:$B$405))))</f>
        <v>46317</v>
      </c>
      <c r="M11" s="33">
        <f t="shared" si="2"/>
        <v>46331</v>
      </c>
      <c r="N11" s="26">
        <f>IF($M11="","",$M11-'Tổng quan'!$B$11)</f>
        <v>6</v>
      </c>
      <c r="O11" s="26" t="str">
        <f t="array" ref="O11">IF($B11="","",IF(IFERROR(INDEX('Danh mục thiết bị'!$J$6:$J$65,MATCH($C11,'Danh mục thiết bị'!$B$6:$B$65,0)),"")="Ngừng sử dụng","Thiết bị ngừng sử dụng",IF($J11="","Chưa chọn chu kỳ",IF($M11="","Chưa có ngày áp dụng",IF($M11&lt;'Tổng quan'!$B$11,"Quá hạn "&amp;('Tổng quan'!$B$11-$M11)&amp;" ngày",IF($M11='Tổng quan'!$B$11,"Đến hạn hôm nay",IF($M11-'Tổng quan'!$B$11&lt;='Cài đặt'!$B$102,"Sắp đến hạn ("&amp;($M11-'Tổng quan'!$B$11)&amp;" ngày)","Còn "&amp;($M11-'Tổng quan'!$B$11)&amp;" ngày")))))))</f>
        <v>Sắp đến hạn (6 ngày)</v>
      </c>
      <c r="P11" s="34">
        <v>1.0</v>
      </c>
      <c r="Q11" s="31" t="s">
        <v>102</v>
      </c>
      <c r="R11" s="29" t="s">
        <v>119</v>
      </c>
      <c r="S11" s="35">
        <v>300000.0</v>
      </c>
      <c r="T11" s="26">
        <f t="shared" si="3"/>
        <v>26</v>
      </c>
      <c r="U11" s="36">
        <f t="shared" si="4"/>
        <v>7800000</v>
      </c>
      <c r="V11" s="29"/>
      <c r="W11" s="37">
        <f t="shared" si="5"/>
        <v>46331</v>
      </c>
      <c r="X11" s="37">
        <f t="shared" si="6"/>
        <v>14</v>
      </c>
      <c r="Y11" s="38" t="str">
        <f t="shared" si="7"/>
        <v/>
      </c>
    </row>
    <row r="12" ht="30.0" customHeight="1">
      <c r="A12" s="10">
        <f t="shared" si="1"/>
        <v>7</v>
      </c>
      <c r="B12" s="11" t="s">
        <v>120</v>
      </c>
      <c r="C12" s="11" t="s">
        <v>96</v>
      </c>
      <c r="D12" s="14" t="str">
        <f t="array" ref="D12">IF($C12="","",IFERROR(INDEX('Danh mục thiết bị'!$C$6:$C$65,MATCH($C12,'Danh mục thiết bị'!$B$6:$B$65,0)),"Mã TB không tồn tại"))</f>
        <v>Máy nén khí trục vít 75kW</v>
      </c>
      <c r="E12" s="14" t="str">
        <f t="array" ref="E12">IF($C12="","",IFERROR(INDEX('Danh mục thiết bị'!$D$6:$D$65,MATCH($C12,'Danh mục thiết bị'!$B$6:$B$65,0)),""))</f>
        <v>Máy nén khí</v>
      </c>
      <c r="F12" s="15" t="s">
        <v>121</v>
      </c>
      <c r="G12" s="11" t="s">
        <v>94</v>
      </c>
      <c r="H12" s="11" t="s">
        <v>122</v>
      </c>
      <c r="I12" s="11"/>
      <c r="J12" s="16">
        <f t="array" ref="J12">IF($B12="","",IF($I12&lt;&gt;"",$I12,IFERROR(INDEX('Cài đặt'!$B$47:$B$56,MATCH($H12,'Cài đặt'!$A$47:$A$56,0)),"")))</f>
        <v>180</v>
      </c>
      <c r="K12" s="13">
        <v>46027.0</v>
      </c>
      <c r="L12" s="17">
        <f>IF($B12="","",IF(SUMPRODUCT(MAX(('Nhật ký bảo trì'!$D$6:$D$405=$B12)*('Nhật ký bảo trì'!$Q$6:$Q$405="Hoàn thành")*'Nhật ký bảo trì'!$B$6:$B$405))=0,"",SUMPRODUCT(MAX(('Nhật ký bảo trì'!$D$6:$D$405=$B12)*('Nhật ký bảo trì'!$Q$6:$Q$405="Hoàn thành")*'Nhật ký bảo trì'!$B$6:$B$405))))</f>
        <v>46193</v>
      </c>
      <c r="M12" s="17">
        <f t="shared" si="2"/>
        <v>46373</v>
      </c>
      <c r="N12" s="10">
        <f>IF($M12="","",$M12-'Tổng quan'!$B$11)</f>
        <v>48</v>
      </c>
      <c r="O12" s="10" t="str">
        <f t="array" ref="O12">IF($B12="","",IF(IFERROR(INDEX('Danh mục thiết bị'!$J$6:$J$65,MATCH($C12,'Danh mục thiết bị'!$B$6:$B$65,0)),"")="Ngừng sử dụng","Thiết bị ngừng sử dụng",IF($J12="","Chưa chọn chu kỳ",IF($M12="","Chưa có ngày áp dụng",IF($M12&lt;'Tổng quan'!$B$11,"Quá hạn "&amp;('Tổng quan'!$B$11-$M12)&amp;" ngày",IF($M12='Tổng quan'!$B$11,"Đến hạn hôm nay",IF($M12-'Tổng quan'!$B$11&lt;='Cài đặt'!$B$102,"Sắp đến hạn ("&amp;($M12-'Tổng quan'!$B$11)&amp;" ngày)","Còn "&amp;($M12-'Tổng quan'!$B$11)&amp;" ngày")))))))</f>
        <v>Còn 48 ngày</v>
      </c>
      <c r="P12" s="19">
        <v>4.0</v>
      </c>
      <c r="Q12" s="12" t="s">
        <v>74</v>
      </c>
      <c r="R12" s="15" t="s">
        <v>124</v>
      </c>
      <c r="S12" s="20">
        <v>6500000.0</v>
      </c>
      <c r="T12" s="10">
        <f t="shared" si="3"/>
        <v>2</v>
      </c>
      <c r="U12" s="21">
        <f t="shared" si="4"/>
        <v>13000000</v>
      </c>
      <c r="V12" s="15"/>
      <c r="W12" s="23">
        <f t="shared" si="5"/>
        <v>46373</v>
      </c>
      <c r="X12" s="23">
        <f t="shared" si="6"/>
        <v>180</v>
      </c>
      <c r="Y12" s="25" t="str">
        <f t="shared" si="7"/>
        <v/>
      </c>
    </row>
    <row r="13" ht="30.0" customHeight="1">
      <c r="A13" s="26">
        <f t="shared" si="1"/>
        <v>8</v>
      </c>
      <c r="B13" s="27" t="s">
        <v>125</v>
      </c>
      <c r="C13" s="27" t="s">
        <v>96</v>
      </c>
      <c r="D13" s="28" t="str">
        <f t="array" ref="D13">IF($C13="","",IFERROR(INDEX('Danh mục thiết bị'!$C$6:$C$65,MATCH($C13,'Danh mục thiết bị'!$B$6:$B$65,0)),"Mã TB không tồn tại"))</f>
        <v>Máy nén khí trục vít 75kW</v>
      </c>
      <c r="E13" s="28" t="str">
        <f t="array" ref="E13">IF($C13="","",IFERROR(INDEX('Danh mục thiết bị'!$D$6:$D$65,MATCH($C13,'Danh mục thiết bị'!$B$6:$B$65,0)),""))</f>
        <v>Máy nén khí</v>
      </c>
      <c r="F13" s="29" t="s">
        <v>128</v>
      </c>
      <c r="G13" s="27" t="s">
        <v>129</v>
      </c>
      <c r="H13" s="27" t="s">
        <v>90</v>
      </c>
      <c r="I13" s="27"/>
      <c r="J13" s="30">
        <f t="array" ref="J13">IF($B13="","",IF($I13&lt;&gt;"",$I13,IFERROR(INDEX('Cài đặt'!$B$47:$B$56,MATCH($H13,'Cài đặt'!$A$47:$A$56,0)),"")))</f>
        <v>365</v>
      </c>
      <c r="K13" s="32">
        <v>46154.0</v>
      </c>
      <c r="L13" s="33">
        <f>IF($B13="","",IF(SUMPRODUCT(MAX(('Nhật ký bảo trì'!$D$6:$D$405=$B13)*('Nhật ký bảo trì'!$Q$6:$Q$405="Hoàn thành")*'Nhật ký bảo trì'!$B$6:$B$405))=0,"",SUMPRODUCT(MAX(('Nhật ký bảo trì'!$D$6:$D$405=$B13)*('Nhật ký bảo trì'!$Q$6:$Q$405="Hoàn thành")*'Nhật ký bảo trì'!$B$6:$B$405))))</f>
        <v>46154</v>
      </c>
      <c r="M13" s="33">
        <f t="shared" si="2"/>
        <v>46519</v>
      </c>
      <c r="N13" s="26">
        <f>IF($M13="","",$M13-'Tổng quan'!$B$11)</f>
        <v>194</v>
      </c>
      <c r="O13" s="26" t="str">
        <f t="array" ref="O13">IF($B13="","",IF(IFERROR(INDEX('Danh mục thiết bị'!$J$6:$J$65,MATCH($C13,'Danh mục thiết bị'!$B$6:$B$65,0)),"")="Ngừng sử dụng","Thiết bị ngừng sử dụng",IF($J13="","Chưa chọn chu kỳ",IF($M13="","Chưa có ngày áp dụng",IF($M13&lt;'Tổng quan'!$B$11,"Quá hạn "&amp;('Tổng quan'!$B$11-$M13)&amp;" ngày",IF($M13='Tổng quan'!$B$11,"Đến hạn hôm nay",IF($M13-'Tổng quan'!$B$11&lt;='Cài đặt'!$B$102,"Sắp đến hạn ("&amp;($M13-'Tổng quan'!$B$11)&amp;" ngày)","Còn "&amp;($M13-'Tổng quan'!$B$11)&amp;" ngày")))))))</f>
        <v>Còn 194 ngày</v>
      </c>
      <c r="P13" s="34">
        <v>3.0</v>
      </c>
      <c r="Q13" s="31" t="s">
        <v>107</v>
      </c>
      <c r="R13" s="29" t="s">
        <v>146</v>
      </c>
      <c r="S13" s="35">
        <v>3000000.0</v>
      </c>
      <c r="T13" s="26">
        <f t="shared" si="3"/>
        <v>1</v>
      </c>
      <c r="U13" s="36">
        <f t="shared" si="4"/>
        <v>3000000</v>
      </c>
      <c r="V13" s="29"/>
      <c r="W13" s="37">
        <f t="shared" si="5"/>
        <v>46519</v>
      </c>
      <c r="X13" s="37">
        <f t="shared" si="6"/>
        <v>365</v>
      </c>
      <c r="Y13" s="38" t="str">
        <f t="shared" si="7"/>
        <v/>
      </c>
    </row>
    <row r="14" ht="30.0" customHeight="1">
      <c r="A14" s="10">
        <f t="shared" si="1"/>
        <v>9</v>
      </c>
      <c r="B14" s="11" t="s">
        <v>149</v>
      </c>
      <c r="C14" s="11" t="s">
        <v>112</v>
      </c>
      <c r="D14" s="14" t="str">
        <f t="array" ref="D14">IF($C14="","",IFERROR(INDEX('Danh mục thiết bị'!$C$6:$C$65,MATCH($C14,'Danh mục thiết bị'!$B$6:$B$65,0)),"Mã TB không tồn tại"))</f>
        <v>Trạm biến áp 1000kVA</v>
      </c>
      <c r="E14" s="14" t="str">
        <f t="array" ref="E14">IF($C14="","",IFERROR(INDEX('Danh mục thiết bị'!$D$6:$D$65,MATCH($C14,'Danh mục thiết bị'!$B$6:$B$65,0)),""))</f>
        <v>Hệ thống điện</v>
      </c>
      <c r="F14" s="15" t="s">
        <v>154</v>
      </c>
      <c r="G14" s="11" t="s">
        <v>78</v>
      </c>
      <c r="H14" s="11" t="s">
        <v>79</v>
      </c>
      <c r="I14" s="11"/>
      <c r="J14" s="16">
        <f t="array" ref="J14">IF($B14="","",IF($I14&lt;&gt;"",$I14,IFERROR(INDEX('Cài đặt'!$B$47:$B$56,MATCH($H14,'Cài đặt'!$A$47:$A$56,0)),"")))</f>
        <v>90</v>
      </c>
      <c r="K14" s="13">
        <v>46127.0</v>
      </c>
      <c r="L14" s="17">
        <f>IF($B14="","",IF(SUMPRODUCT(MAX(('Nhật ký bảo trì'!$D$6:$D$405=$B14)*('Nhật ký bảo trì'!$Q$6:$Q$405="Hoàn thành")*'Nhật ký bảo trì'!$B$6:$B$405))=0,"",SUMPRODUCT(MAX(('Nhật ký bảo trì'!$D$6:$D$405=$B14)*('Nhật ký bảo trì'!$Q$6:$Q$405="Hoàn thành")*'Nhật ký bảo trì'!$B$6:$B$405))))</f>
        <v>46218</v>
      </c>
      <c r="M14" s="17">
        <f t="shared" si="2"/>
        <v>46308</v>
      </c>
      <c r="N14" s="10">
        <f>IF($M14="","",$M14-'Tổng quan'!$B$11)</f>
        <v>-17</v>
      </c>
      <c r="O14" s="10" t="str">
        <f t="array" ref="O14">IF($B14="","",IF(IFERROR(INDEX('Danh mục thiết bị'!$J$6:$J$65,MATCH($C14,'Danh mục thiết bị'!$B$6:$B$65,0)),"")="Ngừng sử dụng","Thiết bị ngừng sử dụng",IF($J14="","Chưa chọn chu kỳ",IF($M14="","Chưa có ngày áp dụng",IF($M14&lt;'Tổng quan'!$B$11,"Quá hạn "&amp;('Tổng quan'!$B$11-$M14)&amp;" ngày",IF($M14='Tổng quan'!$B$11,"Đến hạn hôm nay",IF($M14-'Tổng quan'!$B$11&lt;='Cài đặt'!$B$102,"Sắp đến hạn ("&amp;($M14-'Tổng quan'!$B$11)&amp;" ngày)","Còn "&amp;($M14-'Tổng quan'!$B$11)&amp;" ngày")))))))</f>
        <v>Quá hạn 17 ngày</v>
      </c>
      <c r="P14" s="19">
        <v>4.0</v>
      </c>
      <c r="Q14" s="12" t="s">
        <v>107</v>
      </c>
      <c r="R14" s="15" t="s">
        <v>162</v>
      </c>
      <c r="S14" s="20">
        <v>1200000.0</v>
      </c>
      <c r="T14" s="10">
        <f t="shared" si="3"/>
        <v>4</v>
      </c>
      <c r="U14" s="21">
        <f t="shared" si="4"/>
        <v>4800000</v>
      </c>
      <c r="V14" s="15"/>
      <c r="W14" s="23">
        <f t="shared" si="5"/>
        <v>46308</v>
      </c>
      <c r="X14" s="23">
        <f t="shared" si="6"/>
        <v>90</v>
      </c>
      <c r="Y14" s="25">
        <f t="shared" si="7"/>
        <v>46308.00014</v>
      </c>
    </row>
    <row r="15" ht="30.0" customHeight="1">
      <c r="A15" s="26">
        <f t="shared" si="1"/>
        <v>10</v>
      </c>
      <c r="B15" s="27" t="s">
        <v>163</v>
      </c>
      <c r="C15" s="27" t="s">
        <v>112</v>
      </c>
      <c r="D15" s="28" t="str">
        <f t="array" ref="D15">IF($C15="","",IFERROR(INDEX('Danh mục thiết bị'!$C$6:$C$65,MATCH($C15,'Danh mục thiết bị'!$B$6:$B$65,0)),"Mã TB không tồn tại"))</f>
        <v>Trạm biến áp 1000kVA</v>
      </c>
      <c r="E15" s="28" t="str">
        <f t="array" ref="E15">IF($C15="","",IFERROR(INDEX('Danh mục thiết bị'!$D$6:$D$65,MATCH($C15,'Danh mục thiết bị'!$B$6:$B$65,0)),""))</f>
        <v>Hệ thống điện</v>
      </c>
      <c r="F15" s="29" t="s">
        <v>164</v>
      </c>
      <c r="G15" s="27" t="s">
        <v>129</v>
      </c>
      <c r="H15" s="27" t="s">
        <v>90</v>
      </c>
      <c r="I15" s="27"/>
      <c r="J15" s="30">
        <f t="array" ref="J15">IF($B15="","",IF($I15&lt;&gt;"",$I15,IFERROR(INDEX('Cài đặt'!$B$47:$B$56,MATCH($H15,'Cài đặt'!$A$47:$A$56,0)),"")))</f>
        <v>365</v>
      </c>
      <c r="K15" s="32">
        <v>46047.0</v>
      </c>
      <c r="L15" s="33">
        <f>IF($B15="","",IF(SUMPRODUCT(MAX(('Nhật ký bảo trì'!$D$6:$D$405=$B15)*('Nhật ký bảo trì'!$Q$6:$Q$405="Hoàn thành")*'Nhật ký bảo trì'!$B$6:$B$405))=0,"",SUMPRODUCT(MAX(('Nhật ký bảo trì'!$D$6:$D$405=$B15)*('Nhật ký bảo trì'!$Q$6:$Q$405="Hoàn thành")*'Nhật ký bảo trì'!$B$6:$B$405))))</f>
        <v>46047</v>
      </c>
      <c r="M15" s="33">
        <f t="shared" si="2"/>
        <v>46412</v>
      </c>
      <c r="N15" s="26">
        <f>IF($M15="","",$M15-'Tổng quan'!$B$11)</f>
        <v>87</v>
      </c>
      <c r="O15" s="26" t="str">
        <f t="array" ref="O15">IF($B15="","",IF(IFERROR(INDEX('Danh mục thiết bị'!$J$6:$J$65,MATCH($C15,'Danh mục thiết bị'!$B$6:$B$65,0)),"")="Ngừng sử dụng","Thiết bị ngừng sử dụng",IF($J15="","Chưa chọn chu kỳ",IF($M15="","Chưa có ngày áp dụng",IF($M15&lt;'Tổng quan'!$B$11,"Quá hạn "&amp;('Tổng quan'!$B$11-$M15)&amp;" ngày",IF($M15='Tổng quan'!$B$11,"Đến hạn hôm nay",IF($M15-'Tổng quan'!$B$11&lt;='Cài đặt'!$B$102,"Sắp đến hạn ("&amp;($M15-'Tổng quan'!$B$11)&amp;" ngày)","Còn "&amp;($M15-'Tổng quan'!$B$11)&amp;" ngày")))))))</f>
        <v>Còn 87 ngày</v>
      </c>
      <c r="P15" s="34">
        <v>3.0</v>
      </c>
      <c r="Q15" s="31" t="s">
        <v>107</v>
      </c>
      <c r="R15" s="29" t="s">
        <v>172</v>
      </c>
      <c r="S15" s="35">
        <v>4500000.0</v>
      </c>
      <c r="T15" s="26">
        <f t="shared" si="3"/>
        <v>1</v>
      </c>
      <c r="U15" s="36">
        <f t="shared" si="4"/>
        <v>4500000</v>
      </c>
      <c r="V15" s="29"/>
      <c r="W15" s="37">
        <f t="shared" si="5"/>
        <v>46412</v>
      </c>
      <c r="X15" s="37">
        <f t="shared" si="6"/>
        <v>365</v>
      </c>
      <c r="Y15" s="38" t="str">
        <f t="shared" si="7"/>
        <v/>
      </c>
    </row>
    <row r="16" ht="30.0" customHeight="1">
      <c r="A16" s="10">
        <f t="shared" si="1"/>
        <v>11</v>
      </c>
      <c r="B16" s="11" t="s">
        <v>173</v>
      </c>
      <c r="C16" s="11" t="s">
        <v>134</v>
      </c>
      <c r="D16" s="14" t="str">
        <f t="array" ref="D16">IF($C16="","",IFERROR(INDEX('Danh mục thiết bị'!$C$6:$C$65,MATCH($C16,'Danh mục thiết bị'!$B$6:$B$65,0)),"Mã TB không tồn tại"))</f>
        <v>Hệ thống điều hòa trung tâm Chiller</v>
      </c>
      <c r="E16" s="14" t="str">
        <f t="array" ref="E16">IF($C16="","",IFERROR(INDEX('Danh mục thiết bị'!$D$6:$D$65,MATCH($C16,'Danh mục thiết bị'!$B$6:$B$65,0)),""))</f>
        <v>Điều hòa – thông gió</v>
      </c>
      <c r="F16" s="15" t="s">
        <v>178</v>
      </c>
      <c r="G16" s="11" t="s">
        <v>70</v>
      </c>
      <c r="H16" s="11" t="s">
        <v>79</v>
      </c>
      <c r="I16" s="11"/>
      <c r="J16" s="16">
        <f t="array" ref="J16">IF($B16="","",IF($I16&lt;&gt;"",$I16,IFERROR(INDEX('Cài đặt'!$B$47:$B$56,MATCH($H16,'Cài đặt'!$A$47:$A$56,0)),"")))</f>
        <v>90</v>
      </c>
      <c r="K16" s="13">
        <v>46083.0</v>
      </c>
      <c r="L16" s="17">
        <f>IF($B16="","",IF(SUMPRODUCT(MAX(('Nhật ký bảo trì'!$D$6:$D$405=$B16)*('Nhật ký bảo trì'!$Q$6:$Q$405="Hoàn thành")*'Nhật ký bảo trì'!$B$6:$B$405))=0,"",SUMPRODUCT(MAX(('Nhật ký bảo trì'!$D$6:$D$405=$B16)*('Nhật ký bảo trì'!$Q$6:$Q$405="Hoàn thành")*'Nhật ký bảo trì'!$B$6:$B$405))))</f>
        <v>46267</v>
      </c>
      <c r="M16" s="17">
        <f t="shared" si="2"/>
        <v>46357</v>
      </c>
      <c r="N16" s="10">
        <f>IF($M16="","",$M16-'Tổng quan'!$B$11)</f>
        <v>32</v>
      </c>
      <c r="O16" s="10" t="str">
        <f t="array" ref="O16">IF($B16="","",IF(IFERROR(INDEX('Danh mục thiết bị'!$J$6:$J$65,MATCH($C16,'Danh mục thiết bị'!$B$6:$B$65,0)),"")="Ngừng sử dụng","Thiết bị ngừng sử dụng",IF($J16="","Chưa chọn chu kỳ",IF($M16="","Chưa có ngày áp dụng",IF($M16&lt;'Tổng quan'!$B$11,"Quá hạn "&amp;('Tổng quan'!$B$11-$M16)&amp;" ngày",IF($M16='Tổng quan'!$B$11,"Đến hạn hôm nay",IF($M16-'Tổng quan'!$B$11&lt;='Cài đặt'!$B$102,"Sắp đến hạn ("&amp;($M16-'Tổng quan'!$B$11)&amp;" ngày)","Còn "&amp;($M16-'Tổng quan'!$B$11)&amp;" ngày")))))))</f>
        <v>Còn 32 ngày</v>
      </c>
      <c r="P16" s="19">
        <v>5.0</v>
      </c>
      <c r="Q16" s="12" t="s">
        <v>102</v>
      </c>
      <c r="R16" s="15" t="s">
        <v>179</v>
      </c>
      <c r="S16" s="20">
        <v>2800000.0</v>
      </c>
      <c r="T16" s="10">
        <f t="shared" si="3"/>
        <v>4</v>
      </c>
      <c r="U16" s="21">
        <f t="shared" si="4"/>
        <v>11200000</v>
      </c>
      <c r="V16" s="15"/>
      <c r="W16" s="23">
        <f t="shared" si="5"/>
        <v>46357</v>
      </c>
      <c r="X16" s="23">
        <f t="shared" si="6"/>
        <v>90</v>
      </c>
      <c r="Y16" s="25" t="str">
        <f t="shared" si="7"/>
        <v/>
      </c>
    </row>
    <row r="17" ht="30.0" customHeight="1">
      <c r="A17" s="26">
        <f t="shared" si="1"/>
        <v>12</v>
      </c>
      <c r="B17" s="27" t="s">
        <v>180</v>
      </c>
      <c r="C17" s="27" t="s">
        <v>134</v>
      </c>
      <c r="D17" s="28" t="str">
        <f t="array" ref="D17">IF($C17="","",IFERROR(INDEX('Danh mục thiết bị'!$C$6:$C$65,MATCH($C17,'Danh mục thiết bị'!$B$6:$B$65,0)),"Mã TB không tồn tại"))</f>
        <v>Hệ thống điều hòa trung tâm Chiller</v>
      </c>
      <c r="E17" s="28" t="str">
        <f t="array" ref="E17">IF($C17="","",IFERROR(INDEX('Danh mục thiết bị'!$D$6:$D$65,MATCH($C17,'Danh mục thiết bị'!$B$6:$B$65,0)),""))</f>
        <v>Điều hòa – thông gió</v>
      </c>
      <c r="F17" s="29" t="s">
        <v>181</v>
      </c>
      <c r="G17" s="27" t="s">
        <v>89</v>
      </c>
      <c r="H17" s="27" t="s">
        <v>90</v>
      </c>
      <c r="I17" s="27"/>
      <c r="J17" s="30">
        <f t="array" ref="J17">IF($B17="","",IF($I17&lt;&gt;"",$I17,IFERROR(INDEX('Cài đặt'!$B$47:$B$56,MATCH($H17,'Cài đặt'!$A$47:$A$56,0)),"")))</f>
        <v>365</v>
      </c>
      <c r="K17" s="32">
        <v>46341.0</v>
      </c>
      <c r="L17" s="33" t="str">
        <f>IF($B17="","",IF(SUMPRODUCT(MAX(('Nhật ký bảo trì'!$D$6:$D$405=$B17)*('Nhật ký bảo trì'!$Q$6:$Q$405="Hoàn thành")*'Nhật ký bảo trì'!$B$6:$B$405))=0,"",SUMPRODUCT(MAX(('Nhật ký bảo trì'!$D$6:$D$405=$B17)*('Nhật ký bảo trì'!$Q$6:$Q$405="Hoàn thành")*'Nhật ký bảo trì'!$B$6:$B$405))))</f>
        <v/>
      </c>
      <c r="M17" s="33">
        <f t="shared" si="2"/>
        <v>46341</v>
      </c>
      <c r="N17" s="26">
        <f>IF($M17="","",$M17-'Tổng quan'!$B$11)</f>
        <v>16</v>
      </c>
      <c r="O17" s="26" t="str">
        <f t="array" ref="O17">IF($B17="","",IF(IFERROR(INDEX('Danh mục thiết bị'!$J$6:$J$65,MATCH($C17,'Danh mục thiết bị'!$B$6:$B$65,0)),"")="Ngừng sử dụng","Thiết bị ngừng sử dụng",IF($J17="","Chưa chọn chu kỳ",IF($M17="","Chưa có ngày áp dụng",IF($M17&lt;'Tổng quan'!$B$11,"Quá hạn "&amp;('Tổng quan'!$B$11-$M17)&amp;" ngày",IF($M17='Tổng quan'!$B$11,"Đến hạn hôm nay",IF($M17-'Tổng quan'!$B$11&lt;='Cài đặt'!$B$102,"Sắp đến hạn ("&amp;($M17-'Tổng quan'!$B$11)&amp;" ngày)","Còn "&amp;($M17-'Tổng quan'!$B$11)&amp;" ngày")))))))</f>
        <v>Còn 16 ngày</v>
      </c>
      <c r="P17" s="34">
        <v>12.0</v>
      </c>
      <c r="Q17" s="31" t="s">
        <v>191</v>
      </c>
      <c r="R17" s="29" t="s">
        <v>192</v>
      </c>
      <c r="S17" s="35">
        <v>1.8E7</v>
      </c>
      <c r="T17" s="26">
        <f t="shared" si="3"/>
        <v>1</v>
      </c>
      <c r="U17" s="36">
        <f t="shared" si="4"/>
        <v>18000000</v>
      </c>
      <c r="V17" s="29"/>
      <c r="W17" s="37">
        <f t="shared" si="5"/>
        <v>46341</v>
      </c>
      <c r="X17" s="37">
        <f t="shared" si="6"/>
        <v>365</v>
      </c>
      <c r="Y17" s="38" t="str">
        <f t="shared" si="7"/>
        <v/>
      </c>
    </row>
    <row r="18" ht="30.0" customHeight="1">
      <c r="A18" s="10">
        <f t="shared" si="1"/>
        <v>13</v>
      </c>
      <c r="B18" s="11" t="s">
        <v>194</v>
      </c>
      <c r="C18" s="11" t="s">
        <v>165</v>
      </c>
      <c r="D18" s="14" t="str">
        <f t="array" ref="D18">IF($C18="","",IFERROR(INDEX('Danh mục thiết bị'!$C$6:$C$65,MATCH($C18,'Danh mục thiết bị'!$B$6:$B$65,0)),"Mã TB không tồn tại"))</f>
        <v>Băng tải đóng gói số 2</v>
      </c>
      <c r="E18" s="14" t="str">
        <f t="array" ref="E18">IF($C18="","",IFERROR(INDEX('Danh mục thiết bị'!$D$6:$D$65,MATCH($C18,'Danh mục thiết bị'!$B$6:$B$65,0)),""))</f>
        <v>Băng tải – nâng hạ</v>
      </c>
      <c r="F18" s="15" t="s">
        <v>195</v>
      </c>
      <c r="G18" s="11" t="s">
        <v>70</v>
      </c>
      <c r="H18" s="11" t="s">
        <v>71</v>
      </c>
      <c r="I18" s="11"/>
      <c r="J18" s="16">
        <f t="array" ref="J18">IF($B18="","",IF($I18&lt;&gt;"",$I18,IFERROR(INDEX('Cài đặt'!$B$47:$B$56,MATCH($H18,'Cài đặt'!$A$47:$A$56,0)),"")))</f>
        <v>30</v>
      </c>
      <c r="K18" s="13">
        <v>46027.0</v>
      </c>
      <c r="L18" s="17">
        <f>IF($B18="","",IF(SUMPRODUCT(MAX(('Nhật ký bảo trì'!$D$6:$D$405=$B18)*('Nhật ký bảo trì'!$Q$6:$Q$405="Hoàn thành")*'Nhật ký bảo trì'!$B$6:$B$405))=0,"",SUMPRODUCT(MAX(('Nhật ký bảo trì'!$D$6:$D$405=$B18)*('Nhật ký bảo trì'!$Q$6:$Q$405="Hoàn thành")*'Nhật ký bảo trì'!$B$6:$B$405))))</f>
        <v>46300</v>
      </c>
      <c r="M18" s="17">
        <f t="shared" si="2"/>
        <v>46330</v>
      </c>
      <c r="N18" s="10">
        <f>IF($M18="","",$M18-'Tổng quan'!$B$11)</f>
        <v>5</v>
      </c>
      <c r="O18" s="10" t="str">
        <f t="array" ref="O18">IF($B18="","",IF(IFERROR(INDEX('Danh mục thiết bị'!$J$6:$J$65,MATCH($C18,'Danh mục thiết bị'!$B$6:$B$65,0)),"")="Ngừng sử dụng","Thiết bị ngừng sử dụng",IF($J18="","Chưa chọn chu kỳ",IF($M18="","Chưa có ngày áp dụng",IF($M18&lt;'Tổng quan'!$B$11,"Quá hạn "&amp;('Tổng quan'!$B$11-$M18)&amp;" ngày",IF($M18='Tổng quan'!$B$11,"Đến hạn hôm nay",IF($M18-'Tổng quan'!$B$11&lt;='Cài đặt'!$B$102,"Sắp đến hạn ("&amp;($M18-'Tổng quan'!$B$11)&amp;" ngày)","Còn "&amp;($M18-'Tổng quan'!$B$11)&amp;" ngày")))))))</f>
        <v>Sắp đến hạn (5 ngày)</v>
      </c>
      <c r="P18" s="19">
        <v>2.0</v>
      </c>
      <c r="Q18" s="12" t="s">
        <v>74</v>
      </c>
      <c r="R18" s="15" t="s">
        <v>108</v>
      </c>
      <c r="S18" s="20">
        <v>250000.0</v>
      </c>
      <c r="T18" s="10">
        <f t="shared" si="3"/>
        <v>12</v>
      </c>
      <c r="U18" s="21">
        <f t="shared" si="4"/>
        <v>3000000</v>
      </c>
      <c r="V18" s="15"/>
      <c r="W18" s="23">
        <f t="shared" si="5"/>
        <v>46330</v>
      </c>
      <c r="X18" s="23">
        <f t="shared" si="6"/>
        <v>30</v>
      </c>
      <c r="Y18" s="25" t="str">
        <f t="shared" si="7"/>
        <v/>
      </c>
    </row>
    <row r="19" ht="30.0" customHeight="1">
      <c r="A19" s="26">
        <f t="shared" si="1"/>
        <v>14</v>
      </c>
      <c r="B19" s="27" t="s">
        <v>196</v>
      </c>
      <c r="C19" s="27" t="s">
        <v>182</v>
      </c>
      <c r="D19" s="28" t="str">
        <f t="array" ref="D19">IF($C19="","",IFERROR(INDEX('Danh mục thiết bị'!$C$6:$C$65,MATCH($C19,'Danh mục thiết bị'!$B$6:$B$65,0)),"Mã TB không tồn tại"))</f>
        <v>Xe nâng điện 2,5 tấn #1</v>
      </c>
      <c r="E19" s="28" t="str">
        <f t="array" ref="E19">IF($C19="","",IFERROR(INDEX('Danh mục thiết bị'!$D$6:$D$65,MATCH($C19,'Danh mục thiết bị'!$B$6:$B$65,0)),""))</f>
        <v>Phương tiện – xe nâng</v>
      </c>
      <c r="F19" s="29" t="s">
        <v>197</v>
      </c>
      <c r="G19" s="27" t="s">
        <v>78</v>
      </c>
      <c r="H19" s="27" t="s">
        <v>71</v>
      </c>
      <c r="I19" s="27"/>
      <c r="J19" s="30">
        <f t="array" ref="J19">IF($B19="","",IF($I19&lt;&gt;"",$I19,IFERROR(INDEX('Cài đặt'!$B$47:$B$56,MATCH($H19,'Cài đặt'!$A$47:$A$56,0)),"")))</f>
        <v>30</v>
      </c>
      <c r="K19" s="32">
        <v>46027.0</v>
      </c>
      <c r="L19" s="33">
        <f>IF($B19="","",IF(SUMPRODUCT(MAX(('Nhật ký bảo trì'!$D$6:$D$405=$B19)*('Nhật ký bảo trì'!$Q$6:$Q$405="Hoàn thành")*'Nhật ký bảo trì'!$B$6:$B$405))=0,"",SUMPRODUCT(MAX(('Nhật ký bảo trì'!$D$6:$D$405=$B19)*('Nhật ký bảo trì'!$Q$6:$Q$405="Hoàn thành")*'Nhật ký bảo trì'!$B$6:$B$405))))</f>
        <v>46323</v>
      </c>
      <c r="M19" s="33">
        <f t="shared" si="2"/>
        <v>46353</v>
      </c>
      <c r="N19" s="26">
        <f>IF($M19="","",$M19-'Tổng quan'!$B$11)</f>
        <v>28</v>
      </c>
      <c r="O19" s="26" t="str">
        <f t="array" ref="O19">IF($B19="","",IF(IFERROR(INDEX('Danh mục thiết bị'!$J$6:$J$65,MATCH($C19,'Danh mục thiết bị'!$B$6:$B$65,0)),"")="Ngừng sử dụng","Thiết bị ngừng sử dụng",IF($J19="","Chưa chọn chu kỳ",IF($M19="","Chưa có ngày áp dụng",IF($M19&lt;'Tổng quan'!$B$11,"Quá hạn "&amp;('Tổng quan'!$B$11-$M19)&amp;" ngày",IF($M19='Tổng quan'!$B$11,"Đến hạn hôm nay",IF($M19-'Tổng quan'!$B$11&lt;='Cài đặt'!$B$102,"Sắp đến hạn ("&amp;($M19-'Tổng quan'!$B$11)&amp;" ngày)","Còn "&amp;($M19-'Tổng quan'!$B$11)&amp;" ngày")))))))</f>
        <v>Còn 28 ngày</v>
      </c>
      <c r="P19" s="34">
        <v>1.5</v>
      </c>
      <c r="Q19" s="31" t="s">
        <v>102</v>
      </c>
      <c r="R19" s="29" t="s">
        <v>201</v>
      </c>
      <c r="S19" s="35">
        <v>150000.0</v>
      </c>
      <c r="T19" s="26">
        <f t="shared" si="3"/>
        <v>12</v>
      </c>
      <c r="U19" s="36">
        <f t="shared" si="4"/>
        <v>1800000</v>
      </c>
      <c r="V19" s="29"/>
      <c r="W19" s="37">
        <f t="shared" si="5"/>
        <v>46353</v>
      </c>
      <c r="X19" s="37">
        <f t="shared" si="6"/>
        <v>30</v>
      </c>
      <c r="Y19" s="38" t="str">
        <f t="shared" si="7"/>
        <v/>
      </c>
    </row>
    <row r="20" ht="30.0" customHeight="1">
      <c r="A20" s="10">
        <f t="shared" si="1"/>
        <v>15</v>
      </c>
      <c r="B20" s="11" t="s">
        <v>202</v>
      </c>
      <c r="C20" s="11" t="s">
        <v>182</v>
      </c>
      <c r="D20" s="14" t="str">
        <f t="array" ref="D20">IF($C20="","",IFERROR(INDEX('Danh mục thiết bị'!$C$6:$C$65,MATCH($C20,'Danh mục thiết bị'!$B$6:$B$65,0)),"Mã TB không tồn tại"))</f>
        <v>Xe nâng điện 2,5 tấn #1</v>
      </c>
      <c r="E20" s="14" t="str">
        <f t="array" ref="E20">IF($C20="","",IFERROR(INDEX('Danh mục thiết bị'!$D$6:$D$65,MATCH($C20,'Danh mục thiết bị'!$B$6:$B$65,0)),""))</f>
        <v>Phương tiện – xe nâng</v>
      </c>
      <c r="F20" s="15" t="s">
        <v>203</v>
      </c>
      <c r="G20" s="11" t="s">
        <v>129</v>
      </c>
      <c r="H20" s="11" t="s">
        <v>90</v>
      </c>
      <c r="I20" s="11"/>
      <c r="J20" s="16">
        <f t="array" ref="J20">IF($B20="","",IF($I20&lt;&gt;"",$I20,IFERROR(INDEX('Cài đặt'!$B$47:$B$56,MATCH($H20,'Cài đặt'!$A$47:$A$56,0)),"")))</f>
        <v>365</v>
      </c>
      <c r="K20" s="13">
        <v>46296.0</v>
      </c>
      <c r="L20" s="17" t="str">
        <f>IF($B20="","",IF(SUMPRODUCT(MAX(('Nhật ký bảo trì'!$D$6:$D$405=$B20)*('Nhật ký bảo trì'!$Q$6:$Q$405="Hoàn thành")*'Nhật ký bảo trì'!$B$6:$B$405))=0,"",SUMPRODUCT(MAX(('Nhật ký bảo trì'!$D$6:$D$405=$B20)*('Nhật ký bảo trì'!$Q$6:$Q$405="Hoàn thành")*'Nhật ký bảo trì'!$B$6:$B$405))))</f>
        <v/>
      </c>
      <c r="M20" s="17">
        <f t="shared" si="2"/>
        <v>46296</v>
      </c>
      <c r="N20" s="10">
        <f>IF($M20="","",$M20-'Tổng quan'!$B$11)</f>
        <v>-29</v>
      </c>
      <c r="O20" s="10" t="str">
        <f t="array" ref="O20">IF($B20="","",IF(IFERROR(INDEX('Danh mục thiết bị'!$J$6:$J$65,MATCH($C20,'Danh mục thiết bị'!$B$6:$B$65,0)),"")="Ngừng sử dụng","Thiết bị ngừng sử dụng",IF($J20="","Chưa chọn chu kỳ",IF($M20="","Chưa có ngày áp dụng",IF($M20&lt;'Tổng quan'!$B$11,"Quá hạn "&amp;('Tổng quan'!$B$11-$M20)&amp;" ngày",IF($M20='Tổng quan'!$B$11,"Đến hạn hôm nay",IF($M20-'Tổng quan'!$B$11&lt;='Cài đặt'!$B$102,"Sắp đến hạn ("&amp;($M20-'Tổng quan'!$B$11)&amp;" ngày)","Còn "&amp;($M20-'Tổng quan'!$B$11)&amp;" ngày")))))))</f>
        <v>Quá hạn 29 ngày</v>
      </c>
      <c r="P20" s="19">
        <v>4.0</v>
      </c>
      <c r="Q20" s="12" t="s">
        <v>191</v>
      </c>
      <c r="R20" s="15" t="s">
        <v>204</v>
      </c>
      <c r="S20" s="20">
        <v>3500000.0</v>
      </c>
      <c r="T20" s="10">
        <f t="shared" si="3"/>
        <v>1</v>
      </c>
      <c r="U20" s="21">
        <f t="shared" si="4"/>
        <v>3500000</v>
      </c>
      <c r="V20" s="15"/>
      <c r="W20" s="23">
        <f t="shared" si="5"/>
        <v>46296</v>
      </c>
      <c r="X20" s="23">
        <f t="shared" si="6"/>
        <v>365</v>
      </c>
      <c r="Y20" s="25">
        <f t="shared" si="7"/>
        <v>46296.0002</v>
      </c>
    </row>
    <row r="21" ht="30.0" customHeight="1">
      <c r="A21" s="26">
        <f t="shared" si="1"/>
        <v>16</v>
      </c>
      <c r="B21" s="27" t="s">
        <v>205</v>
      </c>
      <c r="C21" s="27" t="s">
        <v>198</v>
      </c>
      <c r="D21" s="28" t="str">
        <f t="array" ref="D21">IF($C21="","",IFERROR(INDEX('Danh mục thiết bị'!$C$6:$C$65,MATCH($C21,'Danh mục thiết bị'!$B$6:$B$65,0)),"Mã TB không tồn tại"))</f>
        <v>Xe nâng điện 2,5 tấn #2</v>
      </c>
      <c r="E21" s="28" t="str">
        <f t="array" ref="E21">IF($C21="","",IFERROR(INDEX('Danh mục thiết bị'!$D$6:$D$65,MATCH($C21,'Danh mục thiết bị'!$B$6:$B$65,0)),""))</f>
        <v>Phương tiện – xe nâng</v>
      </c>
      <c r="F21" s="29" t="s">
        <v>197</v>
      </c>
      <c r="G21" s="27" t="s">
        <v>78</v>
      </c>
      <c r="H21" s="27" t="s">
        <v>71</v>
      </c>
      <c r="I21" s="27"/>
      <c r="J21" s="30">
        <f t="array" ref="J21">IF($B21="","",IF($I21&lt;&gt;"",$I21,IFERROR(INDEX('Cài đặt'!$B$47:$B$56,MATCH($H21,'Cài đặt'!$A$47:$A$56,0)),"")))</f>
        <v>30</v>
      </c>
      <c r="K21" s="32">
        <v>46027.0</v>
      </c>
      <c r="L21" s="33">
        <f>IF($B21="","",IF(SUMPRODUCT(MAX(('Nhật ký bảo trì'!$D$6:$D$405=$B21)*('Nhật ký bảo trì'!$Q$6:$Q$405="Hoàn thành")*'Nhật ký bảo trì'!$B$6:$B$405))=0,"",SUMPRODUCT(MAX(('Nhật ký bảo trì'!$D$6:$D$405=$B21)*('Nhật ký bảo trì'!$Q$6:$Q$405="Hoàn thành")*'Nhật ký bảo trì'!$B$6:$B$405))))</f>
        <v>46294</v>
      </c>
      <c r="M21" s="33">
        <f t="shared" si="2"/>
        <v>46324</v>
      </c>
      <c r="N21" s="26">
        <f>IF($M21="","",$M21-'Tổng quan'!$B$11)</f>
        <v>-1</v>
      </c>
      <c r="O21" s="26" t="str">
        <f t="array" ref="O21">IF($B21="","",IF(IFERROR(INDEX('Danh mục thiết bị'!$J$6:$J$65,MATCH($C21,'Danh mục thiết bị'!$B$6:$B$65,0)),"")="Ngừng sử dụng","Thiết bị ngừng sử dụng",IF($J21="","Chưa chọn chu kỳ",IF($M21="","Chưa có ngày áp dụng",IF($M21&lt;'Tổng quan'!$B$11,"Quá hạn "&amp;('Tổng quan'!$B$11-$M21)&amp;" ngày",IF($M21='Tổng quan'!$B$11,"Đến hạn hôm nay",IF($M21-'Tổng quan'!$B$11&lt;='Cài đặt'!$B$102,"Sắp đến hạn ("&amp;($M21-'Tổng quan'!$B$11)&amp;" ngày)","Còn "&amp;($M21-'Tổng quan'!$B$11)&amp;" ngày")))))))</f>
        <v>Quá hạn 1 ngày</v>
      </c>
      <c r="P21" s="34">
        <v>1.5</v>
      </c>
      <c r="Q21" s="31" t="s">
        <v>102</v>
      </c>
      <c r="R21" s="29" t="s">
        <v>201</v>
      </c>
      <c r="S21" s="35">
        <v>150000.0</v>
      </c>
      <c r="T21" s="26">
        <f t="shared" si="3"/>
        <v>12</v>
      </c>
      <c r="U21" s="36">
        <f t="shared" si="4"/>
        <v>1800000</v>
      </c>
      <c r="V21" s="29"/>
      <c r="W21" s="37">
        <f t="shared" si="5"/>
        <v>46324</v>
      </c>
      <c r="X21" s="37">
        <f t="shared" si="6"/>
        <v>30</v>
      </c>
      <c r="Y21" s="38">
        <f t="shared" si="7"/>
        <v>46324.00021</v>
      </c>
    </row>
    <row r="22" ht="30.0" customHeight="1">
      <c r="A22" s="10">
        <f t="shared" si="1"/>
        <v>17</v>
      </c>
      <c r="B22" s="11" t="s">
        <v>211</v>
      </c>
      <c r="C22" s="11" t="s">
        <v>206</v>
      </c>
      <c r="D22" s="14" t="str">
        <f t="array" ref="D22">IF($C22="","",IFERROR(INDEX('Danh mục thiết bị'!$C$6:$C$65,MATCH($C22,'Danh mục thiết bị'!$B$6:$B$65,0)),"Mã TB không tồn tại"))</f>
        <v>Máy dán thùng carton tự động</v>
      </c>
      <c r="E22" s="14" t="str">
        <f t="array" ref="E22">IF($C22="","",IFERROR(INDEX('Danh mục thiết bị'!$D$6:$D$65,MATCH($C22,'Danh mục thiết bị'!$B$6:$B$65,0)),""))</f>
        <v>Máy sản xuất</v>
      </c>
      <c r="F22" s="15" t="s">
        <v>212</v>
      </c>
      <c r="G22" s="11" t="s">
        <v>70</v>
      </c>
      <c r="H22" s="11" t="s">
        <v>71</v>
      </c>
      <c r="I22" s="11"/>
      <c r="J22" s="16">
        <f t="array" ref="J22">IF($B22="","",IF($I22&lt;&gt;"",$I22,IFERROR(INDEX('Cài đặt'!$B$47:$B$56,MATCH($H22,'Cài đặt'!$A$47:$A$56,0)),"")))</f>
        <v>30</v>
      </c>
      <c r="K22" s="13">
        <v>46027.0</v>
      </c>
      <c r="L22" s="17">
        <f>IF($B22="","",IF(SUMPRODUCT(MAX(('Nhật ký bảo trì'!$D$6:$D$405=$B22)*('Nhật ký bảo trì'!$Q$6:$Q$405="Hoàn thành")*'Nhật ký bảo trì'!$B$6:$B$405))=0,"",SUMPRODUCT(MAX(('Nhật ký bảo trì'!$D$6:$D$405=$B22)*('Nhật ký bảo trì'!$Q$6:$Q$405="Hoàn thành")*'Nhật ký bảo trì'!$B$6:$B$405))))</f>
        <v>46310</v>
      </c>
      <c r="M22" s="17">
        <f t="shared" si="2"/>
        <v>46340</v>
      </c>
      <c r="N22" s="10">
        <f>IF($M22="","",$M22-'Tổng quan'!$B$11)</f>
        <v>15</v>
      </c>
      <c r="O22" s="10" t="str">
        <f t="array" ref="O22">IF($B22="","",IF(IFERROR(INDEX('Danh mục thiết bị'!$J$6:$J$65,MATCH($C22,'Danh mục thiết bị'!$B$6:$B$65,0)),"")="Ngừng sử dụng","Thiết bị ngừng sử dụng",IF($J22="","Chưa chọn chu kỳ",IF($M22="","Chưa có ngày áp dụng",IF($M22&lt;'Tổng quan'!$B$11,"Quá hạn "&amp;('Tổng quan'!$B$11-$M22)&amp;" ngày",IF($M22='Tổng quan'!$B$11,"Đến hạn hôm nay",IF($M22-'Tổng quan'!$B$11&lt;='Cài đặt'!$B$102,"Sắp đến hạn ("&amp;($M22-'Tổng quan'!$B$11)&amp;" ngày)","Còn "&amp;($M22-'Tổng quan'!$B$11)&amp;" ngày")))))))</f>
        <v>Còn 15 ngày</v>
      </c>
      <c r="P22" s="19">
        <v>2.0</v>
      </c>
      <c r="Q22" s="12" t="s">
        <v>74</v>
      </c>
      <c r="R22" s="15" t="s">
        <v>213</v>
      </c>
      <c r="S22" s="20">
        <v>300000.0</v>
      </c>
      <c r="T22" s="10">
        <f t="shared" si="3"/>
        <v>12</v>
      </c>
      <c r="U22" s="21">
        <f t="shared" si="4"/>
        <v>3600000</v>
      </c>
      <c r="V22" s="15"/>
      <c r="W22" s="23">
        <f t="shared" si="5"/>
        <v>46340</v>
      </c>
      <c r="X22" s="23">
        <f t="shared" si="6"/>
        <v>30</v>
      </c>
      <c r="Y22" s="25" t="str">
        <f t="shared" si="7"/>
        <v/>
      </c>
    </row>
    <row r="23" ht="30.0" customHeight="1">
      <c r="A23" s="26">
        <f t="shared" si="1"/>
        <v>18</v>
      </c>
      <c r="B23" s="27" t="s">
        <v>214</v>
      </c>
      <c r="C23" s="27" t="s">
        <v>206</v>
      </c>
      <c r="D23" s="28" t="str">
        <f t="array" ref="D23">IF($C23="","",IFERROR(INDEX('Danh mục thiết bị'!$C$6:$C$65,MATCH($C23,'Danh mục thiết bị'!$B$6:$B$65,0)),"Mã TB không tồn tại"))</f>
        <v>Máy dán thùng carton tự động</v>
      </c>
      <c r="E23" s="28" t="str">
        <f t="array" ref="E23">IF($C23="","",IFERROR(INDEX('Danh mục thiết bị'!$D$6:$D$65,MATCH($C23,'Danh mục thiết bị'!$B$6:$B$65,0)),""))</f>
        <v>Máy sản xuất</v>
      </c>
      <c r="F23" s="29" t="s">
        <v>215</v>
      </c>
      <c r="G23" s="27" t="s">
        <v>94</v>
      </c>
      <c r="H23" s="27" t="s">
        <v>122</v>
      </c>
      <c r="I23" s="27"/>
      <c r="J23" s="30">
        <f t="array" ref="J23">IF($B23="","",IF($I23&lt;&gt;"",$I23,IFERROR(INDEX('Cài đặt'!$B$47:$B$56,MATCH($H23,'Cài đặt'!$A$47:$A$56,0)),"")))</f>
        <v>180</v>
      </c>
      <c r="K23" s="32">
        <v>46027.0</v>
      </c>
      <c r="L23" s="33">
        <f>IF($B23="","",IF(SUMPRODUCT(MAX(('Nhật ký bảo trì'!$D$6:$D$405=$B23)*('Nhật ký bảo trì'!$Q$6:$Q$405="Hoàn thành")*'Nhật ký bảo trì'!$B$6:$B$405))=0,"",SUMPRODUCT(MAX(('Nhật ký bảo trì'!$D$6:$D$405=$B23)*('Nhật ký bảo trì'!$Q$6:$Q$405="Hoàn thành")*'Nhật ký bảo trì'!$B$6:$B$405))))</f>
        <v>46160</v>
      </c>
      <c r="M23" s="33">
        <f t="shared" si="2"/>
        <v>46340</v>
      </c>
      <c r="N23" s="26">
        <f>IF($M23="","",$M23-'Tổng quan'!$B$11)</f>
        <v>15</v>
      </c>
      <c r="O23" s="26" t="str">
        <f t="array" ref="O23">IF($B23="","",IF(IFERROR(INDEX('Danh mục thiết bị'!$J$6:$J$65,MATCH($C23,'Danh mục thiết bị'!$B$6:$B$65,0)),"")="Ngừng sử dụng","Thiết bị ngừng sử dụng",IF($J23="","Chưa chọn chu kỳ",IF($M23="","Chưa có ngày áp dụng",IF($M23&lt;'Tổng quan'!$B$11,"Quá hạn "&amp;('Tổng quan'!$B$11-$M23)&amp;" ngày",IF($M23='Tổng quan'!$B$11,"Đến hạn hôm nay",IF($M23-'Tổng quan'!$B$11&lt;='Cài đặt'!$B$102,"Sắp đến hạn ("&amp;($M23-'Tổng quan'!$B$11)&amp;" ngày)","Còn "&amp;($M23-'Tổng quan'!$B$11)&amp;" ngày")))))))</f>
        <v>Còn 15 ngày</v>
      </c>
      <c r="P23" s="34">
        <v>3.0</v>
      </c>
      <c r="Q23" s="31" t="s">
        <v>74</v>
      </c>
      <c r="R23" s="29" t="s">
        <v>225</v>
      </c>
      <c r="S23" s="35">
        <v>1800000.0</v>
      </c>
      <c r="T23" s="26">
        <f t="shared" si="3"/>
        <v>2</v>
      </c>
      <c r="U23" s="36">
        <f t="shared" si="4"/>
        <v>3600000</v>
      </c>
      <c r="V23" s="29"/>
      <c r="W23" s="37">
        <f t="shared" si="5"/>
        <v>46340</v>
      </c>
      <c r="X23" s="37">
        <f t="shared" si="6"/>
        <v>180</v>
      </c>
      <c r="Y23" s="38" t="str">
        <f t="shared" si="7"/>
        <v/>
      </c>
    </row>
    <row r="24" ht="30.0" customHeight="1">
      <c r="A24" s="10">
        <f t="shared" si="1"/>
        <v>19</v>
      </c>
      <c r="B24" s="11" t="s">
        <v>226</v>
      </c>
      <c r="C24" s="11" t="s">
        <v>216</v>
      </c>
      <c r="D24" s="14" t="str">
        <f t="array" ref="D24">IF($C24="","",IFERROR(INDEX('Danh mục thiết bị'!$C$6:$C$65,MATCH($C24,'Danh mục thiết bị'!$B$6:$B$65,0)),"Mã TB không tồn tại"))</f>
        <v>Máy chủ và thiết bị mạng</v>
      </c>
      <c r="E24" s="14" t="str">
        <f t="array" ref="E24">IF($C24="","",IFERROR(INDEX('Danh mục thiết bị'!$D$6:$D$65,MATCH($C24,'Danh mục thiết bị'!$B$6:$B$65,0)),""))</f>
        <v>Thiết bị CNTT</v>
      </c>
      <c r="F24" s="15" t="s">
        <v>227</v>
      </c>
      <c r="G24" s="11" t="s">
        <v>78</v>
      </c>
      <c r="H24" s="11" t="s">
        <v>71</v>
      </c>
      <c r="I24" s="11"/>
      <c r="J24" s="16">
        <f t="array" ref="J24">IF($B24="","",IF($I24&lt;&gt;"",$I24,IFERROR(INDEX('Cài đặt'!$B$47:$B$56,MATCH($H24,'Cài đặt'!$A$47:$A$56,0)),"")))</f>
        <v>30</v>
      </c>
      <c r="K24" s="13">
        <v>46027.0</v>
      </c>
      <c r="L24" s="17">
        <f>IF($B24="","",IF(SUMPRODUCT(MAX(('Nhật ký bảo trì'!$D$6:$D$405=$B24)*('Nhật ký bảo trì'!$Q$6:$Q$405="Hoàn thành")*'Nhật ký bảo trì'!$B$6:$B$405))=0,"",SUMPRODUCT(MAX(('Nhật ký bảo trì'!$D$6:$D$405=$B24)*('Nhật ký bảo trì'!$Q$6:$Q$405="Hoàn thành")*'Nhật ký bảo trì'!$B$6:$B$405))))</f>
        <v>46325</v>
      </c>
      <c r="M24" s="17">
        <f t="shared" si="2"/>
        <v>46355</v>
      </c>
      <c r="N24" s="10">
        <f>IF($M24="","",$M24-'Tổng quan'!$B$11)</f>
        <v>30</v>
      </c>
      <c r="O24" s="10" t="str">
        <f t="array" ref="O24">IF($B24="","",IF(IFERROR(INDEX('Danh mục thiết bị'!$J$6:$J$65,MATCH($C24,'Danh mục thiết bị'!$B$6:$B$65,0)),"")="Ngừng sử dụng","Thiết bị ngừng sử dụng",IF($J24="","Chưa chọn chu kỳ",IF($M24="","Chưa có ngày áp dụng",IF($M24&lt;'Tổng quan'!$B$11,"Quá hạn "&amp;('Tổng quan'!$B$11-$M24)&amp;" ngày",IF($M24='Tổng quan'!$B$11,"Đến hạn hôm nay",IF($M24-'Tổng quan'!$B$11&lt;='Cài đặt'!$B$102,"Sắp đến hạn ("&amp;($M24-'Tổng quan'!$B$11)&amp;" ngày)","Còn "&amp;($M24-'Tổng quan'!$B$11)&amp;" ngày")))))))</f>
        <v>Còn 30 ngày</v>
      </c>
      <c r="P24" s="19">
        <v>2.0</v>
      </c>
      <c r="Q24" s="12" t="s">
        <v>223</v>
      </c>
      <c r="R24" s="15"/>
      <c r="S24" s="20">
        <v>0.0</v>
      </c>
      <c r="T24" s="10">
        <f t="shared" si="3"/>
        <v>12</v>
      </c>
      <c r="U24" s="21">
        <f t="shared" si="4"/>
        <v>0</v>
      </c>
      <c r="V24" s="15"/>
      <c r="W24" s="23">
        <f t="shared" si="5"/>
        <v>46355</v>
      </c>
      <c r="X24" s="23">
        <f t="shared" si="6"/>
        <v>30</v>
      </c>
      <c r="Y24" s="25" t="str">
        <f t="shared" si="7"/>
        <v/>
      </c>
    </row>
    <row r="25" ht="30.0" customHeight="1">
      <c r="A25" s="26">
        <f t="shared" si="1"/>
        <v>20</v>
      </c>
      <c r="B25" s="27" t="s">
        <v>228</v>
      </c>
      <c r="C25" s="27" t="s">
        <v>216</v>
      </c>
      <c r="D25" s="28" t="str">
        <f t="array" ref="D25">IF($C25="","",IFERROR(INDEX('Danh mục thiết bị'!$C$6:$C$65,MATCH($C25,'Danh mục thiết bị'!$B$6:$B$65,0)),"Mã TB không tồn tại"))</f>
        <v>Máy chủ và thiết bị mạng</v>
      </c>
      <c r="E25" s="28" t="str">
        <f t="array" ref="E25">IF($C25="","",IFERROR(INDEX('Danh mục thiết bị'!$D$6:$D$65,MATCH($C25,'Danh mục thiết bị'!$B$6:$B$65,0)),""))</f>
        <v>Thiết bị CNTT</v>
      </c>
      <c r="F25" s="29" t="s">
        <v>229</v>
      </c>
      <c r="G25" s="27" t="s">
        <v>78</v>
      </c>
      <c r="H25" s="27" t="s">
        <v>79</v>
      </c>
      <c r="I25" s="27"/>
      <c r="J25" s="30">
        <f t="array" ref="J25">IF($B25="","",IF($I25&lt;&gt;"",$I25,IFERROR(INDEX('Cài đặt'!$B$47:$B$56,MATCH($H25,'Cài đặt'!$A$47:$A$56,0)),"")))</f>
        <v>90</v>
      </c>
      <c r="K25" s="32">
        <v>46027.0</v>
      </c>
      <c r="L25" s="33">
        <f>IF($B25="","",IF(SUMPRODUCT(MAX(('Nhật ký bảo trì'!$D$6:$D$405=$B25)*('Nhật ký bảo trì'!$Q$6:$Q$405="Hoàn thành")*'Nhật ký bảo trì'!$B$6:$B$405))=0,"",SUMPRODUCT(MAX(('Nhật ký bảo trì'!$D$6:$D$405=$B25)*('Nhật ký bảo trì'!$Q$6:$Q$405="Hoàn thành")*'Nhật ký bảo trì'!$B$6:$B$405))))</f>
        <v>46241</v>
      </c>
      <c r="M25" s="33">
        <f t="shared" si="2"/>
        <v>46331</v>
      </c>
      <c r="N25" s="26">
        <f>IF($M25="","",$M25-'Tổng quan'!$B$11)</f>
        <v>6</v>
      </c>
      <c r="O25" s="26" t="str">
        <f t="array" ref="O25">IF($B25="","",IF(IFERROR(INDEX('Danh mục thiết bị'!$J$6:$J$65,MATCH($C25,'Danh mục thiết bị'!$B$6:$B$65,0)),"")="Ngừng sử dụng","Thiết bị ngừng sử dụng",IF($J25="","Chưa chọn chu kỳ",IF($M25="","Chưa có ngày áp dụng",IF($M25&lt;'Tổng quan'!$B$11,"Quá hạn "&amp;('Tổng quan'!$B$11-$M25)&amp;" ngày",IF($M25='Tổng quan'!$B$11,"Đến hạn hôm nay",IF($M25-'Tổng quan'!$B$11&lt;='Cài đặt'!$B$102,"Sắp đến hạn ("&amp;($M25-'Tổng quan'!$B$11)&amp;" ngày)","Còn "&amp;($M25-'Tổng quan'!$B$11)&amp;" ngày")))))))</f>
        <v>Sắp đến hạn (6 ngày)</v>
      </c>
      <c r="P25" s="34">
        <v>2.0</v>
      </c>
      <c r="Q25" s="31" t="s">
        <v>223</v>
      </c>
      <c r="R25" s="29" t="s">
        <v>230</v>
      </c>
      <c r="S25" s="35">
        <v>200000.0</v>
      </c>
      <c r="T25" s="26">
        <f t="shared" si="3"/>
        <v>4</v>
      </c>
      <c r="U25" s="36">
        <f t="shared" si="4"/>
        <v>800000</v>
      </c>
      <c r="V25" s="29"/>
      <c r="W25" s="37">
        <f t="shared" si="5"/>
        <v>46331</v>
      </c>
      <c r="X25" s="37">
        <f t="shared" si="6"/>
        <v>90</v>
      </c>
      <c r="Y25" s="38" t="str">
        <f t="shared" si="7"/>
        <v/>
      </c>
    </row>
    <row r="26" ht="30.0" customHeight="1">
      <c r="A26" s="10">
        <f t="shared" si="1"/>
        <v>21</v>
      </c>
      <c r="B26" s="11" t="s">
        <v>231</v>
      </c>
      <c r="C26" s="11" t="s">
        <v>165</v>
      </c>
      <c r="D26" s="14" t="str">
        <f t="array" ref="D26">IF($C26="","",IFERROR(INDEX('Danh mục thiết bị'!$C$6:$C$65,MATCH($C26,'Danh mục thiết bị'!$B$6:$B$65,0)),"Mã TB không tồn tại"))</f>
        <v>Băng tải đóng gói số 2</v>
      </c>
      <c r="E26" s="14" t="str">
        <f t="array" ref="E26">IF($C26="","",IFERROR(INDEX('Danh mục thiết bị'!$D$6:$D$65,MATCH($C26,'Danh mục thiết bị'!$B$6:$B$65,0)),""))</f>
        <v>Băng tải – nâng hạ</v>
      </c>
      <c r="F26" s="15" t="s">
        <v>232</v>
      </c>
      <c r="G26" s="11" t="s">
        <v>78</v>
      </c>
      <c r="H26" s="11" t="s">
        <v>71</v>
      </c>
      <c r="I26" s="11">
        <v>45.0</v>
      </c>
      <c r="J26" s="10">
        <f t="array" ref="J26">IF($B26="","",IF($I26&lt;&gt;"",$I26,IFERROR(INDEX('Cài đặt'!$B$47:$B$56,MATCH($H26,'Cài đặt'!$A$47:$A$56,0)),"")))</f>
        <v>45</v>
      </c>
      <c r="K26" s="13">
        <v>46027.0</v>
      </c>
      <c r="L26" s="17">
        <f>IF($B26="","",IF(SUMPRODUCT(MAX(('Nhật ký bảo trì'!$D$6:$D$405=$B26)*('Nhật ký bảo trì'!$Q$6:$Q$405="Hoàn thành")*'Nhật ký bảo trì'!$B$6:$B$405))=0,"",SUMPRODUCT(MAX(('Nhật ký bảo trì'!$D$6:$D$405=$B26)*('Nhật ký bảo trì'!$Q$6:$Q$405="Hoàn thành")*'Nhật ký bảo trì'!$B$6:$B$405))))</f>
        <v>46305</v>
      </c>
      <c r="M26" s="17">
        <f t="shared" si="2"/>
        <v>46350</v>
      </c>
      <c r="N26" s="10">
        <f>IF($M26="","",$M26-'Tổng quan'!$B$11)</f>
        <v>25</v>
      </c>
      <c r="O26" s="10" t="str">
        <f t="array" ref="O26">IF($B26="","",IF(IFERROR(INDEX('Danh mục thiết bị'!$J$6:$J$65,MATCH($C26,'Danh mục thiết bị'!$B$6:$B$65,0)),"")="Ngừng sử dụng","Thiết bị ngừng sử dụng",IF($J26="","Chưa chọn chu kỳ",IF($M26="","Chưa có ngày áp dụng",IF($M26&lt;'Tổng quan'!$B$11,"Quá hạn "&amp;('Tổng quan'!$B$11-$M26)&amp;" ngày",IF($M26='Tổng quan'!$B$11,"Đến hạn hôm nay",IF($M26-'Tổng quan'!$B$11&lt;='Cài đặt'!$B$102,"Sắp đến hạn ("&amp;($M26-'Tổng quan'!$B$11)&amp;" ngày)","Còn "&amp;($M26-'Tổng quan'!$B$11)&amp;" ngày")))))))</f>
        <v>Còn 25 ngày</v>
      </c>
      <c r="P26" s="19">
        <v>1.0</v>
      </c>
      <c r="Q26" s="12" t="s">
        <v>107</v>
      </c>
      <c r="R26" s="15"/>
      <c r="S26" s="20">
        <v>0.0</v>
      </c>
      <c r="T26" s="10">
        <f t="shared" si="3"/>
        <v>8</v>
      </c>
      <c r="U26" s="21">
        <f t="shared" si="4"/>
        <v>0</v>
      </c>
      <c r="V26" s="15"/>
      <c r="W26" s="23">
        <f t="shared" si="5"/>
        <v>46350</v>
      </c>
      <c r="X26" s="23">
        <f t="shared" si="6"/>
        <v>45</v>
      </c>
      <c r="Y26" s="25" t="str">
        <f t="shared" si="7"/>
        <v/>
      </c>
    </row>
    <row r="27" ht="30.0" customHeight="1">
      <c r="A27" s="26" t="str">
        <f t="shared" si="1"/>
        <v/>
      </c>
      <c r="B27" s="27"/>
      <c r="C27" s="27"/>
      <c r="D27" s="28" t="str">
        <f t="array" ref="D27">IF($C27="","",IFERROR(INDEX('Danh mục thiết bị'!$C$6:$C$65,MATCH($C27,'Danh mục thiết bị'!$B$6:$B$65,0)),"Mã TB không tồn tại"))</f>
        <v/>
      </c>
      <c r="E27" s="28" t="str">
        <f t="array" ref="E27">IF($C27="","",IFERROR(INDEX('Danh mục thiết bị'!$D$6:$D$65,MATCH($C27,'Danh mục thiết bị'!$B$6:$B$65,0)),""))</f>
        <v/>
      </c>
      <c r="F27" s="29"/>
      <c r="G27" s="27"/>
      <c r="H27" s="27"/>
      <c r="I27" s="27"/>
      <c r="J27" s="26" t="str">
        <f t="array" ref="J27">IF($B27="","",IF($I27&lt;&gt;"",$I27,IFERROR(INDEX('Cài đặt'!$B$47:$B$56,MATCH($H27,'Cài đặt'!$A$47:$A$56,0)),"")))</f>
        <v/>
      </c>
      <c r="K27" s="32"/>
      <c r="L27" s="33" t="str">
        <f>IF($B27="","",IF(SUMPRODUCT(MAX(('Nhật ký bảo trì'!$D$6:$D$405=$B27)*('Nhật ký bảo trì'!$Q$6:$Q$405="Hoàn thành")*'Nhật ký bảo trì'!$B$6:$B$405))=0,"",SUMPRODUCT(MAX(('Nhật ký bảo trì'!$D$6:$D$405=$B27)*('Nhật ký bảo trì'!$Q$6:$Q$405="Hoàn thành")*'Nhật ký bảo trì'!$B$6:$B$405))))</f>
        <v/>
      </c>
      <c r="M27" s="33" t="str">
        <f t="shared" si="2"/>
        <v/>
      </c>
      <c r="N27" s="26" t="str">
        <f>IF($M27="","",$M27-'Tổng quan'!$B$11)</f>
        <v/>
      </c>
      <c r="O27" s="26" t="str">
        <f t="array" ref="O27">IF($B27="","",IF(IFERROR(INDEX('Danh mục thiết bị'!$J$6:$J$65,MATCH($C27,'Danh mục thiết bị'!$B$6:$B$65,0)),"")="Ngừng sử dụng","Thiết bị ngừng sử dụng",IF($J27="","Chưa chọn chu kỳ",IF($M27="","Chưa có ngày áp dụng",IF($M27&lt;'Tổng quan'!$B$11,"Quá hạn "&amp;('Tổng quan'!$B$11-$M27)&amp;" ngày",IF($M27='Tổng quan'!$B$11,"Đến hạn hôm nay",IF($M27-'Tổng quan'!$B$11&lt;='Cài đặt'!$B$102,"Sắp đến hạn ("&amp;($M27-'Tổng quan'!$B$11)&amp;" ngày)","Còn "&amp;($M27-'Tổng quan'!$B$11)&amp;" ngày")))))))</f>
        <v/>
      </c>
      <c r="P27" s="34"/>
      <c r="Q27" s="31"/>
      <c r="R27" s="29"/>
      <c r="S27" s="35"/>
      <c r="T27" s="26" t="str">
        <f t="shared" si="3"/>
        <v/>
      </c>
      <c r="U27" s="36" t="str">
        <f t="shared" si="4"/>
        <v/>
      </c>
      <c r="V27" s="29"/>
      <c r="W27" s="37">
        <f t="shared" si="5"/>
        <v>99999</v>
      </c>
      <c r="X27" s="37">
        <f t="shared" si="6"/>
        <v>99999</v>
      </c>
      <c r="Y27" s="38" t="str">
        <f t="shared" si="7"/>
        <v/>
      </c>
    </row>
    <row r="28" ht="30.0" customHeight="1">
      <c r="A28" s="10" t="str">
        <f t="shared" si="1"/>
        <v/>
      </c>
      <c r="B28" s="11"/>
      <c r="C28" s="11"/>
      <c r="D28" s="14" t="str">
        <f t="array" ref="D28">IF($C28="","",IFERROR(INDEX('Danh mục thiết bị'!$C$6:$C$65,MATCH($C28,'Danh mục thiết bị'!$B$6:$B$65,0)),"Mã TB không tồn tại"))</f>
        <v/>
      </c>
      <c r="E28" s="14" t="str">
        <f t="array" ref="E28">IF($C28="","",IFERROR(INDEX('Danh mục thiết bị'!$D$6:$D$65,MATCH($C28,'Danh mục thiết bị'!$B$6:$B$65,0)),""))</f>
        <v/>
      </c>
      <c r="F28" s="15"/>
      <c r="G28" s="11"/>
      <c r="H28" s="11"/>
      <c r="I28" s="11"/>
      <c r="J28" s="10" t="str">
        <f t="array" ref="J28">IF($B28="","",IF($I28&lt;&gt;"",$I28,IFERROR(INDEX('Cài đặt'!$B$47:$B$56,MATCH($H28,'Cài đặt'!$A$47:$A$56,0)),"")))</f>
        <v/>
      </c>
      <c r="K28" s="13"/>
      <c r="L28" s="17" t="str">
        <f>IF($B28="","",IF(SUMPRODUCT(MAX(('Nhật ký bảo trì'!$D$6:$D$405=$B28)*('Nhật ký bảo trì'!$Q$6:$Q$405="Hoàn thành")*'Nhật ký bảo trì'!$B$6:$B$405))=0,"",SUMPRODUCT(MAX(('Nhật ký bảo trì'!$D$6:$D$405=$B28)*('Nhật ký bảo trì'!$Q$6:$Q$405="Hoàn thành")*'Nhật ký bảo trì'!$B$6:$B$405))))</f>
        <v/>
      </c>
      <c r="M28" s="17" t="str">
        <f t="shared" si="2"/>
        <v/>
      </c>
      <c r="N28" s="10" t="str">
        <f>IF($M28="","",$M28-'Tổng quan'!$B$11)</f>
        <v/>
      </c>
      <c r="O28" s="10" t="str">
        <f t="array" ref="O28">IF($B28="","",IF(IFERROR(INDEX('Danh mục thiết bị'!$J$6:$J$65,MATCH($C28,'Danh mục thiết bị'!$B$6:$B$65,0)),"")="Ngừng sử dụng","Thiết bị ngừng sử dụng",IF($J28="","Chưa chọn chu kỳ",IF($M28="","Chưa có ngày áp dụng",IF($M28&lt;'Tổng quan'!$B$11,"Quá hạn "&amp;('Tổng quan'!$B$11-$M28)&amp;" ngày",IF($M28='Tổng quan'!$B$11,"Đến hạn hôm nay",IF($M28-'Tổng quan'!$B$11&lt;='Cài đặt'!$B$102,"Sắp đến hạn ("&amp;($M28-'Tổng quan'!$B$11)&amp;" ngày)","Còn "&amp;($M28-'Tổng quan'!$B$11)&amp;" ngày")))))))</f>
        <v/>
      </c>
      <c r="P28" s="19"/>
      <c r="Q28" s="12"/>
      <c r="R28" s="15"/>
      <c r="S28" s="20"/>
      <c r="T28" s="10" t="str">
        <f t="shared" si="3"/>
        <v/>
      </c>
      <c r="U28" s="21" t="str">
        <f t="shared" si="4"/>
        <v/>
      </c>
      <c r="V28" s="15"/>
      <c r="W28" s="23">
        <f t="shared" si="5"/>
        <v>99999</v>
      </c>
      <c r="X28" s="23">
        <f t="shared" si="6"/>
        <v>99999</v>
      </c>
      <c r="Y28" s="25" t="str">
        <f t="shared" si="7"/>
        <v/>
      </c>
    </row>
    <row r="29" ht="30.0" customHeight="1">
      <c r="A29" s="26" t="str">
        <f t="shared" si="1"/>
        <v/>
      </c>
      <c r="B29" s="27"/>
      <c r="C29" s="27"/>
      <c r="D29" s="28" t="str">
        <f t="array" ref="D29">IF($C29="","",IFERROR(INDEX('Danh mục thiết bị'!$C$6:$C$65,MATCH($C29,'Danh mục thiết bị'!$B$6:$B$65,0)),"Mã TB không tồn tại"))</f>
        <v/>
      </c>
      <c r="E29" s="28" t="str">
        <f t="array" ref="E29">IF($C29="","",IFERROR(INDEX('Danh mục thiết bị'!$D$6:$D$65,MATCH($C29,'Danh mục thiết bị'!$B$6:$B$65,0)),""))</f>
        <v/>
      </c>
      <c r="F29" s="29"/>
      <c r="G29" s="27"/>
      <c r="H29" s="27"/>
      <c r="I29" s="27"/>
      <c r="J29" s="26" t="str">
        <f t="array" ref="J29">IF($B29="","",IF($I29&lt;&gt;"",$I29,IFERROR(INDEX('Cài đặt'!$B$47:$B$56,MATCH($H29,'Cài đặt'!$A$47:$A$56,0)),"")))</f>
        <v/>
      </c>
      <c r="K29" s="32"/>
      <c r="L29" s="33" t="str">
        <f>IF($B29="","",IF(SUMPRODUCT(MAX(('Nhật ký bảo trì'!$D$6:$D$405=$B29)*('Nhật ký bảo trì'!$Q$6:$Q$405="Hoàn thành")*'Nhật ký bảo trì'!$B$6:$B$405))=0,"",SUMPRODUCT(MAX(('Nhật ký bảo trì'!$D$6:$D$405=$B29)*('Nhật ký bảo trì'!$Q$6:$Q$405="Hoàn thành")*'Nhật ký bảo trì'!$B$6:$B$405))))</f>
        <v/>
      </c>
      <c r="M29" s="33" t="str">
        <f t="shared" si="2"/>
        <v/>
      </c>
      <c r="N29" s="26" t="str">
        <f>IF($M29="","",$M29-'Tổng quan'!$B$11)</f>
        <v/>
      </c>
      <c r="O29" s="26" t="str">
        <f t="array" ref="O29">IF($B29="","",IF(IFERROR(INDEX('Danh mục thiết bị'!$J$6:$J$65,MATCH($C29,'Danh mục thiết bị'!$B$6:$B$65,0)),"")="Ngừng sử dụng","Thiết bị ngừng sử dụng",IF($J29="","Chưa chọn chu kỳ",IF($M29="","Chưa có ngày áp dụng",IF($M29&lt;'Tổng quan'!$B$11,"Quá hạn "&amp;('Tổng quan'!$B$11-$M29)&amp;" ngày",IF($M29='Tổng quan'!$B$11,"Đến hạn hôm nay",IF($M29-'Tổng quan'!$B$11&lt;='Cài đặt'!$B$102,"Sắp đến hạn ("&amp;($M29-'Tổng quan'!$B$11)&amp;" ngày)","Còn "&amp;($M29-'Tổng quan'!$B$11)&amp;" ngày")))))))</f>
        <v/>
      </c>
      <c r="P29" s="34"/>
      <c r="Q29" s="31"/>
      <c r="R29" s="29"/>
      <c r="S29" s="35"/>
      <c r="T29" s="26" t="str">
        <f t="shared" si="3"/>
        <v/>
      </c>
      <c r="U29" s="36" t="str">
        <f t="shared" si="4"/>
        <v/>
      </c>
      <c r="V29" s="29"/>
      <c r="W29" s="37">
        <f t="shared" si="5"/>
        <v>99999</v>
      </c>
      <c r="X29" s="37">
        <f t="shared" si="6"/>
        <v>99999</v>
      </c>
      <c r="Y29" s="38" t="str">
        <f t="shared" si="7"/>
        <v/>
      </c>
    </row>
    <row r="30" ht="30.0" customHeight="1">
      <c r="A30" s="10" t="str">
        <f t="shared" si="1"/>
        <v/>
      </c>
      <c r="B30" s="11"/>
      <c r="C30" s="11"/>
      <c r="D30" s="14" t="str">
        <f t="array" ref="D30">IF($C30="","",IFERROR(INDEX('Danh mục thiết bị'!$C$6:$C$65,MATCH($C30,'Danh mục thiết bị'!$B$6:$B$65,0)),"Mã TB không tồn tại"))</f>
        <v/>
      </c>
      <c r="E30" s="14" t="str">
        <f t="array" ref="E30">IF($C30="","",IFERROR(INDEX('Danh mục thiết bị'!$D$6:$D$65,MATCH($C30,'Danh mục thiết bị'!$B$6:$B$65,0)),""))</f>
        <v/>
      </c>
      <c r="F30" s="15"/>
      <c r="G30" s="11"/>
      <c r="H30" s="11"/>
      <c r="I30" s="11"/>
      <c r="J30" s="10" t="str">
        <f t="array" ref="J30">IF($B30="","",IF($I30&lt;&gt;"",$I30,IFERROR(INDEX('Cài đặt'!$B$47:$B$56,MATCH($H30,'Cài đặt'!$A$47:$A$56,0)),"")))</f>
        <v/>
      </c>
      <c r="K30" s="13"/>
      <c r="L30" s="17" t="str">
        <f>IF($B30="","",IF(SUMPRODUCT(MAX(('Nhật ký bảo trì'!$D$6:$D$405=$B30)*('Nhật ký bảo trì'!$Q$6:$Q$405="Hoàn thành")*'Nhật ký bảo trì'!$B$6:$B$405))=0,"",SUMPRODUCT(MAX(('Nhật ký bảo trì'!$D$6:$D$405=$B30)*('Nhật ký bảo trì'!$Q$6:$Q$405="Hoàn thành")*'Nhật ký bảo trì'!$B$6:$B$405))))</f>
        <v/>
      </c>
      <c r="M30" s="17" t="str">
        <f t="shared" si="2"/>
        <v/>
      </c>
      <c r="N30" s="10" t="str">
        <f>IF($M30="","",$M30-'Tổng quan'!$B$11)</f>
        <v/>
      </c>
      <c r="O30" s="10" t="str">
        <f t="array" ref="O30">IF($B30="","",IF(IFERROR(INDEX('Danh mục thiết bị'!$J$6:$J$65,MATCH($C30,'Danh mục thiết bị'!$B$6:$B$65,0)),"")="Ngừng sử dụng","Thiết bị ngừng sử dụng",IF($J30="","Chưa chọn chu kỳ",IF($M30="","Chưa có ngày áp dụng",IF($M30&lt;'Tổng quan'!$B$11,"Quá hạn "&amp;('Tổng quan'!$B$11-$M30)&amp;" ngày",IF($M30='Tổng quan'!$B$11,"Đến hạn hôm nay",IF($M30-'Tổng quan'!$B$11&lt;='Cài đặt'!$B$102,"Sắp đến hạn ("&amp;($M30-'Tổng quan'!$B$11)&amp;" ngày)","Còn "&amp;($M30-'Tổng quan'!$B$11)&amp;" ngày")))))))</f>
        <v/>
      </c>
      <c r="P30" s="19"/>
      <c r="Q30" s="12"/>
      <c r="R30" s="15"/>
      <c r="S30" s="20"/>
      <c r="T30" s="10" t="str">
        <f t="shared" si="3"/>
        <v/>
      </c>
      <c r="U30" s="21" t="str">
        <f t="shared" si="4"/>
        <v/>
      </c>
      <c r="V30" s="15"/>
      <c r="W30" s="23">
        <f t="shared" si="5"/>
        <v>99999</v>
      </c>
      <c r="X30" s="23">
        <f t="shared" si="6"/>
        <v>99999</v>
      </c>
      <c r="Y30" s="25" t="str">
        <f t="shared" si="7"/>
        <v/>
      </c>
    </row>
    <row r="31" ht="30.0" customHeight="1">
      <c r="A31" s="26" t="str">
        <f t="shared" si="1"/>
        <v/>
      </c>
      <c r="B31" s="27"/>
      <c r="C31" s="27"/>
      <c r="D31" s="28" t="str">
        <f t="array" ref="D31">IF($C31="","",IFERROR(INDEX('Danh mục thiết bị'!$C$6:$C$65,MATCH($C31,'Danh mục thiết bị'!$B$6:$B$65,0)),"Mã TB không tồn tại"))</f>
        <v/>
      </c>
      <c r="E31" s="28" t="str">
        <f t="array" ref="E31">IF($C31="","",IFERROR(INDEX('Danh mục thiết bị'!$D$6:$D$65,MATCH($C31,'Danh mục thiết bị'!$B$6:$B$65,0)),""))</f>
        <v/>
      </c>
      <c r="F31" s="29"/>
      <c r="G31" s="27"/>
      <c r="H31" s="27"/>
      <c r="I31" s="27"/>
      <c r="J31" s="26" t="str">
        <f t="array" ref="J31">IF($B31="","",IF($I31&lt;&gt;"",$I31,IFERROR(INDEX('Cài đặt'!$B$47:$B$56,MATCH($H31,'Cài đặt'!$A$47:$A$56,0)),"")))</f>
        <v/>
      </c>
      <c r="K31" s="32"/>
      <c r="L31" s="33" t="str">
        <f>IF($B31="","",IF(SUMPRODUCT(MAX(('Nhật ký bảo trì'!$D$6:$D$405=$B31)*('Nhật ký bảo trì'!$Q$6:$Q$405="Hoàn thành")*'Nhật ký bảo trì'!$B$6:$B$405))=0,"",SUMPRODUCT(MAX(('Nhật ký bảo trì'!$D$6:$D$405=$B31)*('Nhật ký bảo trì'!$Q$6:$Q$405="Hoàn thành")*'Nhật ký bảo trì'!$B$6:$B$405))))</f>
        <v/>
      </c>
      <c r="M31" s="33" t="str">
        <f t="shared" si="2"/>
        <v/>
      </c>
      <c r="N31" s="26" t="str">
        <f>IF($M31="","",$M31-'Tổng quan'!$B$11)</f>
        <v/>
      </c>
      <c r="O31" s="26" t="str">
        <f t="array" ref="O31">IF($B31="","",IF(IFERROR(INDEX('Danh mục thiết bị'!$J$6:$J$65,MATCH($C31,'Danh mục thiết bị'!$B$6:$B$65,0)),"")="Ngừng sử dụng","Thiết bị ngừng sử dụng",IF($J31="","Chưa chọn chu kỳ",IF($M31="","Chưa có ngày áp dụng",IF($M31&lt;'Tổng quan'!$B$11,"Quá hạn "&amp;('Tổng quan'!$B$11-$M31)&amp;" ngày",IF($M31='Tổng quan'!$B$11,"Đến hạn hôm nay",IF($M31-'Tổng quan'!$B$11&lt;='Cài đặt'!$B$102,"Sắp đến hạn ("&amp;($M31-'Tổng quan'!$B$11)&amp;" ngày)","Còn "&amp;($M31-'Tổng quan'!$B$11)&amp;" ngày")))))))</f>
        <v/>
      </c>
      <c r="P31" s="34"/>
      <c r="Q31" s="31"/>
      <c r="R31" s="29"/>
      <c r="S31" s="35"/>
      <c r="T31" s="26" t="str">
        <f t="shared" si="3"/>
        <v/>
      </c>
      <c r="U31" s="36" t="str">
        <f t="shared" si="4"/>
        <v/>
      </c>
      <c r="V31" s="29"/>
      <c r="W31" s="37">
        <f t="shared" si="5"/>
        <v>99999</v>
      </c>
      <c r="X31" s="37">
        <f t="shared" si="6"/>
        <v>99999</v>
      </c>
      <c r="Y31" s="38" t="str">
        <f t="shared" si="7"/>
        <v/>
      </c>
    </row>
    <row r="32" ht="30.0" customHeight="1">
      <c r="A32" s="10" t="str">
        <f t="shared" si="1"/>
        <v/>
      </c>
      <c r="B32" s="11"/>
      <c r="C32" s="11"/>
      <c r="D32" s="14" t="str">
        <f t="array" ref="D32">IF($C32="","",IFERROR(INDEX('Danh mục thiết bị'!$C$6:$C$65,MATCH($C32,'Danh mục thiết bị'!$B$6:$B$65,0)),"Mã TB không tồn tại"))</f>
        <v/>
      </c>
      <c r="E32" s="14" t="str">
        <f t="array" ref="E32">IF($C32="","",IFERROR(INDEX('Danh mục thiết bị'!$D$6:$D$65,MATCH($C32,'Danh mục thiết bị'!$B$6:$B$65,0)),""))</f>
        <v/>
      </c>
      <c r="F32" s="15"/>
      <c r="G32" s="11"/>
      <c r="H32" s="11"/>
      <c r="I32" s="11"/>
      <c r="J32" s="10" t="str">
        <f t="array" ref="J32">IF($B32="","",IF($I32&lt;&gt;"",$I32,IFERROR(INDEX('Cài đặt'!$B$47:$B$56,MATCH($H32,'Cài đặt'!$A$47:$A$56,0)),"")))</f>
        <v/>
      </c>
      <c r="K32" s="13"/>
      <c r="L32" s="17" t="str">
        <f>IF($B32="","",IF(SUMPRODUCT(MAX(('Nhật ký bảo trì'!$D$6:$D$405=$B32)*('Nhật ký bảo trì'!$Q$6:$Q$405="Hoàn thành")*'Nhật ký bảo trì'!$B$6:$B$405))=0,"",SUMPRODUCT(MAX(('Nhật ký bảo trì'!$D$6:$D$405=$B32)*('Nhật ký bảo trì'!$Q$6:$Q$405="Hoàn thành")*'Nhật ký bảo trì'!$B$6:$B$405))))</f>
        <v/>
      </c>
      <c r="M32" s="17" t="str">
        <f t="shared" si="2"/>
        <v/>
      </c>
      <c r="N32" s="10" t="str">
        <f>IF($M32="","",$M32-'Tổng quan'!$B$11)</f>
        <v/>
      </c>
      <c r="O32" s="10" t="str">
        <f t="array" ref="O32">IF($B32="","",IF(IFERROR(INDEX('Danh mục thiết bị'!$J$6:$J$65,MATCH($C32,'Danh mục thiết bị'!$B$6:$B$65,0)),"")="Ngừng sử dụng","Thiết bị ngừng sử dụng",IF($J32="","Chưa chọn chu kỳ",IF($M32="","Chưa có ngày áp dụng",IF($M32&lt;'Tổng quan'!$B$11,"Quá hạn "&amp;('Tổng quan'!$B$11-$M32)&amp;" ngày",IF($M32='Tổng quan'!$B$11,"Đến hạn hôm nay",IF($M32-'Tổng quan'!$B$11&lt;='Cài đặt'!$B$102,"Sắp đến hạn ("&amp;($M32-'Tổng quan'!$B$11)&amp;" ngày)","Còn "&amp;($M32-'Tổng quan'!$B$11)&amp;" ngày")))))))</f>
        <v/>
      </c>
      <c r="P32" s="19"/>
      <c r="Q32" s="12"/>
      <c r="R32" s="15"/>
      <c r="S32" s="20"/>
      <c r="T32" s="10" t="str">
        <f t="shared" si="3"/>
        <v/>
      </c>
      <c r="U32" s="21" t="str">
        <f t="shared" si="4"/>
        <v/>
      </c>
      <c r="V32" s="15"/>
      <c r="W32" s="23">
        <f t="shared" si="5"/>
        <v>99999</v>
      </c>
      <c r="X32" s="23">
        <f t="shared" si="6"/>
        <v>99999</v>
      </c>
      <c r="Y32" s="25" t="str">
        <f t="shared" si="7"/>
        <v/>
      </c>
    </row>
    <row r="33" ht="30.0" customHeight="1">
      <c r="A33" s="26" t="str">
        <f t="shared" si="1"/>
        <v/>
      </c>
      <c r="B33" s="27"/>
      <c r="C33" s="27"/>
      <c r="D33" s="28" t="str">
        <f t="array" ref="D33">IF($C33="","",IFERROR(INDEX('Danh mục thiết bị'!$C$6:$C$65,MATCH($C33,'Danh mục thiết bị'!$B$6:$B$65,0)),"Mã TB không tồn tại"))</f>
        <v/>
      </c>
      <c r="E33" s="28" t="str">
        <f t="array" ref="E33">IF($C33="","",IFERROR(INDEX('Danh mục thiết bị'!$D$6:$D$65,MATCH($C33,'Danh mục thiết bị'!$B$6:$B$65,0)),""))</f>
        <v/>
      </c>
      <c r="F33" s="29"/>
      <c r="G33" s="27"/>
      <c r="H33" s="27"/>
      <c r="I33" s="27"/>
      <c r="J33" s="26" t="str">
        <f t="array" ref="J33">IF($B33="","",IF($I33&lt;&gt;"",$I33,IFERROR(INDEX('Cài đặt'!$B$47:$B$56,MATCH($H33,'Cài đặt'!$A$47:$A$56,0)),"")))</f>
        <v/>
      </c>
      <c r="K33" s="32"/>
      <c r="L33" s="33" t="str">
        <f>IF($B33="","",IF(SUMPRODUCT(MAX(('Nhật ký bảo trì'!$D$6:$D$405=$B33)*('Nhật ký bảo trì'!$Q$6:$Q$405="Hoàn thành")*'Nhật ký bảo trì'!$B$6:$B$405))=0,"",SUMPRODUCT(MAX(('Nhật ký bảo trì'!$D$6:$D$405=$B33)*('Nhật ký bảo trì'!$Q$6:$Q$405="Hoàn thành")*'Nhật ký bảo trì'!$B$6:$B$405))))</f>
        <v/>
      </c>
      <c r="M33" s="33" t="str">
        <f t="shared" si="2"/>
        <v/>
      </c>
      <c r="N33" s="26" t="str">
        <f>IF($M33="","",$M33-'Tổng quan'!$B$11)</f>
        <v/>
      </c>
      <c r="O33" s="26" t="str">
        <f t="array" ref="O33">IF($B33="","",IF(IFERROR(INDEX('Danh mục thiết bị'!$J$6:$J$65,MATCH($C33,'Danh mục thiết bị'!$B$6:$B$65,0)),"")="Ngừng sử dụng","Thiết bị ngừng sử dụng",IF($J33="","Chưa chọn chu kỳ",IF($M33="","Chưa có ngày áp dụng",IF($M33&lt;'Tổng quan'!$B$11,"Quá hạn "&amp;('Tổng quan'!$B$11-$M33)&amp;" ngày",IF($M33='Tổng quan'!$B$11,"Đến hạn hôm nay",IF($M33-'Tổng quan'!$B$11&lt;='Cài đặt'!$B$102,"Sắp đến hạn ("&amp;($M33-'Tổng quan'!$B$11)&amp;" ngày)","Còn "&amp;($M33-'Tổng quan'!$B$11)&amp;" ngày")))))))</f>
        <v/>
      </c>
      <c r="P33" s="34"/>
      <c r="Q33" s="31"/>
      <c r="R33" s="29"/>
      <c r="S33" s="35"/>
      <c r="T33" s="26" t="str">
        <f t="shared" si="3"/>
        <v/>
      </c>
      <c r="U33" s="36" t="str">
        <f t="shared" si="4"/>
        <v/>
      </c>
      <c r="V33" s="29"/>
      <c r="W33" s="37">
        <f t="shared" si="5"/>
        <v>99999</v>
      </c>
      <c r="X33" s="37">
        <f t="shared" si="6"/>
        <v>99999</v>
      </c>
      <c r="Y33" s="38" t="str">
        <f t="shared" si="7"/>
        <v/>
      </c>
    </row>
    <row r="34" ht="30.0" customHeight="1">
      <c r="A34" s="10" t="str">
        <f t="shared" si="1"/>
        <v/>
      </c>
      <c r="B34" s="11"/>
      <c r="C34" s="11"/>
      <c r="D34" s="14" t="str">
        <f t="array" ref="D34">IF($C34="","",IFERROR(INDEX('Danh mục thiết bị'!$C$6:$C$65,MATCH($C34,'Danh mục thiết bị'!$B$6:$B$65,0)),"Mã TB không tồn tại"))</f>
        <v/>
      </c>
      <c r="E34" s="14" t="str">
        <f t="array" ref="E34">IF($C34="","",IFERROR(INDEX('Danh mục thiết bị'!$D$6:$D$65,MATCH($C34,'Danh mục thiết bị'!$B$6:$B$65,0)),""))</f>
        <v/>
      </c>
      <c r="F34" s="15"/>
      <c r="G34" s="11"/>
      <c r="H34" s="11"/>
      <c r="I34" s="11"/>
      <c r="J34" s="10" t="str">
        <f t="array" ref="J34">IF($B34="","",IF($I34&lt;&gt;"",$I34,IFERROR(INDEX('Cài đặt'!$B$47:$B$56,MATCH($H34,'Cài đặt'!$A$47:$A$56,0)),"")))</f>
        <v/>
      </c>
      <c r="K34" s="13"/>
      <c r="L34" s="17" t="str">
        <f>IF($B34="","",IF(SUMPRODUCT(MAX(('Nhật ký bảo trì'!$D$6:$D$405=$B34)*('Nhật ký bảo trì'!$Q$6:$Q$405="Hoàn thành")*'Nhật ký bảo trì'!$B$6:$B$405))=0,"",SUMPRODUCT(MAX(('Nhật ký bảo trì'!$D$6:$D$405=$B34)*('Nhật ký bảo trì'!$Q$6:$Q$405="Hoàn thành")*'Nhật ký bảo trì'!$B$6:$B$405))))</f>
        <v/>
      </c>
      <c r="M34" s="17" t="str">
        <f t="shared" si="2"/>
        <v/>
      </c>
      <c r="N34" s="10" t="str">
        <f>IF($M34="","",$M34-'Tổng quan'!$B$11)</f>
        <v/>
      </c>
      <c r="O34" s="10" t="str">
        <f t="array" ref="O34">IF($B34="","",IF(IFERROR(INDEX('Danh mục thiết bị'!$J$6:$J$65,MATCH($C34,'Danh mục thiết bị'!$B$6:$B$65,0)),"")="Ngừng sử dụng","Thiết bị ngừng sử dụng",IF($J34="","Chưa chọn chu kỳ",IF($M34="","Chưa có ngày áp dụng",IF($M34&lt;'Tổng quan'!$B$11,"Quá hạn "&amp;('Tổng quan'!$B$11-$M34)&amp;" ngày",IF($M34='Tổng quan'!$B$11,"Đến hạn hôm nay",IF($M34-'Tổng quan'!$B$11&lt;='Cài đặt'!$B$102,"Sắp đến hạn ("&amp;($M34-'Tổng quan'!$B$11)&amp;" ngày)","Còn "&amp;($M34-'Tổng quan'!$B$11)&amp;" ngày")))))))</f>
        <v/>
      </c>
      <c r="P34" s="19"/>
      <c r="Q34" s="12"/>
      <c r="R34" s="15"/>
      <c r="S34" s="20"/>
      <c r="T34" s="10" t="str">
        <f t="shared" si="3"/>
        <v/>
      </c>
      <c r="U34" s="21" t="str">
        <f t="shared" si="4"/>
        <v/>
      </c>
      <c r="V34" s="15"/>
      <c r="W34" s="23">
        <f t="shared" si="5"/>
        <v>99999</v>
      </c>
      <c r="X34" s="23">
        <f t="shared" si="6"/>
        <v>99999</v>
      </c>
      <c r="Y34" s="25" t="str">
        <f t="shared" si="7"/>
        <v/>
      </c>
    </row>
    <row r="35" ht="30.0" customHeight="1">
      <c r="A35" s="26" t="str">
        <f t="shared" si="1"/>
        <v/>
      </c>
      <c r="B35" s="27"/>
      <c r="C35" s="27"/>
      <c r="D35" s="28" t="str">
        <f t="array" ref="D35">IF($C35="","",IFERROR(INDEX('Danh mục thiết bị'!$C$6:$C$65,MATCH($C35,'Danh mục thiết bị'!$B$6:$B$65,0)),"Mã TB không tồn tại"))</f>
        <v/>
      </c>
      <c r="E35" s="28" t="str">
        <f t="array" ref="E35">IF($C35="","",IFERROR(INDEX('Danh mục thiết bị'!$D$6:$D$65,MATCH($C35,'Danh mục thiết bị'!$B$6:$B$65,0)),""))</f>
        <v/>
      </c>
      <c r="F35" s="29"/>
      <c r="G35" s="27"/>
      <c r="H35" s="27"/>
      <c r="I35" s="27"/>
      <c r="J35" s="26" t="str">
        <f t="array" ref="J35">IF($B35="","",IF($I35&lt;&gt;"",$I35,IFERROR(INDEX('Cài đặt'!$B$47:$B$56,MATCH($H35,'Cài đặt'!$A$47:$A$56,0)),"")))</f>
        <v/>
      </c>
      <c r="K35" s="32"/>
      <c r="L35" s="33" t="str">
        <f>IF($B35="","",IF(SUMPRODUCT(MAX(('Nhật ký bảo trì'!$D$6:$D$405=$B35)*('Nhật ký bảo trì'!$Q$6:$Q$405="Hoàn thành")*'Nhật ký bảo trì'!$B$6:$B$405))=0,"",SUMPRODUCT(MAX(('Nhật ký bảo trì'!$D$6:$D$405=$B35)*('Nhật ký bảo trì'!$Q$6:$Q$405="Hoàn thành")*'Nhật ký bảo trì'!$B$6:$B$405))))</f>
        <v/>
      </c>
      <c r="M35" s="33" t="str">
        <f t="shared" si="2"/>
        <v/>
      </c>
      <c r="N35" s="26" t="str">
        <f>IF($M35="","",$M35-'Tổng quan'!$B$11)</f>
        <v/>
      </c>
      <c r="O35" s="26" t="str">
        <f t="array" ref="O35">IF($B35="","",IF(IFERROR(INDEX('Danh mục thiết bị'!$J$6:$J$65,MATCH($C35,'Danh mục thiết bị'!$B$6:$B$65,0)),"")="Ngừng sử dụng","Thiết bị ngừng sử dụng",IF($J35="","Chưa chọn chu kỳ",IF($M35="","Chưa có ngày áp dụng",IF($M35&lt;'Tổng quan'!$B$11,"Quá hạn "&amp;('Tổng quan'!$B$11-$M35)&amp;" ngày",IF($M35='Tổng quan'!$B$11,"Đến hạn hôm nay",IF($M35-'Tổng quan'!$B$11&lt;='Cài đặt'!$B$102,"Sắp đến hạn ("&amp;($M35-'Tổng quan'!$B$11)&amp;" ngày)","Còn "&amp;($M35-'Tổng quan'!$B$11)&amp;" ngày")))))))</f>
        <v/>
      </c>
      <c r="P35" s="34"/>
      <c r="Q35" s="31"/>
      <c r="R35" s="29"/>
      <c r="S35" s="35"/>
      <c r="T35" s="26" t="str">
        <f t="shared" si="3"/>
        <v/>
      </c>
      <c r="U35" s="36" t="str">
        <f t="shared" si="4"/>
        <v/>
      </c>
      <c r="V35" s="29"/>
      <c r="W35" s="37">
        <f t="shared" si="5"/>
        <v>99999</v>
      </c>
      <c r="X35" s="37">
        <f t="shared" si="6"/>
        <v>99999</v>
      </c>
      <c r="Y35" s="38" t="str">
        <f t="shared" si="7"/>
        <v/>
      </c>
    </row>
    <row r="36" ht="30.0" customHeight="1">
      <c r="A36" s="10" t="str">
        <f t="shared" si="1"/>
        <v/>
      </c>
      <c r="B36" s="11"/>
      <c r="C36" s="11"/>
      <c r="D36" s="14" t="str">
        <f t="array" ref="D36">IF($C36="","",IFERROR(INDEX('Danh mục thiết bị'!$C$6:$C$65,MATCH($C36,'Danh mục thiết bị'!$B$6:$B$65,0)),"Mã TB không tồn tại"))</f>
        <v/>
      </c>
      <c r="E36" s="14" t="str">
        <f t="array" ref="E36">IF($C36="","",IFERROR(INDEX('Danh mục thiết bị'!$D$6:$D$65,MATCH($C36,'Danh mục thiết bị'!$B$6:$B$65,0)),""))</f>
        <v/>
      </c>
      <c r="F36" s="15"/>
      <c r="G36" s="11"/>
      <c r="H36" s="11"/>
      <c r="I36" s="11"/>
      <c r="J36" s="10" t="str">
        <f t="array" ref="J36">IF($B36="","",IF($I36&lt;&gt;"",$I36,IFERROR(INDEX('Cài đặt'!$B$47:$B$56,MATCH($H36,'Cài đặt'!$A$47:$A$56,0)),"")))</f>
        <v/>
      </c>
      <c r="K36" s="13"/>
      <c r="L36" s="17" t="str">
        <f>IF($B36="","",IF(SUMPRODUCT(MAX(('Nhật ký bảo trì'!$D$6:$D$405=$B36)*('Nhật ký bảo trì'!$Q$6:$Q$405="Hoàn thành")*'Nhật ký bảo trì'!$B$6:$B$405))=0,"",SUMPRODUCT(MAX(('Nhật ký bảo trì'!$D$6:$D$405=$B36)*('Nhật ký bảo trì'!$Q$6:$Q$405="Hoàn thành")*'Nhật ký bảo trì'!$B$6:$B$405))))</f>
        <v/>
      </c>
      <c r="M36" s="17" t="str">
        <f t="shared" si="2"/>
        <v/>
      </c>
      <c r="N36" s="10" t="str">
        <f>IF($M36="","",$M36-'Tổng quan'!$B$11)</f>
        <v/>
      </c>
      <c r="O36" s="10" t="str">
        <f t="array" ref="O36">IF($B36="","",IF(IFERROR(INDEX('Danh mục thiết bị'!$J$6:$J$65,MATCH($C36,'Danh mục thiết bị'!$B$6:$B$65,0)),"")="Ngừng sử dụng","Thiết bị ngừng sử dụng",IF($J36="","Chưa chọn chu kỳ",IF($M36="","Chưa có ngày áp dụng",IF($M36&lt;'Tổng quan'!$B$11,"Quá hạn "&amp;('Tổng quan'!$B$11-$M36)&amp;" ngày",IF($M36='Tổng quan'!$B$11,"Đến hạn hôm nay",IF($M36-'Tổng quan'!$B$11&lt;='Cài đặt'!$B$102,"Sắp đến hạn ("&amp;($M36-'Tổng quan'!$B$11)&amp;" ngày)","Còn "&amp;($M36-'Tổng quan'!$B$11)&amp;" ngày")))))))</f>
        <v/>
      </c>
      <c r="P36" s="19"/>
      <c r="Q36" s="12"/>
      <c r="R36" s="15"/>
      <c r="S36" s="20"/>
      <c r="T36" s="10" t="str">
        <f t="shared" si="3"/>
        <v/>
      </c>
      <c r="U36" s="21" t="str">
        <f t="shared" si="4"/>
        <v/>
      </c>
      <c r="V36" s="15"/>
      <c r="W36" s="23">
        <f t="shared" si="5"/>
        <v>99999</v>
      </c>
      <c r="X36" s="23">
        <f t="shared" si="6"/>
        <v>99999</v>
      </c>
      <c r="Y36" s="25" t="str">
        <f t="shared" si="7"/>
        <v/>
      </c>
    </row>
    <row r="37" ht="30.0" customHeight="1">
      <c r="A37" s="26" t="str">
        <f t="shared" si="1"/>
        <v/>
      </c>
      <c r="B37" s="27"/>
      <c r="C37" s="27"/>
      <c r="D37" s="28" t="str">
        <f t="array" ref="D37">IF($C37="","",IFERROR(INDEX('Danh mục thiết bị'!$C$6:$C$65,MATCH($C37,'Danh mục thiết bị'!$B$6:$B$65,0)),"Mã TB không tồn tại"))</f>
        <v/>
      </c>
      <c r="E37" s="28" t="str">
        <f t="array" ref="E37">IF($C37="","",IFERROR(INDEX('Danh mục thiết bị'!$D$6:$D$65,MATCH($C37,'Danh mục thiết bị'!$B$6:$B$65,0)),""))</f>
        <v/>
      </c>
      <c r="F37" s="29"/>
      <c r="G37" s="27"/>
      <c r="H37" s="27"/>
      <c r="I37" s="27"/>
      <c r="J37" s="26" t="str">
        <f t="array" ref="J37">IF($B37="","",IF($I37&lt;&gt;"",$I37,IFERROR(INDEX('Cài đặt'!$B$47:$B$56,MATCH($H37,'Cài đặt'!$A$47:$A$56,0)),"")))</f>
        <v/>
      </c>
      <c r="K37" s="32"/>
      <c r="L37" s="33" t="str">
        <f>IF($B37="","",IF(SUMPRODUCT(MAX(('Nhật ký bảo trì'!$D$6:$D$405=$B37)*('Nhật ký bảo trì'!$Q$6:$Q$405="Hoàn thành")*'Nhật ký bảo trì'!$B$6:$B$405))=0,"",SUMPRODUCT(MAX(('Nhật ký bảo trì'!$D$6:$D$405=$B37)*('Nhật ký bảo trì'!$Q$6:$Q$405="Hoàn thành")*'Nhật ký bảo trì'!$B$6:$B$405))))</f>
        <v/>
      </c>
      <c r="M37" s="33" t="str">
        <f t="shared" si="2"/>
        <v/>
      </c>
      <c r="N37" s="26" t="str">
        <f>IF($M37="","",$M37-'Tổng quan'!$B$11)</f>
        <v/>
      </c>
      <c r="O37" s="26" t="str">
        <f t="array" ref="O37">IF($B37="","",IF(IFERROR(INDEX('Danh mục thiết bị'!$J$6:$J$65,MATCH($C37,'Danh mục thiết bị'!$B$6:$B$65,0)),"")="Ngừng sử dụng","Thiết bị ngừng sử dụng",IF($J37="","Chưa chọn chu kỳ",IF($M37="","Chưa có ngày áp dụng",IF($M37&lt;'Tổng quan'!$B$11,"Quá hạn "&amp;('Tổng quan'!$B$11-$M37)&amp;" ngày",IF($M37='Tổng quan'!$B$11,"Đến hạn hôm nay",IF($M37-'Tổng quan'!$B$11&lt;='Cài đặt'!$B$102,"Sắp đến hạn ("&amp;($M37-'Tổng quan'!$B$11)&amp;" ngày)","Còn "&amp;($M37-'Tổng quan'!$B$11)&amp;" ngày")))))))</f>
        <v/>
      </c>
      <c r="P37" s="34"/>
      <c r="Q37" s="31"/>
      <c r="R37" s="29"/>
      <c r="S37" s="35"/>
      <c r="T37" s="26" t="str">
        <f t="shared" si="3"/>
        <v/>
      </c>
      <c r="U37" s="36" t="str">
        <f t="shared" si="4"/>
        <v/>
      </c>
      <c r="V37" s="29"/>
      <c r="W37" s="37">
        <f t="shared" si="5"/>
        <v>99999</v>
      </c>
      <c r="X37" s="37">
        <f t="shared" si="6"/>
        <v>99999</v>
      </c>
      <c r="Y37" s="38" t="str">
        <f t="shared" si="7"/>
        <v/>
      </c>
    </row>
    <row r="38" ht="30.0" customHeight="1">
      <c r="A38" s="10" t="str">
        <f t="shared" si="1"/>
        <v/>
      </c>
      <c r="B38" s="11"/>
      <c r="C38" s="11"/>
      <c r="D38" s="14" t="str">
        <f t="array" ref="D38">IF($C38="","",IFERROR(INDEX('Danh mục thiết bị'!$C$6:$C$65,MATCH($C38,'Danh mục thiết bị'!$B$6:$B$65,0)),"Mã TB không tồn tại"))</f>
        <v/>
      </c>
      <c r="E38" s="14" t="str">
        <f t="array" ref="E38">IF($C38="","",IFERROR(INDEX('Danh mục thiết bị'!$D$6:$D$65,MATCH($C38,'Danh mục thiết bị'!$B$6:$B$65,0)),""))</f>
        <v/>
      </c>
      <c r="F38" s="15"/>
      <c r="G38" s="11"/>
      <c r="H38" s="11"/>
      <c r="I38" s="11"/>
      <c r="J38" s="10" t="str">
        <f t="array" ref="J38">IF($B38="","",IF($I38&lt;&gt;"",$I38,IFERROR(INDEX('Cài đặt'!$B$47:$B$56,MATCH($H38,'Cài đặt'!$A$47:$A$56,0)),"")))</f>
        <v/>
      </c>
      <c r="K38" s="13"/>
      <c r="L38" s="17" t="str">
        <f>IF($B38="","",IF(SUMPRODUCT(MAX(('Nhật ký bảo trì'!$D$6:$D$405=$B38)*('Nhật ký bảo trì'!$Q$6:$Q$405="Hoàn thành")*'Nhật ký bảo trì'!$B$6:$B$405))=0,"",SUMPRODUCT(MAX(('Nhật ký bảo trì'!$D$6:$D$405=$B38)*('Nhật ký bảo trì'!$Q$6:$Q$405="Hoàn thành")*'Nhật ký bảo trì'!$B$6:$B$405))))</f>
        <v/>
      </c>
      <c r="M38" s="17" t="str">
        <f t="shared" si="2"/>
        <v/>
      </c>
      <c r="N38" s="10" t="str">
        <f>IF($M38="","",$M38-'Tổng quan'!$B$11)</f>
        <v/>
      </c>
      <c r="O38" s="10" t="str">
        <f t="array" ref="O38">IF($B38="","",IF(IFERROR(INDEX('Danh mục thiết bị'!$J$6:$J$65,MATCH($C38,'Danh mục thiết bị'!$B$6:$B$65,0)),"")="Ngừng sử dụng","Thiết bị ngừng sử dụng",IF($J38="","Chưa chọn chu kỳ",IF($M38="","Chưa có ngày áp dụng",IF($M38&lt;'Tổng quan'!$B$11,"Quá hạn "&amp;('Tổng quan'!$B$11-$M38)&amp;" ngày",IF($M38='Tổng quan'!$B$11,"Đến hạn hôm nay",IF($M38-'Tổng quan'!$B$11&lt;='Cài đặt'!$B$102,"Sắp đến hạn ("&amp;($M38-'Tổng quan'!$B$11)&amp;" ngày)","Còn "&amp;($M38-'Tổng quan'!$B$11)&amp;" ngày")))))))</f>
        <v/>
      </c>
      <c r="P38" s="19"/>
      <c r="Q38" s="12"/>
      <c r="R38" s="15"/>
      <c r="S38" s="20"/>
      <c r="T38" s="10" t="str">
        <f t="shared" si="3"/>
        <v/>
      </c>
      <c r="U38" s="21" t="str">
        <f t="shared" si="4"/>
        <v/>
      </c>
      <c r="V38" s="15"/>
      <c r="W38" s="23">
        <f t="shared" si="5"/>
        <v>99999</v>
      </c>
      <c r="X38" s="23">
        <f t="shared" si="6"/>
        <v>99999</v>
      </c>
      <c r="Y38" s="25" t="str">
        <f t="shared" si="7"/>
        <v/>
      </c>
    </row>
    <row r="39" ht="30.0" customHeight="1">
      <c r="A39" s="26" t="str">
        <f t="shared" si="1"/>
        <v/>
      </c>
      <c r="B39" s="27"/>
      <c r="C39" s="27"/>
      <c r="D39" s="28" t="str">
        <f t="array" ref="D39">IF($C39="","",IFERROR(INDEX('Danh mục thiết bị'!$C$6:$C$65,MATCH($C39,'Danh mục thiết bị'!$B$6:$B$65,0)),"Mã TB không tồn tại"))</f>
        <v/>
      </c>
      <c r="E39" s="28" t="str">
        <f t="array" ref="E39">IF($C39="","",IFERROR(INDEX('Danh mục thiết bị'!$D$6:$D$65,MATCH($C39,'Danh mục thiết bị'!$B$6:$B$65,0)),""))</f>
        <v/>
      </c>
      <c r="F39" s="29"/>
      <c r="G39" s="27"/>
      <c r="H39" s="27"/>
      <c r="I39" s="27"/>
      <c r="J39" s="26" t="str">
        <f t="array" ref="J39">IF($B39="","",IF($I39&lt;&gt;"",$I39,IFERROR(INDEX('Cài đặt'!$B$47:$B$56,MATCH($H39,'Cài đặt'!$A$47:$A$56,0)),"")))</f>
        <v/>
      </c>
      <c r="K39" s="32"/>
      <c r="L39" s="33" t="str">
        <f>IF($B39="","",IF(SUMPRODUCT(MAX(('Nhật ký bảo trì'!$D$6:$D$405=$B39)*('Nhật ký bảo trì'!$Q$6:$Q$405="Hoàn thành")*'Nhật ký bảo trì'!$B$6:$B$405))=0,"",SUMPRODUCT(MAX(('Nhật ký bảo trì'!$D$6:$D$405=$B39)*('Nhật ký bảo trì'!$Q$6:$Q$405="Hoàn thành")*'Nhật ký bảo trì'!$B$6:$B$405))))</f>
        <v/>
      </c>
      <c r="M39" s="33" t="str">
        <f t="shared" si="2"/>
        <v/>
      </c>
      <c r="N39" s="26" t="str">
        <f>IF($M39="","",$M39-'Tổng quan'!$B$11)</f>
        <v/>
      </c>
      <c r="O39" s="26" t="str">
        <f t="array" ref="O39">IF($B39="","",IF(IFERROR(INDEX('Danh mục thiết bị'!$J$6:$J$65,MATCH($C39,'Danh mục thiết bị'!$B$6:$B$65,0)),"")="Ngừng sử dụng","Thiết bị ngừng sử dụng",IF($J39="","Chưa chọn chu kỳ",IF($M39="","Chưa có ngày áp dụng",IF($M39&lt;'Tổng quan'!$B$11,"Quá hạn "&amp;('Tổng quan'!$B$11-$M39)&amp;" ngày",IF($M39='Tổng quan'!$B$11,"Đến hạn hôm nay",IF($M39-'Tổng quan'!$B$11&lt;='Cài đặt'!$B$102,"Sắp đến hạn ("&amp;($M39-'Tổng quan'!$B$11)&amp;" ngày)","Còn "&amp;($M39-'Tổng quan'!$B$11)&amp;" ngày")))))))</f>
        <v/>
      </c>
      <c r="P39" s="34"/>
      <c r="Q39" s="31"/>
      <c r="R39" s="29"/>
      <c r="S39" s="35"/>
      <c r="T39" s="26" t="str">
        <f t="shared" si="3"/>
        <v/>
      </c>
      <c r="U39" s="36" t="str">
        <f t="shared" si="4"/>
        <v/>
      </c>
      <c r="V39" s="29"/>
      <c r="W39" s="37">
        <f t="shared" si="5"/>
        <v>99999</v>
      </c>
      <c r="X39" s="37">
        <f t="shared" si="6"/>
        <v>99999</v>
      </c>
      <c r="Y39" s="38" t="str">
        <f t="shared" si="7"/>
        <v/>
      </c>
    </row>
    <row r="40" ht="30.0" customHeight="1">
      <c r="A40" s="10" t="str">
        <f t="shared" si="1"/>
        <v/>
      </c>
      <c r="B40" s="11"/>
      <c r="C40" s="11"/>
      <c r="D40" s="14" t="str">
        <f t="array" ref="D40">IF($C40="","",IFERROR(INDEX('Danh mục thiết bị'!$C$6:$C$65,MATCH($C40,'Danh mục thiết bị'!$B$6:$B$65,0)),"Mã TB không tồn tại"))</f>
        <v/>
      </c>
      <c r="E40" s="14" t="str">
        <f t="array" ref="E40">IF($C40="","",IFERROR(INDEX('Danh mục thiết bị'!$D$6:$D$65,MATCH($C40,'Danh mục thiết bị'!$B$6:$B$65,0)),""))</f>
        <v/>
      </c>
      <c r="F40" s="15"/>
      <c r="G40" s="11"/>
      <c r="H40" s="11"/>
      <c r="I40" s="11"/>
      <c r="J40" s="10" t="str">
        <f t="array" ref="J40">IF($B40="","",IF($I40&lt;&gt;"",$I40,IFERROR(INDEX('Cài đặt'!$B$47:$B$56,MATCH($H40,'Cài đặt'!$A$47:$A$56,0)),"")))</f>
        <v/>
      </c>
      <c r="K40" s="13"/>
      <c r="L40" s="17" t="str">
        <f>IF($B40="","",IF(SUMPRODUCT(MAX(('Nhật ký bảo trì'!$D$6:$D$405=$B40)*('Nhật ký bảo trì'!$Q$6:$Q$405="Hoàn thành")*'Nhật ký bảo trì'!$B$6:$B$405))=0,"",SUMPRODUCT(MAX(('Nhật ký bảo trì'!$D$6:$D$405=$B40)*('Nhật ký bảo trì'!$Q$6:$Q$405="Hoàn thành")*'Nhật ký bảo trì'!$B$6:$B$405))))</f>
        <v/>
      </c>
      <c r="M40" s="17" t="str">
        <f t="shared" si="2"/>
        <v/>
      </c>
      <c r="N40" s="10" t="str">
        <f>IF($M40="","",$M40-'Tổng quan'!$B$11)</f>
        <v/>
      </c>
      <c r="O40" s="10" t="str">
        <f t="array" ref="O40">IF($B40="","",IF(IFERROR(INDEX('Danh mục thiết bị'!$J$6:$J$65,MATCH($C40,'Danh mục thiết bị'!$B$6:$B$65,0)),"")="Ngừng sử dụng","Thiết bị ngừng sử dụng",IF($J40="","Chưa chọn chu kỳ",IF($M40="","Chưa có ngày áp dụng",IF($M40&lt;'Tổng quan'!$B$11,"Quá hạn "&amp;('Tổng quan'!$B$11-$M40)&amp;" ngày",IF($M40='Tổng quan'!$B$11,"Đến hạn hôm nay",IF($M40-'Tổng quan'!$B$11&lt;='Cài đặt'!$B$102,"Sắp đến hạn ("&amp;($M40-'Tổng quan'!$B$11)&amp;" ngày)","Còn "&amp;($M40-'Tổng quan'!$B$11)&amp;" ngày")))))))</f>
        <v/>
      </c>
      <c r="P40" s="19"/>
      <c r="Q40" s="12"/>
      <c r="R40" s="15"/>
      <c r="S40" s="20"/>
      <c r="T40" s="10" t="str">
        <f t="shared" si="3"/>
        <v/>
      </c>
      <c r="U40" s="21" t="str">
        <f t="shared" si="4"/>
        <v/>
      </c>
      <c r="V40" s="15"/>
      <c r="W40" s="23">
        <f t="shared" si="5"/>
        <v>99999</v>
      </c>
      <c r="X40" s="23">
        <f t="shared" si="6"/>
        <v>99999</v>
      </c>
      <c r="Y40" s="25" t="str">
        <f t="shared" si="7"/>
        <v/>
      </c>
    </row>
    <row r="41" ht="30.0" customHeight="1">
      <c r="A41" s="26" t="str">
        <f t="shared" si="1"/>
        <v/>
      </c>
      <c r="B41" s="27"/>
      <c r="C41" s="27"/>
      <c r="D41" s="28" t="str">
        <f t="array" ref="D41">IF($C41="","",IFERROR(INDEX('Danh mục thiết bị'!$C$6:$C$65,MATCH($C41,'Danh mục thiết bị'!$B$6:$B$65,0)),"Mã TB không tồn tại"))</f>
        <v/>
      </c>
      <c r="E41" s="28" t="str">
        <f t="array" ref="E41">IF($C41="","",IFERROR(INDEX('Danh mục thiết bị'!$D$6:$D$65,MATCH($C41,'Danh mục thiết bị'!$B$6:$B$65,0)),""))</f>
        <v/>
      </c>
      <c r="F41" s="29"/>
      <c r="G41" s="27"/>
      <c r="H41" s="27"/>
      <c r="I41" s="27"/>
      <c r="J41" s="26" t="str">
        <f t="array" ref="J41">IF($B41="","",IF($I41&lt;&gt;"",$I41,IFERROR(INDEX('Cài đặt'!$B$47:$B$56,MATCH($H41,'Cài đặt'!$A$47:$A$56,0)),"")))</f>
        <v/>
      </c>
      <c r="K41" s="32"/>
      <c r="L41" s="33" t="str">
        <f>IF($B41="","",IF(SUMPRODUCT(MAX(('Nhật ký bảo trì'!$D$6:$D$405=$B41)*('Nhật ký bảo trì'!$Q$6:$Q$405="Hoàn thành")*'Nhật ký bảo trì'!$B$6:$B$405))=0,"",SUMPRODUCT(MAX(('Nhật ký bảo trì'!$D$6:$D$405=$B41)*('Nhật ký bảo trì'!$Q$6:$Q$405="Hoàn thành")*'Nhật ký bảo trì'!$B$6:$B$405))))</f>
        <v/>
      </c>
      <c r="M41" s="33" t="str">
        <f t="shared" si="2"/>
        <v/>
      </c>
      <c r="N41" s="26" t="str">
        <f>IF($M41="","",$M41-'Tổng quan'!$B$11)</f>
        <v/>
      </c>
      <c r="O41" s="26" t="str">
        <f t="array" ref="O41">IF($B41="","",IF(IFERROR(INDEX('Danh mục thiết bị'!$J$6:$J$65,MATCH($C41,'Danh mục thiết bị'!$B$6:$B$65,0)),"")="Ngừng sử dụng","Thiết bị ngừng sử dụng",IF($J41="","Chưa chọn chu kỳ",IF($M41="","Chưa có ngày áp dụng",IF($M41&lt;'Tổng quan'!$B$11,"Quá hạn "&amp;('Tổng quan'!$B$11-$M41)&amp;" ngày",IF($M41='Tổng quan'!$B$11,"Đến hạn hôm nay",IF($M41-'Tổng quan'!$B$11&lt;='Cài đặt'!$B$102,"Sắp đến hạn ("&amp;($M41-'Tổng quan'!$B$11)&amp;" ngày)","Còn "&amp;($M41-'Tổng quan'!$B$11)&amp;" ngày")))))))</f>
        <v/>
      </c>
      <c r="P41" s="34"/>
      <c r="Q41" s="31"/>
      <c r="R41" s="29"/>
      <c r="S41" s="35"/>
      <c r="T41" s="26" t="str">
        <f t="shared" si="3"/>
        <v/>
      </c>
      <c r="U41" s="36" t="str">
        <f t="shared" si="4"/>
        <v/>
      </c>
      <c r="V41" s="29"/>
      <c r="W41" s="37">
        <f t="shared" si="5"/>
        <v>99999</v>
      </c>
      <c r="X41" s="37">
        <f t="shared" si="6"/>
        <v>99999</v>
      </c>
      <c r="Y41" s="38" t="str">
        <f t="shared" si="7"/>
        <v/>
      </c>
    </row>
    <row r="42" ht="30.0" customHeight="1">
      <c r="A42" s="10" t="str">
        <f t="shared" si="1"/>
        <v/>
      </c>
      <c r="B42" s="11"/>
      <c r="C42" s="11"/>
      <c r="D42" s="14" t="str">
        <f t="array" ref="D42">IF($C42="","",IFERROR(INDEX('Danh mục thiết bị'!$C$6:$C$65,MATCH($C42,'Danh mục thiết bị'!$B$6:$B$65,0)),"Mã TB không tồn tại"))</f>
        <v/>
      </c>
      <c r="E42" s="14" t="str">
        <f t="array" ref="E42">IF($C42="","",IFERROR(INDEX('Danh mục thiết bị'!$D$6:$D$65,MATCH($C42,'Danh mục thiết bị'!$B$6:$B$65,0)),""))</f>
        <v/>
      </c>
      <c r="F42" s="15"/>
      <c r="G42" s="11"/>
      <c r="H42" s="11"/>
      <c r="I42" s="11"/>
      <c r="J42" s="10" t="str">
        <f t="array" ref="J42">IF($B42="","",IF($I42&lt;&gt;"",$I42,IFERROR(INDEX('Cài đặt'!$B$47:$B$56,MATCH($H42,'Cài đặt'!$A$47:$A$56,0)),"")))</f>
        <v/>
      </c>
      <c r="K42" s="13"/>
      <c r="L42" s="17" t="str">
        <f>IF($B42="","",IF(SUMPRODUCT(MAX(('Nhật ký bảo trì'!$D$6:$D$405=$B42)*('Nhật ký bảo trì'!$Q$6:$Q$405="Hoàn thành")*'Nhật ký bảo trì'!$B$6:$B$405))=0,"",SUMPRODUCT(MAX(('Nhật ký bảo trì'!$D$6:$D$405=$B42)*('Nhật ký bảo trì'!$Q$6:$Q$405="Hoàn thành")*'Nhật ký bảo trì'!$B$6:$B$405))))</f>
        <v/>
      </c>
      <c r="M42" s="17" t="str">
        <f t="shared" si="2"/>
        <v/>
      </c>
      <c r="N42" s="10" t="str">
        <f>IF($M42="","",$M42-'Tổng quan'!$B$11)</f>
        <v/>
      </c>
      <c r="O42" s="10" t="str">
        <f t="array" ref="O42">IF($B42="","",IF(IFERROR(INDEX('Danh mục thiết bị'!$J$6:$J$65,MATCH($C42,'Danh mục thiết bị'!$B$6:$B$65,0)),"")="Ngừng sử dụng","Thiết bị ngừng sử dụng",IF($J42="","Chưa chọn chu kỳ",IF($M42="","Chưa có ngày áp dụng",IF($M42&lt;'Tổng quan'!$B$11,"Quá hạn "&amp;('Tổng quan'!$B$11-$M42)&amp;" ngày",IF($M42='Tổng quan'!$B$11,"Đến hạn hôm nay",IF($M42-'Tổng quan'!$B$11&lt;='Cài đặt'!$B$102,"Sắp đến hạn ("&amp;($M42-'Tổng quan'!$B$11)&amp;" ngày)","Còn "&amp;($M42-'Tổng quan'!$B$11)&amp;" ngày")))))))</f>
        <v/>
      </c>
      <c r="P42" s="19"/>
      <c r="Q42" s="12"/>
      <c r="R42" s="15"/>
      <c r="S42" s="20"/>
      <c r="T42" s="10" t="str">
        <f t="shared" si="3"/>
        <v/>
      </c>
      <c r="U42" s="21" t="str">
        <f t="shared" si="4"/>
        <v/>
      </c>
      <c r="V42" s="15"/>
      <c r="W42" s="23">
        <f t="shared" si="5"/>
        <v>99999</v>
      </c>
      <c r="X42" s="23">
        <f t="shared" si="6"/>
        <v>99999</v>
      </c>
      <c r="Y42" s="25" t="str">
        <f t="shared" si="7"/>
        <v/>
      </c>
    </row>
    <row r="43" ht="30.0" customHeight="1">
      <c r="A43" s="26" t="str">
        <f t="shared" si="1"/>
        <v/>
      </c>
      <c r="B43" s="27"/>
      <c r="C43" s="27"/>
      <c r="D43" s="28" t="str">
        <f t="array" ref="D43">IF($C43="","",IFERROR(INDEX('Danh mục thiết bị'!$C$6:$C$65,MATCH($C43,'Danh mục thiết bị'!$B$6:$B$65,0)),"Mã TB không tồn tại"))</f>
        <v/>
      </c>
      <c r="E43" s="28" t="str">
        <f t="array" ref="E43">IF($C43="","",IFERROR(INDEX('Danh mục thiết bị'!$D$6:$D$65,MATCH($C43,'Danh mục thiết bị'!$B$6:$B$65,0)),""))</f>
        <v/>
      </c>
      <c r="F43" s="29"/>
      <c r="G43" s="27"/>
      <c r="H43" s="27"/>
      <c r="I43" s="27"/>
      <c r="J43" s="26" t="str">
        <f t="array" ref="J43">IF($B43="","",IF($I43&lt;&gt;"",$I43,IFERROR(INDEX('Cài đặt'!$B$47:$B$56,MATCH($H43,'Cài đặt'!$A$47:$A$56,0)),"")))</f>
        <v/>
      </c>
      <c r="K43" s="32"/>
      <c r="L43" s="33" t="str">
        <f>IF($B43="","",IF(SUMPRODUCT(MAX(('Nhật ký bảo trì'!$D$6:$D$405=$B43)*('Nhật ký bảo trì'!$Q$6:$Q$405="Hoàn thành")*'Nhật ký bảo trì'!$B$6:$B$405))=0,"",SUMPRODUCT(MAX(('Nhật ký bảo trì'!$D$6:$D$405=$B43)*('Nhật ký bảo trì'!$Q$6:$Q$405="Hoàn thành")*'Nhật ký bảo trì'!$B$6:$B$405))))</f>
        <v/>
      </c>
      <c r="M43" s="33" t="str">
        <f t="shared" si="2"/>
        <v/>
      </c>
      <c r="N43" s="26" t="str">
        <f>IF($M43="","",$M43-'Tổng quan'!$B$11)</f>
        <v/>
      </c>
      <c r="O43" s="26" t="str">
        <f t="array" ref="O43">IF($B43="","",IF(IFERROR(INDEX('Danh mục thiết bị'!$J$6:$J$65,MATCH($C43,'Danh mục thiết bị'!$B$6:$B$65,0)),"")="Ngừng sử dụng","Thiết bị ngừng sử dụng",IF($J43="","Chưa chọn chu kỳ",IF($M43="","Chưa có ngày áp dụng",IF($M43&lt;'Tổng quan'!$B$11,"Quá hạn "&amp;('Tổng quan'!$B$11-$M43)&amp;" ngày",IF($M43='Tổng quan'!$B$11,"Đến hạn hôm nay",IF($M43-'Tổng quan'!$B$11&lt;='Cài đặt'!$B$102,"Sắp đến hạn ("&amp;($M43-'Tổng quan'!$B$11)&amp;" ngày)","Còn "&amp;($M43-'Tổng quan'!$B$11)&amp;" ngày")))))))</f>
        <v/>
      </c>
      <c r="P43" s="34"/>
      <c r="Q43" s="31"/>
      <c r="R43" s="29"/>
      <c r="S43" s="35"/>
      <c r="T43" s="26" t="str">
        <f t="shared" si="3"/>
        <v/>
      </c>
      <c r="U43" s="36" t="str">
        <f t="shared" si="4"/>
        <v/>
      </c>
      <c r="V43" s="29"/>
      <c r="W43" s="37">
        <f t="shared" si="5"/>
        <v>99999</v>
      </c>
      <c r="X43" s="37">
        <f t="shared" si="6"/>
        <v>99999</v>
      </c>
      <c r="Y43" s="38" t="str">
        <f t="shared" si="7"/>
        <v/>
      </c>
    </row>
    <row r="44" ht="30.0" customHeight="1">
      <c r="A44" s="10" t="str">
        <f t="shared" si="1"/>
        <v/>
      </c>
      <c r="B44" s="11"/>
      <c r="C44" s="11"/>
      <c r="D44" s="14" t="str">
        <f t="array" ref="D44">IF($C44="","",IFERROR(INDEX('Danh mục thiết bị'!$C$6:$C$65,MATCH($C44,'Danh mục thiết bị'!$B$6:$B$65,0)),"Mã TB không tồn tại"))</f>
        <v/>
      </c>
      <c r="E44" s="14" t="str">
        <f t="array" ref="E44">IF($C44="","",IFERROR(INDEX('Danh mục thiết bị'!$D$6:$D$65,MATCH($C44,'Danh mục thiết bị'!$B$6:$B$65,0)),""))</f>
        <v/>
      </c>
      <c r="F44" s="15"/>
      <c r="G44" s="11"/>
      <c r="H44" s="11"/>
      <c r="I44" s="11"/>
      <c r="J44" s="10" t="str">
        <f t="array" ref="J44">IF($B44="","",IF($I44&lt;&gt;"",$I44,IFERROR(INDEX('Cài đặt'!$B$47:$B$56,MATCH($H44,'Cài đặt'!$A$47:$A$56,0)),"")))</f>
        <v/>
      </c>
      <c r="K44" s="13"/>
      <c r="L44" s="17" t="str">
        <f>IF($B44="","",IF(SUMPRODUCT(MAX(('Nhật ký bảo trì'!$D$6:$D$405=$B44)*('Nhật ký bảo trì'!$Q$6:$Q$405="Hoàn thành")*'Nhật ký bảo trì'!$B$6:$B$405))=0,"",SUMPRODUCT(MAX(('Nhật ký bảo trì'!$D$6:$D$405=$B44)*('Nhật ký bảo trì'!$Q$6:$Q$405="Hoàn thành")*'Nhật ký bảo trì'!$B$6:$B$405))))</f>
        <v/>
      </c>
      <c r="M44" s="17" t="str">
        <f t="shared" si="2"/>
        <v/>
      </c>
      <c r="N44" s="10" t="str">
        <f>IF($M44="","",$M44-'Tổng quan'!$B$11)</f>
        <v/>
      </c>
      <c r="O44" s="10" t="str">
        <f t="array" ref="O44">IF($B44="","",IF(IFERROR(INDEX('Danh mục thiết bị'!$J$6:$J$65,MATCH($C44,'Danh mục thiết bị'!$B$6:$B$65,0)),"")="Ngừng sử dụng","Thiết bị ngừng sử dụng",IF($J44="","Chưa chọn chu kỳ",IF($M44="","Chưa có ngày áp dụng",IF($M44&lt;'Tổng quan'!$B$11,"Quá hạn "&amp;('Tổng quan'!$B$11-$M44)&amp;" ngày",IF($M44='Tổng quan'!$B$11,"Đến hạn hôm nay",IF($M44-'Tổng quan'!$B$11&lt;='Cài đặt'!$B$102,"Sắp đến hạn ("&amp;($M44-'Tổng quan'!$B$11)&amp;" ngày)","Còn "&amp;($M44-'Tổng quan'!$B$11)&amp;" ngày")))))))</f>
        <v/>
      </c>
      <c r="P44" s="19"/>
      <c r="Q44" s="12"/>
      <c r="R44" s="15"/>
      <c r="S44" s="20"/>
      <c r="T44" s="10" t="str">
        <f t="shared" si="3"/>
        <v/>
      </c>
      <c r="U44" s="21" t="str">
        <f t="shared" si="4"/>
        <v/>
      </c>
      <c r="V44" s="15"/>
      <c r="W44" s="23">
        <f t="shared" si="5"/>
        <v>99999</v>
      </c>
      <c r="X44" s="23">
        <f t="shared" si="6"/>
        <v>99999</v>
      </c>
      <c r="Y44" s="25" t="str">
        <f t="shared" si="7"/>
        <v/>
      </c>
    </row>
    <row r="45" ht="30.0" customHeight="1">
      <c r="A45" s="26" t="str">
        <f t="shared" si="1"/>
        <v/>
      </c>
      <c r="B45" s="27"/>
      <c r="C45" s="27"/>
      <c r="D45" s="28" t="str">
        <f t="array" ref="D45">IF($C45="","",IFERROR(INDEX('Danh mục thiết bị'!$C$6:$C$65,MATCH($C45,'Danh mục thiết bị'!$B$6:$B$65,0)),"Mã TB không tồn tại"))</f>
        <v/>
      </c>
      <c r="E45" s="28" t="str">
        <f t="array" ref="E45">IF($C45="","",IFERROR(INDEX('Danh mục thiết bị'!$D$6:$D$65,MATCH($C45,'Danh mục thiết bị'!$B$6:$B$65,0)),""))</f>
        <v/>
      </c>
      <c r="F45" s="29"/>
      <c r="G45" s="27"/>
      <c r="H45" s="27"/>
      <c r="I45" s="27"/>
      <c r="J45" s="26" t="str">
        <f t="array" ref="J45">IF($B45="","",IF($I45&lt;&gt;"",$I45,IFERROR(INDEX('Cài đặt'!$B$47:$B$56,MATCH($H45,'Cài đặt'!$A$47:$A$56,0)),"")))</f>
        <v/>
      </c>
      <c r="K45" s="32"/>
      <c r="L45" s="33" t="str">
        <f>IF($B45="","",IF(SUMPRODUCT(MAX(('Nhật ký bảo trì'!$D$6:$D$405=$B45)*('Nhật ký bảo trì'!$Q$6:$Q$405="Hoàn thành")*'Nhật ký bảo trì'!$B$6:$B$405))=0,"",SUMPRODUCT(MAX(('Nhật ký bảo trì'!$D$6:$D$405=$B45)*('Nhật ký bảo trì'!$Q$6:$Q$405="Hoàn thành")*'Nhật ký bảo trì'!$B$6:$B$405))))</f>
        <v/>
      </c>
      <c r="M45" s="33" t="str">
        <f t="shared" si="2"/>
        <v/>
      </c>
      <c r="N45" s="26" t="str">
        <f>IF($M45="","",$M45-'Tổng quan'!$B$11)</f>
        <v/>
      </c>
      <c r="O45" s="26" t="str">
        <f t="array" ref="O45">IF($B45="","",IF(IFERROR(INDEX('Danh mục thiết bị'!$J$6:$J$65,MATCH($C45,'Danh mục thiết bị'!$B$6:$B$65,0)),"")="Ngừng sử dụng","Thiết bị ngừng sử dụng",IF($J45="","Chưa chọn chu kỳ",IF($M45="","Chưa có ngày áp dụng",IF($M45&lt;'Tổng quan'!$B$11,"Quá hạn "&amp;('Tổng quan'!$B$11-$M45)&amp;" ngày",IF($M45='Tổng quan'!$B$11,"Đến hạn hôm nay",IF($M45-'Tổng quan'!$B$11&lt;='Cài đặt'!$B$102,"Sắp đến hạn ("&amp;($M45-'Tổng quan'!$B$11)&amp;" ngày)","Còn "&amp;($M45-'Tổng quan'!$B$11)&amp;" ngày")))))))</f>
        <v/>
      </c>
      <c r="P45" s="34"/>
      <c r="Q45" s="31"/>
      <c r="R45" s="29"/>
      <c r="S45" s="35"/>
      <c r="T45" s="26" t="str">
        <f t="shared" si="3"/>
        <v/>
      </c>
      <c r="U45" s="36" t="str">
        <f t="shared" si="4"/>
        <v/>
      </c>
      <c r="V45" s="29"/>
      <c r="W45" s="37">
        <f t="shared" si="5"/>
        <v>99999</v>
      </c>
      <c r="X45" s="37">
        <f t="shared" si="6"/>
        <v>99999</v>
      </c>
      <c r="Y45" s="38" t="str">
        <f t="shared" si="7"/>
        <v/>
      </c>
    </row>
    <row r="46" ht="30.0" customHeight="1">
      <c r="A46" s="10" t="str">
        <f t="shared" si="1"/>
        <v/>
      </c>
      <c r="B46" s="11"/>
      <c r="C46" s="11"/>
      <c r="D46" s="14" t="str">
        <f t="array" ref="D46">IF($C46="","",IFERROR(INDEX('Danh mục thiết bị'!$C$6:$C$65,MATCH($C46,'Danh mục thiết bị'!$B$6:$B$65,0)),"Mã TB không tồn tại"))</f>
        <v/>
      </c>
      <c r="E46" s="14" t="str">
        <f t="array" ref="E46">IF($C46="","",IFERROR(INDEX('Danh mục thiết bị'!$D$6:$D$65,MATCH($C46,'Danh mục thiết bị'!$B$6:$B$65,0)),""))</f>
        <v/>
      </c>
      <c r="F46" s="15"/>
      <c r="G46" s="11"/>
      <c r="H46" s="11"/>
      <c r="I46" s="11"/>
      <c r="J46" s="10" t="str">
        <f t="array" ref="J46">IF($B46="","",IF($I46&lt;&gt;"",$I46,IFERROR(INDEX('Cài đặt'!$B$47:$B$56,MATCH($H46,'Cài đặt'!$A$47:$A$56,0)),"")))</f>
        <v/>
      </c>
      <c r="K46" s="13"/>
      <c r="L46" s="17" t="str">
        <f>IF($B46="","",IF(SUMPRODUCT(MAX(('Nhật ký bảo trì'!$D$6:$D$405=$B46)*('Nhật ký bảo trì'!$Q$6:$Q$405="Hoàn thành")*'Nhật ký bảo trì'!$B$6:$B$405))=0,"",SUMPRODUCT(MAX(('Nhật ký bảo trì'!$D$6:$D$405=$B46)*('Nhật ký bảo trì'!$Q$6:$Q$405="Hoàn thành")*'Nhật ký bảo trì'!$B$6:$B$405))))</f>
        <v/>
      </c>
      <c r="M46" s="17" t="str">
        <f t="shared" si="2"/>
        <v/>
      </c>
      <c r="N46" s="10" t="str">
        <f>IF($M46="","",$M46-'Tổng quan'!$B$11)</f>
        <v/>
      </c>
      <c r="O46" s="10" t="str">
        <f t="array" ref="O46">IF($B46="","",IF(IFERROR(INDEX('Danh mục thiết bị'!$J$6:$J$65,MATCH($C46,'Danh mục thiết bị'!$B$6:$B$65,0)),"")="Ngừng sử dụng","Thiết bị ngừng sử dụng",IF($J46="","Chưa chọn chu kỳ",IF($M46="","Chưa có ngày áp dụng",IF($M46&lt;'Tổng quan'!$B$11,"Quá hạn "&amp;('Tổng quan'!$B$11-$M46)&amp;" ngày",IF($M46='Tổng quan'!$B$11,"Đến hạn hôm nay",IF($M46-'Tổng quan'!$B$11&lt;='Cài đặt'!$B$102,"Sắp đến hạn ("&amp;($M46-'Tổng quan'!$B$11)&amp;" ngày)","Còn "&amp;($M46-'Tổng quan'!$B$11)&amp;" ngày")))))))</f>
        <v/>
      </c>
      <c r="P46" s="19"/>
      <c r="Q46" s="12"/>
      <c r="R46" s="15"/>
      <c r="S46" s="20"/>
      <c r="T46" s="10" t="str">
        <f t="shared" si="3"/>
        <v/>
      </c>
      <c r="U46" s="21" t="str">
        <f t="shared" si="4"/>
        <v/>
      </c>
      <c r="V46" s="15"/>
      <c r="W46" s="23">
        <f t="shared" si="5"/>
        <v>99999</v>
      </c>
      <c r="X46" s="23">
        <f t="shared" si="6"/>
        <v>99999</v>
      </c>
      <c r="Y46" s="25" t="str">
        <f t="shared" si="7"/>
        <v/>
      </c>
    </row>
    <row r="47" ht="30.0" customHeight="1">
      <c r="A47" s="26" t="str">
        <f t="shared" si="1"/>
        <v/>
      </c>
      <c r="B47" s="27"/>
      <c r="C47" s="27"/>
      <c r="D47" s="28" t="str">
        <f t="array" ref="D47">IF($C47="","",IFERROR(INDEX('Danh mục thiết bị'!$C$6:$C$65,MATCH($C47,'Danh mục thiết bị'!$B$6:$B$65,0)),"Mã TB không tồn tại"))</f>
        <v/>
      </c>
      <c r="E47" s="28" t="str">
        <f t="array" ref="E47">IF($C47="","",IFERROR(INDEX('Danh mục thiết bị'!$D$6:$D$65,MATCH($C47,'Danh mục thiết bị'!$B$6:$B$65,0)),""))</f>
        <v/>
      </c>
      <c r="F47" s="29"/>
      <c r="G47" s="27"/>
      <c r="H47" s="27"/>
      <c r="I47" s="27"/>
      <c r="J47" s="26" t="str">
        <f t="array" ref="J47">IF($B47="","",IF($I47&lt;&gt;"",$I47,IFERROR(INDEX('Cài đặt'!$B$47:$B$56,MATCH($H47,'Cài đặt'!$A$47:$A$56,0)),"")))</f>
        <v/>
      </c>
      <c r="K47" s="32"/>
      <c r="L47" s="33" t="str">
        <f>IF($B47="","",IF(SUMPRODUCT(MAX(('Nhật ký bảo trì'!$D$6:$D$405=$B47)*('Nhật ký bảo trì'!$Q$6:$Q$405="Hoàn thành")*'Nhật ký bảo trì'!$B$6:$B$405))=0,"",SUMPRODUCT(MAX(('Nhật ký bảo trì'!$D$6:$D$405=$B47)*('Nhật ký bảo trì'!$Q$6:$Q$405="Hoàn thành")*'Nhật ký bảo trì'!$B$6:$B$405))))</f>
        <v/>
      </c>
      <c r="M47" s="33" t="str">
        <f t="shared" si="2"/>
        <v/>
      </c>
      <c r="N47" s="26" t="str">
        <f>IF($M47="","",$M47-'Tổng quan'!$B$11)</f>
        <v/>
      </c>
      <c r="O47" s="26" t="str">
        <f t="array" ref="O47">IF($B47="","",IF(IFERROR(INDEX('Danh mục thiết bị'!$J$6:$J$65,MATCH($C47,'Danh mục thiết bị'!$B$6:$B$65,0)),"")="Ngừng sử dụng","Thiết bị ngừng sử dụng",IF($J47="","Chưa chọn chu kỳ",IF($M47="","Chưa có ngày áp dụng",IF($M47&lt;'Tổng quan'!$B$11,"Quá hạn "&amp;('Tổng quan'!$B$11-$M47)&amp;" ngày",IF($M47='Tổng quan'!$B$11,"Đến hạn hôm nay",IF($M47-'Tổng quan'!$B$11&lt;='Cài đặt'!$B$102,"Sắp đến hạn ("&amp;($M47-'Tổng quan'!$B$11)&amp;" ngày)","Còn "&amp;($M47-'Tổng quan'!$B$11)&amp;" ngày")))))))</f>
        <v/>
      </c>
      <c r="P47" s="34"/>
      <c r="Q47" s="31"/>
      <c r="R47" s="29"/>
      <c r="S47" s="35"/>
      <c r="T47" s="26" t="str">
        <f t="shared" si="3"/>
        <v/>
      </c>
      <c r="U47" s="36" t="str">
        <f t="shared" si="4"/>
        <v/>
      </c>
      <c r="V47" s="29"/>
      <c r="W47" s="37">
        <f t="shared" si="5"/>
        <v>99999</v>
      </c>
      <c r="X47" s="37">
        <f t="shared" si="6"/>
        <v>99999</v>
      </c>
      <c r="Y47" s="38" t="str">
        <f t="shared" si="7"/>
        <v/>
      </c>
    </row>
    <row r="48" ht="30.0" customHeight="1">
      <c r="A48" s="10" t="str">
        <f t="shared" si="1"/>
        <v/>
      </c>
      <c r="B48" s="11"/>
      <c r="C48" s="11"/>
      <c r="D48" s="14" t="str">
        <f t="array" ref="D48">IF($C48="","",IFERROR(INDEX('Danh mục thiết bị'!$C$6:$C$65,MATCH($C48,'Danh mục thiết bị'!$B$6:$B$65,0)),"Mã TB không tồn tại"))</f>
        <v/>
      </c>
      <c r="E48" s="14" t="str">
        <f t="array" ref="E48">IF($C48="","",IFERROR(INDEX('Danh mục thiết bị'!$D$6:$D$65,MATCH($C48,'Danh mục thiết bị'!$B$6:$B$65,0)),""))</f>
        <v/>
      </c>
      <c r="F48" s="15"/>
      <c r="G48" s="11"/>
      <c r="H48" s="11"/>
      <c r="I48" s="11"/>
      <c r="J48" s="10" t="str">
        <f t="array" ref="J48">IF($B48="","",IF($I48&lt;&gt;"",$I48,IFERROR(INDEX('Cài đặt'!$B$47:$B$56,MATCH($H48,'Cài đặt'!$A$47:$A$56,0)),"")))</f>
        <v/>
      </c>
      <c r="K48" s="13"/>
      <c r="L48" s="17" t="str">
        <f>IF($B48="","",IF(SUMPRODUCT(MAX(('Nhật ký bảo trì'!$D$6:$D$405=$B48)*('Nhật ký bảo trì'!$Q$6:$Q$405="Hoàn thành")*'Nhật ký bảo trì'!$B$6:$B$405))=0,"",SUMPRODUCT(MAX(('Nhật ký bảo trì'!$D$6:$D$405=$B48)*('Nhật ký bảo trì'!$Q$6:$Q$405="Hoàn thành")*'Nhật ký bảo trì'!$B$6:$B$405))))</f>
        <v/>
      </c>
      <c r="M48" s="17" t="str">
        <f t="shared" si="2"/>
        <v/>
      </c>
      <c r="N48" s="10" t="str">
        <f>IF($M48="","",$M48-'Tổng quan'!$B$11)</f>
        <v/>
      </c>
      <c r="O48" s="10" t="str">
        <f t="array" ref="O48">IF($B48="","",IF(IFERROR(INDEX('Danh mục thiết bị'!$J$6:$J$65,MATCH($C48,'Danh mục thiết bị'!$B$6:$B$65,0)),"")="Ngừng sử dụng","Thiết bị ngừng sử dụng",IF($J48="","Chưa chọn chu kỳ",IF($M48="","Chưa có ngày áp dụng",IF($M48&lt;'Tổng quan'!$B$11,"Quá hạn "&amp;('Tổng quan'!$B$11-$M48)&amp;" ngày",IF($M48='Tổng quan'!$B$11,"Đến hạn hôm nay",IF($M48-'Tổng quan'!$B$11&lt;='Cài đặt'!$B$102,"Sắp đến hạn ("&amp;($M48-'Tổng quan'!$B$11)&amp;" ngày)","Còn "&amp;($M48-'Tổng quan'!$B$11)&amp;" ngày")))))))</f>
        <v/>
      </c>
      <c r="P48" s="19"/>
      <c r="Q48" s="12"/>
      <c r="R48" s="15"/>
      <c r="S48" s="20"/>
      <c r="T48" s="10" t="str">
        <f t="shared" si="3"/>
        <v/>
      </c>
      <c r="U48" s="21" t="str">
        <f t="shared" si="4"/>
        <v/>
      </c>
      <c r="V48" s="15"/>
      <c r="W48" s="23">
        <f t="shared" si="5"/>
        <v>99999</v>
      </c>
      <c r="X48" s="23">
        <f t="shared" si="6"/>
        <v>99999</v>
      </c>
      <c r="Y48" s="25" t="str">
        <f t="shared" si="7"/>
        <v/>
      </c>
    </row>
    <row r="49" ht="30.0" customHeight="1">
      <c r="A49" s="26" t="str">
        <f t="shared" si="1"/>
        <v/>
      </c>
      <c r="B49" s="27"/>
      <c r="C49" s="27"/>
      <c r="D49" s="28" t="str">
        <f t="array" ref="D49">IF($C49="","",IFERROR(INDEX('Danh mục thiết bị'!$C$6:$C$65,MATCH($C49,'Danh mục thiết bị'!$B$6:$B$65,0)),"Mã TB không tồn tại"))</f>
        <v/>
      </c>
      <c r="E49" s="28" t="str">
        <f t="array" ref="E49">IF($C49="","",IFERROR(INDEX('Danh mục thiết bị'!$D$6:$D$65,MATCH($C49,'Danh mục thiết bị'!$B$6:$B$65,0)),""))</f>
        <v/>
      </c>
      <c r="F49" s="29"/>
      <c r="G49" s="27"/>
      <c r="H49" s="27"/>
      <c r="I49" s="27"/>
      <c r="J49" s="26" t="str">
        <f t="array" ref="J49">IF($B49="","",IF($I49&lt;&gt;"",$I49,IFERROR(INDEX('Cài đặt'!$B$47:$B$56,MATCH($H49,'Cài đặt'!$A$47:$A$56,0)),"")))</f>
        <v/>
      </c>
      <c r="K49" s="32"/>
      <c r="L49" s="33" t="str">
        <f>IF($B49="","",IF(SUMPRODUCT(MAX(('Nhật ký bảo trì'!$D$6:$D$405=$B49)*('Nhật ký bảo trì'!$Q$6:$Q$405="Hoàn thành")*'Nhật ký bảo trì'!$B$6:$B$405))=0,"",SUMPRODUCT(MAX(('Nhật ký bảo trì'!$D$6:$D$405=$B49)*('Nhật ký bảo trì'!$Q$6:$Q$405="Hoàn thành")*'Nhật ký bảo trì'!$B$6:$B$405))))</f>
        <v/>
      </c>
      <c r="M49" s="33" t="str">
        <f t="shared" si="2"/>
        <v/>
      </c>
      <c r="N49" s="26" t="str">
        <f>IF($M49="","",$M49-'Tổng quan'!$B$11)</f>
        <v/>
      </c>
      <c r="O49" s="26" t="str">
        <f t="array" ref="O49">IF($B49="","",IF(IFERROR(INDEX('Danh mục thiết bị'!$J$6:$J$65,MATCH($C49,'Danh mục thiết bị'!$B$6:$B$65,0)),"")="Ngừng sử dụng","Thiết bị ngừng sử dụng",IF($J49="","Chưa chọn chu kỳ",IF($M49="","Chưa có ngày áp dụng",IF($M49&lt;'Tổng quan'!$B$11,"Quá hạn "&amp;('Tổng quan'!$B$11-$M49)&amp;" ngày",IF($M49='Tổng quan'!$B$11,"Đến hạn hôm nay",IF($M49-'Tổng quan'!$B$11&lt;='Cài đặt'!$B$102,"Sắp đến hạn ("&amp;($M49-'Tổng quan'!$B$11)&amp;" ngày)","Còn "&amp;($M49-'Tổng quan'!$B$11)&amp;" ngày")))))))</f>
        <v/>
      </c>
      <c r="P49" s="34"/>
      <c r="Q49" s="31"/>
      <c r="R49" s="29"/>
      <c r="S49" s="35"/>
      <c r="T49" s="26" t="str">
        <f t="shared" si="3"/>
        <v/>
      </c>
      <c r="U49" s="36" t="str">
        <f t="shared" si="4"/>
        <v/>
      </c>
      <c r="V49" s="29"/>
      <c r="W49" s="37">
        <f t="shared" si="5"/>
        <v>99999</v>
      </c>
      <c r="X49" s="37">
        <f t="shared" si="6"/>
        <v>99999</v>
      </c>
      <c r="Y49" s="38" t="str">
        <f t="shared" si="7"/>
        <v/>
      </c>
    </row>
    <row r="50" ht="30.0" customHeight="1">
      <c r="A50" s="10" t="str">
        <f t="shared" si="1"/>
        <v/>
      </c>
      <c r="B50" s="11"/>
      <c r="C50" s="11"/>
      <c r="D50" s="14" t="str">
        <f t="array" ref="D50">IF($C50="","",IFERROR(INDEX('Danh mục thiết bị'!$C$6:$C$65,MATCH($C50,'Danh mục thiết bị'!$B$6:$B$65,0)),"Mã TB không tồn tại"))</f>
        <v/>
      </c>
      <c r="E50" s="14" t="str">
        <f t="array" ref="E50">IF($C50="","",IFERROR(INDEX('Danh mục thiết bị'!$D$6:$D$65,MATCH($C50,'Danh mục thiết bị'!$B$6:$B$65,0)),""))</f>
        <v/>
      </c>
      <c r="F50" s="15"/>
      <c r="G50" s="11"/>
      <c r="H50" s="11"/>
      <c r="I50" s="11"/>
      <c r="J50" s="10" t="str">
        <f t="array" ref="J50">IF($B50="","",IF($I50&lt;&gt;"",$I50,IFERROR(INDEX('Cài đặt'!$B$47:$B$56,MATCH($H50,'Cài đặt'!$A$47:$A$56,0)),"")))</f>
        <v/>
      </c>
      <c r="K50" s="13"/>
      <c r="L50" s="17" t="str">
        <f>IF($B50="","",IF(SUMPRODUCT(MAX(('Nhật ký bảo trì'!$D$6:$D$405=$B50)*('Nhật ký bảo trì'!$Q$6:$Q$405="Hoàn thành")*'Nhật ký bảo trì'!$B$6:$B$405))=0,"",SUMPRODUCT(MAX(('Nhật ký bảo trì'!$D$6:$D$405=$B50)*('Nhật ký bảo trì'!$Q$6:$Q$405="Hoàn thành")*'Nhật ký bảo trì'!$B$6:$B$405))))</f>
        <v/>
      </c>
      <c r="M50" s="17" t="str">
        <f t="shared" si="2"/>
        <v/>
      </c>
      <c r="N50" s="10" t="str">
        <f>IF($M50="","",$M50-'Tổng quan'!$B$11)</f>
        <v/>
      </c>
      <c r="O50" s="10" t="str">
        <f t="array" ref="O50">IF($B50="","",IF(IFERROR(INDEX('Danh mục thiết bị'!$J$6:$J$65,MATCH($C50,'Danh mục thiết bị'!$B$6:$B$65,0)),"")="Ngừng sử dụng","Thiết bị ngừng sử dụng",IF($J50="","Chưa chọn chu kỳ",IF($M50="","Chưa có ngày áp dụng",IF($M50&lt;'Tổng quan'!$B$11,"Quá hạn "&amp;('Tổng quan'!$B$11-$M50)&amp;" ngày",IF($M50='Tổng quan'!$B$11,"Đến hạn hôm nay",IF($M50-'Tổng quan'!$B$11&lt;='Cài đặt'!$B$102,"Sắp đến hạn ("&amp;($M50-'Tổng quan'!$B$11)&amp;" ngày)","Còn "&amp;($M50-'Tổng quan'!$B$11)&amp;" ngày")))))))</f>
        <v/>
      </c>
      <c r="P50" s="19"/>
      <c r="Q50" s="12"/>
      <c r="R50" s="15"/>
      <c r="S50" s="20"/>
      <c r="T50" s="10" t="str">
        <f t="shared" si="3"/>
        <v/>
      </c>
      <c r="U50" s="21" t="str">
        <f t="shared" si="4"/>
        <v/>
      </c>
      <c r="V50" s="15"/>
      <c r="W50" s="23">
        <f t="shared" si="5"/>
        <v>99999</v>
      </c>
      <c r="X50" s="23">
        <f t="shared" si="6"/>
        <v>99999</v>
      </c>
      <c r="Y50" s="25" t="str">
        <f t="shared" si="7"/>
        <v/>
      </c>
    </row>
    <row r="51" ht="30.0" customHeight="1">
      <c r="A51" s="26" t="str">
        <f t="shared" si="1"/>
        <v/>
      </c>
      <c r="B51" s="27"/>
      <c r="C51" s="27"/>
      <c r="D51" s="28" t="str">
        <f t="array" ref="D51">IF($C51="","",IFERROR(INDEX('Danh mục thiết bị'!$C$6:$C$65,MATCH($C51,'Danh mục thiết bị'!$B$6:$B$65,0)),"Mã TB không tồn tại"))</f>
        <v/>
      </c>
      <c r="E51" s="28" t="str">
        <f t="array" ref="E51">IF($C51="","",IFERROR(INDEX('Danh mục thiết bị'!$D$6:$D$65,MATCH($C51,'Danh mục thiết bị'!$B$6:$B$65,0)),""))</f>
        <v/>
      </c>
      <c r="F51" s="29"/>
      <c r="G51" s="27"/>
      <c r="H51" s="27"/>
      <c r="I51" s="27"/>
      <c r="J51" s="26" t="str">
        <f t="array" ref="J51">IF($B51="","",IF($I51&lt;&gt;"",$I51,IFERROR(INDEX('Cài đặt'!$B$47:$B$56,MATCH($H51,'Cài đặt'!$A$47:$A$56,0)),"")))</f>
        <v/>
      </c>
      <c r="K51" s="32"/>
      <c r="L51" s="33" t="str">
        <f>IF($B51="","",IF(SUMPRODUCT(MAX(('Nhật ký bảo trì'!$D$6:$D$405=$B51)*('Nhật ký bảo trì'!$Q$6:$Q$405="Hoàn thành")*'Nhật ký bảo trì'!$B$6:$B$405))=0,"",SUMPRODUCT(MAX(('Nhật ký bảo trì'!$D$6:$D$405=$B51)*('Nhật ký bảo trì'!$Q$6:$Q$405="Hoàn thành")*'Nhật ký bảo trì'!$B$6:$B$405))))</f>
        <v/>
      </c>
      <c r="M51" s="33" t="str">
        <f t="shared" si="2"/>
        <v/>
      </c>
      <c r="N51" s="26" t="str">
        <f>IF($M51="","",$M51-'Tổng quan'!$B$11)</f>
        <v/>
      </c>
      <c r="O51" s="26" t="str">
        <f t="array" ref="O51">IF($B51="","",IF(IFERROR(INDEX('Danh mục thiết bị'!$J$6:$J$65,MATCH($C51,'Danh mục thiết bị'!$B$6:$B$65,0)),"")="Ngừng sử dụng","Thiết bị ngừng sử dụng",IF($J51="","Chưa chọn chu kỳ",IF($M51="","Chưa có ngày áp dụng",IF($M51&lt;'Tổng quan'!$B$11,"Quá hạn "&amp;('Tổng quan'!$B$11-$M51)&amp;" ngày",IF($M51='Tổng quan'!$B$11,"Đến hạn hôm nay",IF($M51-'Tổng quan'!$B$11&lt;='Cài đặt'!$B$102,"Sắp đến hạn ("&amp;($M51-'Tổng quan'!$B$11)&amp;" ngày)","Còn "&amp;($M51-'Tổng quan'!$B$11)&amp;" ngày")))))))</f>
        <v/>
      </c>
      <c r="P51" s="34"/>
      <c r="Q51" s="31"/>
      <c r="R51" s="29"/>
      <c r="S51" s="35"/>
      <c r="T51" s="26" t="str">
        <f t="shared" si="3"/>
        <v/>
      </c>
      <c r="U51" s="36" t="str">
        <f t="shared" si="4"/>
        <v/>
      </c>
      <c r="V51" s="29"/>
      <c r="W51" s="37">
        <f t="shared" si="5"/>
        <v>99999</v>
      </c>
      <c r="X51" s="37">
        <f t="shared" si="6"/>
        <v>99999</v>
      </c>
      <c r="Y51" s="38" t="str">
        <f t="shared" si="7"/>
        <v/>
      </c>
    </row>
    <row r="52" ht="30.0" customHeight="1">
      <c r="A52" s="10" t="str">
        <f t="shared" si="1"/>
        <v/>
      </c>
      <c r="B52" s="11"/>
      <c r="C52" s="11"/>
      <c r="D52" s="14" t="str">
        <f t="array" ref="D52">IF($C52="","",IFERROR(INDEX('Danh mục thiết bị'!$C$6:$C$65,MATCH($C52,'Danh mục thiết bị'!$B$6:$B$65,0)),"Mã TB không tồn tại"))</f>
        <v/>
      </c>
      <c r="E52" s="14" t="str">
        <f t="array" ref="E52">IF($C52="","",IFERROR(INDEX('Danh mục thiết bị'!$D$6:$D$65,MATCH($C52,'Danh mục thiết bị'!$B$6:$B$65,0)),""))</f>
        <v/>
      </c>
      <c r="F52" s="15"/>
      <c r="G52" s="11"/>
      <c r="H52" s="11"/>
      <c r="I52" s="11"/>
      <c r="J52" s="10" t="str">
        <f t="array" ref="J52">IF($B52="","",IF($I52&lt;&gt;"",$I52,IFERROR(INDEX('Cài đặt'!$B$47:$B$56,MATCH($H52,'Cài đặt'!$A$47:$A$56,0)),"")))</f>
        <v/>
      </c>
      <c r="K52" s="13"/>
      <c r="L52" s="17" t="str">
        <f>IF($B52="","",IF(SUMPRODUCT(MAX(('Nhật ký bảo trì'!$D$6:$D$405=$B52)*('Nhật ký bảo trì'!$Q$6:$Q$405="Hoàn thành")*'Nhật ký bảo trì'!$B$6:$B$405))=0,"",SUMPRODUCT(MAX(('Nhật ký bảo trì'!$D$6:$D$405=$B52)*('Nhật ký bảo trì'!$Q$6:$Q$405="Hoàn thành")*'Nhật ký bảo trì'!$B$6:$B$405))))</f>
        <v/>
      </c>
      <c r="M52" s="17" t="str">
        <f t="shared" si="2"/>
        <v/>
      </c>
      <c r="N52" s="10" t="str">
        <f>IF($M52="","",$M52-'Tổng quan'!$B$11)</f>
        <v/>
      </c>
      <c r="O52" s="10" t="str">
        <f t="array" ref="O52">IF($B52="","",IF(IFERROR(INDEX('Danh mục thiết bị'!$J$6:$J$65,MATCH($C52,'Danh mục thiết bị'!$B$6:$B$65,0)),"")="Ngừng sử dụng","Thiết bị ngừng sử dụng",IF($J52="","Chưa chọn chu kỳ",IF($M52="","Chưa có ngày áp dụng",IF($M52&lt;'Tổng quan'!$B$11,"Quá hạn "&amp;('Tổng quan'!$B$11-$M52)&amp;" ngày",IF($M52='Tổng quan'!$B$11,"Đến hạn hôm nay",IF($M52-'Tổng quan'!$B$11&lt;='Cài đặt'!$B$102,"Sắp đến hạn ("&amp;($M52-'Tổng quan'!$B$11)&amp;" ngày)","Còn "&amp;($M52-'Tổng quan'!$B$11)&amp;" ngày")))))))</f>
        <v/>
      </c>
      <c r="P52" s="19"/>
      <c r="Q52" s="12"/>
      <c r="R52" s="15"/>
      <c r="S52" s="20"/>
      <c r="T52" s="10" t="str">
        <f t="shared" si="3"/>
        <v/>
      </c>
      <c r="U52" s="21" t="str">
        <f t="shared" si="4"/>
        <v/>
      </c>
      <c r="V52" s="15"/>
      <c r="W52" s="23">
        <f t="shared" si="5"/>
        <v>99999</v>
      </c>
      <c r="X52" s="23">
        <f t="shared" si="6"/>
        <v>99999</v>
      </c>
      <c r="Y52" s="25" t="str">
        <f t="shared" si="7"/>
        <v/>
      </c>
    </row>
    <row r="53" ht="30.0" customHeight="1">
      <c r="A53" s="26" t="str">
        <f t="shared" si="1"/>
        <v/>
      </c>
      <c r="B53" s="27"/>
      <c r="C53" s="27"/>
      <c r="D53" s="28" t="str">
        <f t="array" ref="D53">IF($C53="","",IFERROR(INDEX('Danh mục thiết bị'!$C$6:$C$65,MATCH($C53,'Danh mục thiết bị'!$B$6:$B$65,0)),"Mã TB không tồn tại"))</f>
        <v/>
      </c>
      <c r="E53" s="28" t="str">
        <f t="array" ref="E53">IF($C53="","",IFERROR(INDEX('Danh mục thiết bị'!$D$6:$D$65,MATCH($C53,'Danh mục thiết bị'!$B$6:$B$65,0)),""))</f>
        <v/>
      </c>
      <c r="F53" s="29"/>
      <c r="G53" s="27"/>
      <c r="H53" s="27"/>
      <c r="I53" s="27"/>
      <c r="J53" s="26" t="str">
        <f t="array" ref="J53">IF($B53="","",IF($I53&lt;&gt;"",$I53,IFERROR(INDEX('Cài đặt'!$B$47:$B$56,MATCH($H53,'Cài đặt'!$A$47:$A$56,0)),"")))</f>
        <v/>
      </c>
      <c r="K53" s="32"/>
      <c r="L53" s="33" t="str">
        <f>IF($B53="","",IF(SUMPRODUCT(MAX(('Nhật ký bảo trì'!$D$6:$D$405=$B53)*('Nhật ký bảo trì'!$Q$6:$Q$405="Hoàn thành")*'Nhật ký bảo trì'!$B$6:$B$405))=0,"",SUMPRODUCT(MAX(('Nhật ký bảo trì'!$D$6:$D$405=$B53)*('Nhật ký bảo trì'!$Q$6:$Q$405="Hoàn thành")*'Nhật ký bảo trì'!$B$6:$B$405))))</f>
        <v/>
      </c>
      <c r="M53" s="33" t="str">
        <f t="shared" si="2"/>
        <v/>
      </c>
      <c r="N53" s="26" t="str">
        <f>IF($M53="","",$M53-'Tổng quan'!$B$11)</f>
        <v/>
      </c>
      <c r="O53" s="26" t="str">
        <f t="array" ref="O53">IF($B53="","",IF(IFERROR(INDEX('Danh mục thiết bị'!$J$6:$J$65,MATCH($C53,'Danh mục thiết bị'!$B$6:$B$65,0)),"")="Ngừng sử dụng","Thiết bị ngừng sử dụng",IF($J53="","Chưa chọn chu kỳ",IF($M53="","Chưa có ngày áp dụng",IF($M53&lt;'Tổng quan'!$B$11,"Quá hạn "&amp;('Tổng quan'!$B$11-$M53)&amp;" ngày",IF($M53='Tổng quan'!$B$11,"Đến hạn hôm nay",IF($M53-'Tổng quan'!$B$11&lt;='Cài đặt'!$B$102,"Sắp đến hạn ("&amp;($M53-'Tổng quan'!$B$11)&amp;" ngày)","Còn "&amp;($M53-'Tổng quan'!$B$11)&amp;" ngày")))))))</f>
        <v/>
      </c>
      <c r="P53" s="34"/>
      <c r="Q53" s="31"/>
      <c r="R53" s="29"/>
      <c r="S53" s="35"/>
      <c r="T53" s="26" t="str">
        <f t="shared" si="3"/>
        <v/>
      </c>
      <c r="U53" s="36" t="str">
        <f t="shared" si="4"/>
        <v/>
      </c>
      <c r="V53" s="29"/>
      <c r="W53" s="37">
        <f t="shared" si="5"/>
        <v>99999</v>
      </c>
      <c r="X53" s="37">
        <f t="shared" si="6"/>
        <v>99999</v>
      </c>
      <c r="Y53" s="38" t="str">
        <f t="shared" si="7"/>
        <v/>
      </c>
    </row>
    <row r="54" ht="30.0" customHeight="1">
      <c r="A54" s="10" t="str">
        <f t="shared" si="1"/>
        <v/>
      </c>
      <c r="B54" s="11"/>
      <c r="C54" s="11"/>
      <c r="D54" s="14" t="str">
        <f t="array" ref="D54">IF($C54="","",IFERROR(INDEX('Danh mục thiết bị'!$C$6:$C$65,MATCH($C54,'Danh mục thiết bị'!$B$6:$B$65,0)),"Mã TB không tồn tại"))</f>
        <v/>
      </c>
      <c r="E54" s="14" t="str">
        <f t="array" ref="E54">IF($C54="","",IFERROR(INDEX('Danh mục thiết bị'!$D$6:$D$65,MATCH($C54,'Danh mục thiết bị'!$B$6:$B$65,0)),""))</f>
        <v/>
      </c>
      <c r="F54" s="15"/>
      <c r="G54" s="11"/>
      <c r="H54" s="11"/>
      <c r="I54" s="11"/>
      <c r="J54" s="10" t="str">
        <f t="array" ref="J54">IF($B54="","",IF($I54&lt;&gt;"",$I54,IFERROR(INDEX('Cài đặt'!$B$47:$B$56,MATCH($H54,'Cài đặt'!$A$47:$A$56,0)),"")))</f>
        <v/>
      </c>
      <c r="K54" s="13"/>
      <c r="L54" s="17" t="str">
        <f>IF($B54="","",IF(SUMPRODUCT(MAX(('Nhật ký bảo trì'!$D$6:$D$405=$B54)*('Nhật ký bảo trì'!$Q$6:$Q$405="Hoàn thành")*'Nhật ký bảo trì'!$B$6:$B$405))=0,"",SUMPRODUCT(MAX(('Nhật ký bảo trì'!$D$6:$D$405=$B54)*('Nhật ký bảo trì'!$Q$6:$Q$405="Hoàn thành")*'Nhật ký bảo trì'!$B$6:$B$405))))</f>
        <v/>
      </c>
      <c r="M54" s="17" t="str">
        <f t="shared" si="2"/>
        <v/>
      </c>
      <c r="N54" s="10" t="str">
        <f>IF($M54="","",$M54-'Tổng quan'!$B$11)</f>
        <v/>
      </c>
      <c r="O54" s="10" t="str">
        <f t="array" ref="O54">IF($B54="","",IF(IFERROR(INDEX('Danh mục thiết bị'!$J$6:$J$65,MATCH($C54,'Danh mục thiết bị'!$B$6:$B$65,0)),"")="Ngừng sử dụng","Thiết bị ngừng sử dụng",IF($J54="","Chưa chọn chu kỳ",IF($M54="","Chưa có ngày áp dụng",IF($M54&lt;'Tổng quan'!$B$11,"Quá hạn "&amp;('Tổng quan'!$B$11-$M54)&amp;" ngày",IF($M54='Tổng quan'!$B$11,"Đến hạn hôm nay",IF($M54-'Tổng quan'!$B$11&lt;='Cài đặt'!$B$102,"Sắp đến hạn ("&amp;($M54-'Tổng quan'!$B$11)&amp;" ngày)","Còn "&amp;($M54-'Tổng quan'!$B$11)&amp;" ngày")))))))</f>
        <v/>
      </c>
      <c r="P54" s="19"/>
      <c r="Q54" s="12"/>
      <c r="R54" s="15"/>
      <c r="S54" s="20"/>
      <c r="T54" s="10" t="str">
        <f t="shared" si="3"/>
        <v/>
      </c>
      <c r="U54" s="21" t="str">
        <f t="shared" si="4"/>
        <v/>
      </c>
      <c r="V54" s="15"/>
      <c r="W54" s="23">
        <f t="shared" si="5"/>
        <v>99999</v>
      </c>
      <c r="X54" s="23">
        <f t="shared" si="6"/>
        <v>99999</v>
      </c>
      <c r="Y54" s="25" t="str">
        <f t="shared" si="7"/>
        <v/>
      </c>
    </row>
    <row r="55" ht="30.0" customHeight="1">
      <c r="A55" s="26" t="str">
        <f t="shared" si="1"/>
        <v/>
      </c>
      <c r="B55" s="27"/>
      <c r="C55" s="27"/>
      <c r="D55" s="28" t="str">
        <f t="array" ref="D55">IF($C55="","",IFERROR(INDEX('Danh mục thiết bị'!$C$6:$C$65,MATCH($C55,'Danh mục thiết bị'!$B$6:$B$65,0)),"Mã TB không tồn tại"))</f>
        <v/>
      </c>
      <c r="E55" s="28" t="str">
        <f t="array" ref="E55">IF($C55="","",IFERROR(INDEX('Danh mục thiết bị'!$D$6:$D$65,MATCH($C55,'Danh mục thiết bị'!$B$6:$B$65,0)),""))</f>
        <v/>
      </c>
      <c r="F55" s="29"/>
      <c r="G55" s="27"/>
      <c r="H55" s="27"/>
      <c r="I55" s="27"/>
      <c r="J55" s="26" t="str">
        <f t="array" ref="J55">IF($B55="","",IF($I55&lt;&gt;"",$I55,IFERROR(INDEX('Cài đặt'!$B$47:$B$56,MATCH($H55,'Cài đặt'!$A$47:$A$56,0)),"")))</f>
        <v/>
      </c>
      <c r="K55" s="32"/>
      <c r="L55" s="33" t="str">
        <f>IF($B55="","",IF(SUMPRODUCT(MAX(('Nhật ký bảo trì'!$D$6:$D$405=$B55)*('Nhật ký bảo trì'!$Q$6:$Q$405="Hoàn thành")*'Nhật ký bảo trì'!$B$6:$B$405))=0,"",SUMPRODUCT(MAX(('Nhật ký bảo trì'!$D$6:$D$405=$B55)*('Nhật ký bảo trì'!$Q$6:$Q$405="Hoàn thành")*'Nhật ký bảo trì'!$B$6:$B$405))))</f>
        <v/>
      </c>
      <c r="M55" s="33" t="str">
        <f t="shared" si="2"/>
        <v/>
      </c>
      <c r="N55" s="26" t="str">
        <f>IF($M55="","",$M55-'Tổng quan'!$B$11)</f>
        <v/>
      </c>
      <c r="O55" s="26" t="str">
        <f t="array" ref="O55">IF($B55="","",IF(IFERROR(INDEX('Danh mục thiết bị'!$J$6:$J$65,MATCH($C55,'Danh mục thiết bị'!$B$6:$B$65,0)),"")="Ngừng sử dụng","Thiết bị ngừng sử dụng",IF($J55="","Chưa chọn chu kỳ",IF($M55="","Chưa có ngày áp dụng",IF($M55&lt;'Tổng quan'!$B$11,"Quá hạn "&amp;('Tổng quan'!$B$11-$M55)&amp;" ngày",IF($M55='Tổng quan'!$B$11,"Đến hạn hôm nay",IF($M55-'Tổng quan'!$B$11&lt;='Cài đặt'!$B$102,"Sắp đến hạn ("&amp;($M55-'Tổng quan'!$B$11)&amp;" ngày)","Còn "&amp;($M55-'Tổng quan'!$B$11)&amp;" ngày")))))))</f>
        <v/>
      </c>
      <c r="P55" s="34"/>
      <c r="Q55" s="31"/>
      <c r="R55" s="29"/>
      <c r="S55" s="35"/>
      <c r="T55" s="26" t="str">
        <f t="shared" si="3"/>
        <v/>
      </c>
      <c r="U55" s="36" t="str">
        <f t="shared" si="4"/>
        <v/>
      </c>
      <c r="V55" s="29"/>
      <c r="W55" s="37">
        <f t="shared" si="5"/>
        <v>99999</v>
      </c>
      <c r="X55" s="37">
        <f t="shared" si="6"/>
        <v>99999</v>
      </c>
      <c r="Y55" s="38" t="str">
        <f t="shared" si="7"/>
        <v/>
      </c>
    </row>
    <row r="56" ht="30.0" customHeight="1">
      <c r="A56" s="10" t="str">
        <f t="shared" si="1"/>
        <v/>
      </c>
      <c r="B56" s="11"/>
      <c r="C56" s="11"/>
      <c r="D56" s="14" t="str">
        <f t="array" ref="D56">IF($C56="","",IFERROR(INDEX('Danh mục thiết bị'!$C$6:$C$65,MATCH($C56,'Danh mục thiết bị'!$B$6:$B$65,0)),"Mã TB không tồn tại"))</f>
        <v/>
      </c>
      <c r="E56" s="14" t="str">
        <f t="array" ref="E56">IF($C56="","",IFERROR(INDEX('Danh mục thiết bị'!$D$6:$D$65,MATCH($C56,'Danh mục thiết bị'!$B$6:$B$65,0)),""))</f>
        <v/>
      </c>
      <c r="F56" s="15"/>
      <c r="G56" s="11"/>
      <c r="H56" s="11"/>
      <c r="I56" s="11"/>
      <c r="J56" s="10" t="str">
        <f t="array" ref="J56">IF($B56="","",IF($I56&lt;&gt;"",$I56,IFERROR(INDEX('Cài đặt'!$B$47:$B$56,MATCH($H56,'Cài đặt'!$A$47:$A$56,0)),"")))</f>
        <v/>
      </c>
      <c r="K56" s="13"/>
      <c r="L56" s="17" t="str">
        <f>IF($B56="","",IF(SUMPRODUCT(MAX(('Nhật ký bảo trì'!$D$6:$D$405=$B56)*('Nhật ký bảo trì'!$Q$6:$Q$405="Hoàn thành")*'Nhật ký bảo trì'!$B$6:$B$405))=0,"",SUMPRODUCT(MAX(('Nhật ký bảo trì'!$D$6:$D$405=$B56)*('Nhật ký bảo trì'!$Q$6:$Q$405="Hoàn thành")*'Nhật ký bảo trì'!$B$6:$B$405))))</f>
        <v/>
      </c>
      <c r="M56" s="17" t="str">
        <f t="shared" si="2"/>
        <v/>
      </c>
      <c r="N56" s="10" t="str">
        <f>IF($M56="","",$M56-'Tổng quan'!$B$11)</f>
        <v/>
      </c>
      <c r="O56" s="10" t="str">
        <f t="array" ref="O56">IF($B56="","",IF(IFERROR(INDEX('Danh mục thiết bị'!$J$6:$J$65,MATCH($C56,'Danh mục thiết bị'!$B$6:$B$65,0)),"")="Ngừng sử dụng","Thiết bị ngừng sử dụng",IF($J56="","Chưa chọn chu kỳ",IF($M56="","Chưa có ngày áp dụng",IF($M56&lt;'Tổng quan'!$B$11,"Quá hạn "&amp;('Tổng quan'!$B$11-$M56)&amp;" ngày",IF($M56='Tổng quan'!$B$11,"Đến hạn hôm nay",IF($M56-'Tổng quan'!$B$11&lt;='Cài đặt'!$B$102,"Sắp đến hạn ("&amp;($M56-'Tổng quan'!$B$11)&amp;" ngày)","Còn "&amp;($M56-'Tổng quan'!$B$11)&amp;" ngày")))))))</f>
        <v/>
      </c>
      <c r="P56" s="19"/>
      <c r="Q56" s="12"/>
      <c r="R56" s="15"/>
      <c r="S56" s="20"/>
      <c r="T56" s="10" t="str">
        <f t="shared" si="3"/>
        <v/>
      </c>
      <c r="U56" s="21" t="str">
        <f t="shared" si="4"/>
        <v/>
      </c>
      <c r="V56" s="15"/>
      <c r="W56" s="23">
        <f t="shared" si="5"/>
        <v>99999</v>
      </c>
      <c r="X56" s="23">
        <f t="shared" si="6"/>
        <v>99999</v>
      </c>
      <c r="Y56" s="25" t="str">
        <f t="shared" si="7"/>
        <v/>
      </c>
    </row>
    <row r="57" ht="30.0" customHeight="1">
      <c r="A57" s="26" t="str">
        <f t="shared" si="1"/>
        <v/>
      </c>
      <c r="B57" s="27"/>
      <c r="C57" s="27"/>
      <c r="D57" s="28" t="str">
        <f t="array" ref="D57">IF($C57="","",IFERROR(INDEX('Danh mục thiết bị'!$C$6:$C$65,MATCH($C57,'Danh mục thiết bị'!$B$6:$B$65,0)),"Mã TB không tồn tại"))</f>
        <v/>
      </c>
      <c r="E57" s="28" t="str">
        <f t="array" ref="E57">IF($C57="","",IFERROR(INDEX('Danh mục thiết bị'!$D$6:$D$65,MATCH($C57,'Danh mục thiết bị'!$B$6:$B$65,0)),""))</f>
        <v/>
      </c>
      <c r="F57" s="29"/>
      <c r="G57" s="27"/>
      <c r="H57" s="27"/>
      <c r="I57" s="27"/>
      <c r="J57" s="26" t="str">
        <f t="array" ref="J57">IF($B57="","",IF($I57&lt;&gt;"",$I57,IFERROR(INDEX('Cài đặt'!$B$47:$B$56,MATCH($H57,'Cài đặt'!$A$47:$A$56,0)),"")))</f>
        <v/>
      </c>
      <c r="K57" s="32"/>
      <c r="L57" s="33" t="str">
        <f>IF($B57="","",IF(SUMPRODUCT(MAX(('Nhật ký bảo trì'!$D$6:$D$405=$B57)*('Nhật ký bảo trì'!$Q$6:$Q$405="Hoàn thành")*'Nhật ký bảo trì'!$B$6:$B$405))=0,"",SUMPRODUCT(MAX(('Nhật ký bảo trì'!$D$6:$D$405=$B57)*('Nhật ký bảo trì'!$Q$6:$Q$405="Hoàn thành")*'Nhật ký bảo trì'!$B$6:$B$405))))</f>
        <v/>
      </c>
      <c r="M57" s="33" t="str">
        <f t="shared" si="2"/>
        <v/>
      </c>
      <c r="N57" s="26" t="str">
        <f>IF($M57="","",$M57-'Tổng quan'!$B$11)</f>
        <v/>
      </c>
      <c r="O57" s="26" t="str">
        <f t="array" ref="O57">IF($B57="","",IF(IFERROR(INDEX('Danh mục thiết bị'!$J$6:$J$65,MATCH($C57,'Danh mục thiết bị'!$B$6:$B$65,0)),"")="Ngừng sử dụng","Thiết bị ngừng sử dụng",IF($J57="","Chưa chọn chu kỳ",IF($M57="","Chưa có ngày áp dụng",IF($M57&lt;'Tổng quan'!$B$11,"Quá hạn "&amp;('Tổng quan'!$B$11-$M57)&amp;" ngày",IF($M57='Tổng quan'!$B$11,"Đến hạn hôm nay",IF($M57-'Tổng quan'!$B$11&lt;='Cài đặt'!$B$102,"Sắp đến hạn ("&amp;($M57-'Tổng quan'!$B$11)&amp;" ngày)","Còn "&amp;($M57-'Tổng quan'!$B$11)&amp;" ngày")))))))</f>
        <v/>
      </c>
      <c r="P57" s="34"/>
      <c r="Q57" s="31"/>
      <c r="R57" s="29"/>
      <c r="S57" s="35"/>
      <c r="T57" s="26" t="str">
        <f t="shared" si="3"/>
        <v/>
      </c>
      <c r="U57" s="36" t="str">
        <f t="shared" si="4"/>
        <v/>
      </c>
      <c r="V57" s="29"/>
      <c r="W57" s="37">
        <f t="shared" si="5"/>
        <v>99999</v>
      </c>
      <c r="X57" s="37">
        <f t="shared" si="6"/>
        <v>99999</v>
      </c>
      <c r="Y57" s="38" t="str">
        <f t="shared" si="7"/>
        <v/>
      </c>
    </row>
    <row r="58" ht="30.0" customHeight="1">
      <c r="A58" s="10" t="str">
        <f t="shared" si="1"/>
        <v/>
      </c>
      <c r="B58" s="11"/>
      <c r="C58" s="11"/>
      <c r="D58" s="14" t="str">
        <f t="array" ref="D58">IF($C58="","",IFERROR(INDEX('Danh mục thiết bị'!$C$6:$C$65,MATCH($C58,'Danh mục thiết bị'!$B$6:$B$65,0)),"Mã TB không tồn tại"))</f>
        <v/>
      </c>
      <c r="E58" s="14" t="str">
        <f t="array" ref="E58">IF($C58="","",IFERROR(INDEX('Danh mục thiết bị'!$D$6:$D$65,MATCH($C58,'Danh mục thiết bị'!$B$6:$B$65,0)),""))</f>
        <v/>
      </c>
      <c r="F58" s="15"/>
      <c r="G58" s="11"/>
      <c r="H58" s="11"/>
      <c r="I58" s="11"/>
      <c r="J58" s="10" t="str">
        <f t="array" ref="J58">IF($B58="","",IF($I58&lt;&gt;"",$I58,IFERROR(INDEX('Cài đặt'!$B$47:$B$56,MATCH($H58,'Cài đặt'!$A$47:$A$56,0)),"")))</f>
        <v/>
      </c>
      <c r="K58" s="13"/>
      <c r="L58" s="17" t="str">
        <f>IF($B58="","",IF(SUMPRODUCT(MAX(('Nhật ký bảo trì'!$D$6:$D$405=$B58)*('Nhật ký bảo trì'!$Q$6:$Q$405="Hoàn thành")*'Nhật ký bảo trì'!$B$6:$B$405))=0,"",SUMPRODUCT(MAX(('Nhật ký bảo trì'!$D$6:$D$405=$B58)*('Nhật ký bảo trì'!$Q$6:$Q$405="Hoàn thành")*'Nhật ký bảo trì'!$B$6:$B$405))))</f>
        <v/>
      </c>
      <c r="M58" s="17" t="str">
        <f t="shared" si="2"/>
        <v/>
      </c>
      <c r="N58" s="10" t="str">
        <f>IF($M58="","",$M58-'Tổng quan'!$B$11)</f>
        <v/>
      </c>
      <c r="O58" s="10" t="str">
        <f t="array" ref="O58">IF($B58="","",IF(IFERROR(INDEX('Danh mục thiết bị'!$J$6:$J$65,MATCH($C58,'Danh mục thiết bị'!$B$6:$B$65,0)),"")="Ngừng sử dụng","Thiết bị ngừng sử dụng",IF($J58="","Chưa chọn chu kỳ",IF($M58="","Chưa có ngày áp dụng",IF($M58&lt;'Tổng quan'!$B$11,"Quá hạn "&amp;('Tổng quan'!$B$11-$M58)&amp;" ngày",IF($M58='Tổng quan'!$B$11,"Đến hạn hôm nay",IF($M58-'Tổng quan'!$B$11&lt;='Cài đặt'!$B$102,"Sắp đến hạn ("&amp;($M58-'Tổng quan'!$B$11)&amp;" ngày)","Còn "&amp;($M58-'Tổng quan'!$B$11)&amp;" ngày")))))))</f>
        <v/>
      </c>
      <c r="P58" s="19"/>
      <c r="Q58" s="12"/>
      <c r="R58" s="15"/>
      <c r="S58" s="20"/>
      <c r="T58" s="10" t="str">
        <f t="shared" si="3"/>
        <v/>
      </c>
      <c r="U58" s="21" t="str">
        <f t="shared" si="4"/>
        <v/>
      </c>
      <c r="V58" s="15"/>
      <c r="W58" s="23">
        <f t="shared" si="5"/>
        <v>99999</v>
      </c>
      <c r="X58" s="23">
        <f t="shared" si="6"/>
        <v>99999</v>
      </c>
      <c r="Y58" s="25" t="str">
        <f t="shared" si="7"/>
        <v/>
      </c>
    </row>
    <row r="59" ht="30.0" customHeight="1">
      <c r="A59" s="26" t="str">
        <f t="shared" si="1"/>
        <v/>
      </c>
      <c r="B59" s="27"/>
      <c r="C59" s="27"/>
      <c r="D59" s="28" t="str">
        <f t="array" ref="D59">IF($C59="","",IFERROR(INDEX('Danh mục thiết bị'!$C$6:$C$65,MATCH($C59,'Danh mục thiết bị'!$B$6:$B$65,0)),"Mã TB không tồn tại"))</f>
        <v/>
      </c>
      <c r="E59" s="28" t="str">
        <f t="array" ref="E59">IF($C59="","",IFERROR(INDEX('Danh mục thiết bị'!$D$6:$D$65,MATCH($C59,'Danh mục thiết bị'!$B$6:$B$65,0)),""))</f>
        <v/>
      </c>
      <c r="F59" s="29"/>
      <c r="G59" s="27"/>
      <c r="H59" s="27"/>
      <c r="I59" s="27"/>
      <c r="J59" s="26" t="str">
        <f t="array" ref="J59">IF($B59="","",IF($I59&lt;&gt;"",$I59,IFERROR(INDEX('Cài đặt'!$B$47:$B$56,MATCH($H59,'Cài đặt'!$A$47:$A$56,0)),"")))</f>
        <v/>
      </c>
      <c r="K59" s="32"/>
      <c r="L59" s="33" t="str">
        <f>IF($B59="","",IF(SUMPRODUCT(MAX(('Nhật ký bảo trì'!$D$6:$D$405=$B59)*('Nhật ký bảo trì'!$Q$6:$Q$405="Hoàn thành")*'Nhật ký bảo trì'!$B$6:$B$405))=0,"",SUMPRODUCT(MAX(('Nhật ký bảo trì'!$D$6:$D$405=$B59)*('Nhật ký bảo trì'!$Q$6:$Q$405="Hoàn thành")*'Nhật ký bảo trì'!$B$6:$B$405))))</f>
        <v/>
      </c>
      <c r="M59" s="33" t="str">
        <f t="shared" si="2"/>
        <v/>
      </c>
      <c r="N59" s="26" t="str">
        <f>IF($M59="","",$M59-'Tổng quan'!$B$11)</f>
        <v/>
      </c>
      <c r="O59" s="26" t="str">
        <f t="array" ref="O59">IF($B59="","",IF(IFERROR(INDEX('Danh mục thiết bị'!$J$6:$J$65,MATCH($C59,'Danh mục thiết bị'!$B$6:$B$65,0)),"")="Ngừng sử dụng","Thiết bị ngừng sử dụng",IF($J59="","Chưa chọn chu kỳ",IF($M59="","Chưa có ngày áp dụng",IF($M59&lt;'Tổng quan'!$B$11,"Quá hạn "&amp;('Tổng quan'!$B$11-$M59)&amp;" ngày",IF($M59='Tổng quan'!$B$11,"Đến hạn hôm nay",IF($M59-'Tổng quan'!$B$11&lt;='Cài đặt'!$B$102,"Sắp đến hạn ("&amp;($M59-'Tổng quan'!$B$11)&amp;" ngày)","Còn "&amp;($M59-'Tổng quan'!$B$11)&amp;" ngày")))))))</f>
        <v/>
      </c>
      <c r="P59" s="34"/>
      <c r="Q59" s="31"/>
      <c r="R59" s="29"/>
      <c r="S59" s="35"/>
      <c r="T59" s="26" t="str">
        <f t="shared" si="3"/>
        <v/>
      </c>
      <c r="U59" s="36" t="str">
        <f t="shared" si="4"/>
        <v/>
      </c>
      <c r="V59" s="29"/>
      <c r="W59" s="37">
        <f t="shared" si="5"/>
        <v>99999</v>
      </c>
      <c r="X59" s="37">
        <f t="shared" si="6"/>
        <v>99999</v>
      </c>
      <c r="Y59" s="38" t="str">
        <f t="shared" si="7"/>
        <v/>
      </c>
    </row>
    <row r="60" ht="30.0" customHeight="1">
      <c r="A60" s="10" t="str">
        <f t="shared" si="1"/>
        <v/>
      </c>
      <c r="B60" s="11"/>
      <c r="C60" s="11"/>
      <c r="D60" s="14" t="str">
        <f t="array" ref="D60">IF($C60="","",IFERROR(INDEX('Danh mục thiết bị'!$C$6:$C$65,MATCH($C60,'Danh mục thiết bị'!$B$6:$B$65,0)),"Mã TB không tồn tại"))</f>
        <v/>
      </c>
      <c r="E60" s="14" t="str">
        <f t="array" ref="E60">IF($C60="","",IFERROR(INDEX('Danh mục thiết bị'!$D$6:$D$65,MATCH($C60,'Danh mục thiết bị'!$B$6:$B$65,0)),""))</f>
        <v/>
      </c>
      <c r="F60" s="15"/>
      <c r="G60" s="11"/>
      <c r="H60" s="11"/>
      <c r="I60" s="11"/>
      <c r="J60" s="10" t="str">
        <f t="array" ref="J60">IF($B60="","",IF($I60&lt;&gt;"",$I60,IFERROR(INDEX('Cài đặt'!$B$47:$B$56,MATCH($H60,'Cài đặt'!$A$47:$A$56,0)),"")))</f>
        <v/>
      </c>
      <c r="K60" s="13"/>
      <c r="L60" s="17" t="str">
        <f>IF($B60="","",IF(SUMPRODUCT(MAX(('Nhật ký bảo trì'!$D$6:$D$405=$B60)*('Nhật ký bảo trì'!$Q$6:$Q$405="Hoàn thành")*'Nhật ký bảo trì'!$B$6:$B$405))=0,"",SUMPRODUCT(MAX(('Nhật ký bảo trì'!$D$6:$D$405=$B60)*('Nhật ký bảo trì'!$Q$6:$Q$405="Hoàn thành")*'Nhật ký bảo trì'!$B$6:$B$405))))</f>
        <v/>
      </c>
      <c r="M60" s="17" t="str">
        <f t="shared" si="2"/>
        <v/>
      </c>
      <c r="N60" s="10" t="str">
        <f>IF($M60="","",$M60-'Tổng quan'!$B$11)</f>
        <v/>
      </c>
      <c r="O60" s="10" t="str">
        <f t="array" ref="O60">IF($B60="","",IF(IFERROR(INDEX('Danh mục thiết bị'!$J$6:$J$65,MATCH($C60,'Danh mục thiết bị'!$B$6:$B$65,0)),"")="Ngừng sử dụng","Thiết bị ngừng sử dụng",IF($J60="","Chưa chọn chu kỳ",IF($M60="","Chưa có ngày áp dụng",IF($M60&lt;'Tổng quan'!$B$11,"Quá hạn "&amp;('Tổng quan'!$B$11-$M60)&amp;" ngày",IF($M60='Tổng quan'!$B$11,"Đến hạn hôm nay",IF($M60-'Tổng quan'!$B$11&lt;='Cài đặt'!$B$102,"Sắp đến hạn ("&amp;($M60-'Tổng quan'!$B$11)&amp;" ngày)","Còn "&amp;($M60-'Tổng quan'!$B$11)&amp;" ngày")))))))</f>
        <v/>
      </c>
      <c r="P60" s="19"/>
      <c r="Q60" s="12"/>
      <c r="R60" s="15"/>
      <c r="S60" s="20"/>
      <c r="T60" s="10" t="str">
        <f t="shared" si="3"/>
        <v/>
      </c>
      <c r="U60" s="21" t="str">
        <f t="shared" si="4"/>
        <v/>
      </c>
      <c r="V60" s="15"/>
      <c r="W60" s="23">
        <f t="shared" si="5"/>
        <v>99999</v>
      </c>
      <c r="X60" s="23">
        <f t="shared" si="6"/>
        <v>99999</v>
      </c>
      <c r="Y60" s="25" t="str">
        <f t="shared" si="7"/>
        <v/>
      </c>
    </row>
    <row r="61" ht="30.0" customHeight="1">
      <c r="A61" s="26" t="str">
        <f t="shared" si="1"/>
        <v/>
      </c>
      <c r="B61" s="27"/>
      <c r="C61" s="27"/>
      <c r="D61" s="28" t="str">
        <f t="array" ref="D61">IF($C61="","",IFERROR(INDEX('Danh mục thiết bị'!$C$6:$C$65,MATCH($C61,'Danh mục thiết bị'!$B$6:$B$65,0)),"Mã TB không tồn tại"))</f>
        <v/>
      </c>
      <c r="E61" s="28" t="str">
        <f t="array" ref="E61">IF($C61="","",IFERROR(INDEX('Danh mục thiết bị'!$D$6:$D$65,MATCH($C61,'Danh mục thiết bị'!$B$6:$B$65,0)),""))</f>
        <v/>
      </c>
      <c r="F61" s="29"/>
      <c r="G61" s="27"/>
      <c r="H61" s="27"/>
      <c r="I61" s="27"/>
      <c r="J61" s="26" t="str">
        <f t="array" ref="J61">IF($B61="","",IF($I61&lt;&gt;"",$I61,IFERROR(INDEX('Cài đặt'!$B$47:$B$56,MATCH($H61,'Cài đặt'!$A$47:$A$56,0)),"")))</f>
        <v/>
      </c>
      <c r="K61" s="32"/>
      <c r="L61" s="33" t="str">
        <f>IF($B61="","",IF(SUMPRODUCT(MAX(('Nhật ký bảo trì'!$D$6:$D$405=$B61)*('Nhật ký bảo trì'!$Q$6:$Q$405="Hoàn thành")*'Nhật ký bảo trì'!$B$6:$B$405))=0,"",SUMPRODUCT(MAX(('Nhật ký bảo trì'!$D$6:$D$405=$B61)*('Nhật ký bảo trì'!$Q$6:$Q$405="Hoàn thành")*'Nhật ký bảo trì'!$B$6:$B$405))))</f>
        <v/>
      </c>
      <c r="M61" s="33" t="str">
        <f t="shared" si="2"/>
        <v/>
      </c>
      <c r="N61" s="26" t="str">
        <f>IF($M61="","",$M61-'Tổng quan'!$B$11)</f>
        <v/>
      </c>
      <c r="O61" s="26" t="str">
        <f t="array" ref="O61">IF($B61="","",IF(IFERROR(INDEX('Danh mục thiết bị'!$J$6:$J$65,MATCH($C61,'Danh mục thiết bị'!$B$6:$B$65,0)),"")="Ngừng sử dụng","Thiết bị ngừng sử dụng",IF($J61="","Chưa chọn chu kỳ",IF($M61="","Chưa có ngày áp dụng",IF($M61&lt;'Tổng quan'!$B$11,"Quá hạn "&amp;('Tổng quan'!$B$11-$M61)&amp;" ngày",IF($M61='Tổng quan'!$B$11,"Đến hạn hôm nay",IF($M61-'Tổng quan'!$B$11&lt;='Cài đặt'!$B$102,"Sắp đến hạn ("&amp;($M61-'Tổng quan'!$B$11)&amp;" ngày)","Còn "&amp;($M61-'Tổng quan'!$B$11)&amp;" ngày")))))))</f>
        <v/>
      </c>
      <c r="P61" s="34"/>
      <c r="Q61" s="31"/>
      <c r="R61" s="29"/>
      <c r="S61" s="35"/>
      <c r="T61" s="26" t="str">
        <f t="shared" si="3"/>
        <v/>
      </c>
      <c r="U61" s="36" t="str">
        <f t="shared" si="4"/>
        <v/>
      </c>
      <c r="V61" s="29"/>
      <c r="W61" s="37">
        <f t="shared" si="5"/>
        <v>99999</v>
      </c>
      <c r="X61" s="37">
        <f t="shared" si="6"/>
        <v>99999</v>
      </c>
      <c r="Y61" s="38" t="str">
        <f t="shared" si="7"/>
        <v/>
      </c>
    </row>
    <row r="62" ht="30.0" customHeight="1">
      <c r="A62" s="10" t="str">
        <f t="shared" si="1"/>
        <v/>
      </c>
      <c r="B62" s="11"/>
      <c r="C62" s="11"/>
      <c r="D62" s="14" t="str">
        <f t="array" ref="D62">IF($C62="","",IFERROR(INDEX('Danh mục thiết bị'!$C$6:$C$65,MATCH($C62,'Danh mục thiết bị'!$B$6:$B$65,0)),"Mã TB không tồn tại"))</f>
        <v/>
      </c>
      <c r="E62" s="14" t="str">
        <f t="array" ref="E62">IF($C62="","",IFERROR(INDEX('Danh mục thiết bị'!$D$6:$D$65,MATCH($C62,'Danh mục thiết bị'!$B$6:$B$65,0)),""))</f>
        <v/>
      </c>
      <c r="F62" s="15"/>
      <c r="G62" s="11"/>
      <c r="H62" s="11"/>
      <c r="I62" s="11"/>
      <c r="J62" s="10" t="str">
        <f t="array" ref="J62">IF($B62="","",IF($I62&lt;&gt;"",$I62,IFERROR(INDEX('Cài đặt'!$B$47:$B$56,MATCH($H62,'Cài đặt'!$A$47:$A$56,0)),"")))</f>
        <v/>
      </c>
      <c r="K62" s="13"/>
      <c r="L62" s="17" t="str">
        <f>IF($B62="","",IF(SUMPRODUCT(MAX(('Nhật ký bảo trì'!$D$6:$D$405=$B62)*('Nhật ký bảo trì'!$Q$6:$Q$405="Hoàn thành")*'Nhật ký bảo trì'!$B$6:$B$405))=0,"",SUMPRODUCT(MAX(('Nhật ký bảo trì'!$D$6:$D$405=$B62)*('Nhật ký bảo trì'!$Q$6:$Q$405="Hoàn thành")*'Nhật ký bảo trì'!$B$6:$B$405))))</f>
        <v/>
      </c>
      <c r="M62" s="17" t="str">
        <f t="shared" si="2"/>
        <v/>
      </c>
      <c r="N62" s="10" t="str">
        <f>IF($M62="","",$M62-'Tổng quan'!$B$11)</f>
        <v/>
      </c>
      <c r="O62" s="10" t="str">
        <f t="array" ref="O62">IF($B62="","",IF(IFERROR(INDEX('Danh mục thiết bị'!$J$6:$J$65,MATCH($C62,'Danh mục thiết bị'!$B$6:$B$65,0)),"")="Ngừng sử dụng","Thiết bị ngừng sử dụng",IF($J62="","Chưa chọn chu kỳ",IF($M62="","Chưa có ngày áp dụng",IF($M62&lt;'Tổng quan'!$B$11,"Quá hạn "&amp;('Tổng quan'!$B$11-$M62)&amp;" ngày",IF($M62='Tổng quan'!$B$11,"Đến hạn hôm nay",IF($M62-'Tổng quan'!$B$11&lt;='Cài đặt'!$B$102,"Sắp đến hạn ("&amp;($M62-'Tổng quan'!$B$11)&amp;" ngày)","Còn "&amp;($M62-'Tổng quan'!$B$11)&amp;" ngày")))))))</f>
        <v/>
      </c>
      <c r="P62" s="19"/>
      <c r="Q62" s="12"/>
      <c r="R62" s="15"/>
      <c r="S62" s="20"/>
      <c r="T62" s="10" t="str">
        <f t="shared" si="3"/>
        <v/>
      </c>
      <c r="U62" s="21" t="str">
        <f t="shared" si="4"/>
        <v/>
      </c>
      <c r="V62" s="15"/>
      <c r="W62" s="23">
        <f t="shared" si="5"/>
        <v>99999</v>
      </c>
      <c r="X62" s="23">
        <f t="shared" si="6"/>
        <v>99999</v>
      </c>
      <c r="Y62" s="25" t="str">
        <f t="shared" si="7"/>
        <v/>
      </c>
    </row>
    <row r="63" ht="30.0" customHeight="1">
      <c r="A63" s="26" t="str">
        <f t="shared" si="1"/>
        <v/>
      </c>
      <c r="B63" s="27"/>
      <c r="C63" s="27"/>
      <c r="D63" s="28" t="str">
        <f t="array" ref="D63">IF($C63="","",IFERROR(INDEX('Danh mục thiết bị'!$C$6:$C$65,MATCH($C63,'Danh mục thiết bị'!$B$6:$B$65,0)),"Mã TB không tồn tại"))</f>
        <v/>
      </c>
      <c r="E63" s="28" t="str">
        <f t="array" ref="E63">IF($C63="","",IFERROR(INDEX('Danh mục thiết bị'!$D$6:$D$65,MATCH($C63,'Danh mục thiết bị'!$B$6:$B$65,0)),""))</f>
        <v/>
      </c>
      <c r="F63" s="29"/>
      <c r="G63" s="27"/>
      <c r="H63" s="27"/>
      <c r="I63" s="27"/>
      <c r="J63" s="26" t="str">
        <f t="array" ref="J63">IF($B63="","",IF($I63&lt;&gt;"",$I63,IFERROR(INDEX('Cài đặt'!$B$47:$B$56,MATCH($H63,'Cài đặt'!$A$47:$A$56,0)),"")))</f>
        <v/>
      </c>
      <c r="K63" s="32"/>
      <c r="L63" s="33" t="str">
        <f>IF($B63="","",IF(SUMPRODUCT(MAX(('Nhật ký bảo trì'!$D$6:$D$405=$B63)*('Nhật ký bảo trì'!$Q$6:$Q$405="Hoàn thành")*'Nhật ký bảo trì'!$B$6:$B$405))=0,"",SUMPRODUCT(MAX(('Nhật ký bảo trì'!$D$6:$D$405=$B63)*('Nhật ký bảo trì'!$Q$6:$Q$405="Hoàn thành")*'Nhật ký bảo trì'!$B$6:$B$405))))</f>
        <v/>
      </c>
      <c r="M63" s="33" t="str">
        <f t="shared" si="2"/>
        <v/>
      </c>
      <c r="N63" s="26" t="str">
        <f>IF($M63="","",$M63-'Tổng quan'!$B$11)</f>
        <v/>
      </c>
      <c r="O63" s="26" t="str">
        <f t="array" ref="O63">IF($B63="","",IF(IFERROR(INDEX('Danh mục thiết bị'!$J$6:$J$65,MATCH($C63,'Danh mục thiết bị'!$B$6:$B$65,0)),"")="Ngừng sử dụng","Thiết bị ngừng sử dụng",IF($J63="","Chưa chọn chu kỳ",IF($M63="","Chưa có ngày áp dụng",IF($M63&lt;'Tổng quan'!$B$11,"Quá hạn "&amp;('Tổng quan'!$B$11-$M63)&amp;" ngày",IF($M63='Tổng quan'!$B$11,"Đến hạn hôm nay",IF($M63-'Tổng quan'!$B$11&lt;='Cài đặt'!$B$102,"Sắp đến hạn ("&amp;($M63-'Tổng quan'!$B$11)&amp;" ngày)","Còn "&amp;($M63-'Tổng quan'!$B$11)&amp;" ngày")))))))</f>
        <v/>
      </c>
      <c r="P63" s="34"/>
      <c r="Q63" s="31"/>
      <c r="R63" s="29"/>
      <c r="S63" s="35"/>
      <c r="T63" s="26" t="str">
        <f t="shared" si="3"/>
        <v/>
      </c>
      <c r="U63" s="36" t="str">
        <f t="shared" si="4"/>
        <v/>
      </c>
      <c r="V63" s="29"/>
      <c r="W63" s="37">
        <f t="shared" si="5"/>
        <v>99999</v>
      </c>
      <c r="X63" s="37">
        <f t="shared" si="6"/>
        <v>99999</v>
      </c>
      <c r="Y63" s="38" t="str">
        <f t="shared" si="7"/>
        <v/>
      </c>
    </row>
    <row r="64" ht="30.0" customHeight="1">
      <c r="A64" s="10" t="str">
        <f t="shared" si="1"/>
        <v/>
      </c>
      <c r="B64" s="11"/>
      <c r="C64" s="11"/>
      <c r="D64" s="14" t="str">
        <f t="array" ref="D64">IF($C64="","",IFERROR(INDEX('Danh mục thiết bị'!$C$6:$C$65,MATCH($C64,'Danh mục thiết bị'!$B$6:$B$65,0)),"Mã TB không tồn tại"))</f>
        <v/>
      </c>
      <c r="E64" s="14" t="str">
        <f t="array" ref="E64">IF($C64="","",IFERROR(INDEX('Danh mục thiết bị'!$D$6:$D$65,MATCH($C64,'Danh mục thiết bị'!$B$6:$B$65,0)),""))</f>
        <v/>
      </c>
      <c r="F64" s="15"/>
      <c r="G64" s="11"/>
      <c r="H64" s="11"/>
      <c r="I64" s="11"/>
      <c r="J64" s="10" t="str">
        <f t="array" ref="J64">IF($B64="","",IF($I64&lt;&gt;"",$I64,IFERROR(INDEX('Cài đặt'!$B$47:$B$56,MATCH($H64,'Cài đặt'!$A$47:$A$56,0)),"")))</f>
        <v/>
      </c>
      <c r="K64" s="13"/>
      <c r="L64" s="17" t="str">
        <f>IF($B64="","",IF(SUMPRODUCT(MAX(('Nhật ký bảo trì'!$D$6:$D$405=$B64)*('Nhật ký bảo trì'!$Q$6:$Q$405="Hoàn thành")*'Nhật ký bảo trì'!$B$6:$B$405))=0,"",SUMPRODUCT(MAX(('Nhật ký bảo trì'!$D$6:$D$405=$B64)*('Nhật ký bảo trì'!$Q$6:$Q$405="Hoàn thành")*'Nhật ký bảo trì'!$B$6:$B$405))))</f>
        <v/>
      </c>
      <c r="M64" s="17" t="str">
        <f t="shared" si="2"/>
        <v/>
      </c>
      <c r="N64" s="10" t="str">
        <f>IF($M64="","",$M64-'Tổng quan'!$B$11)</f>
        <v/>
      </c>
      <c r="O64" s="10" t="str">
        <f t="array" ref="O64">IF($B64="","",IF(IFERROR(INDEX('Danh mục thiết bị'!$J$6:$J$65,MATCH($C64,'Danh mục thiết bị'!$B$6:$B$65,0)),"")="Ngừng sử dụng","Thiết bị ngừng sử dụng",IF($J64="","Chưa chọn chu kỳ",IF($M64="","Chưa có ngày áp dụng",IF($M64&lt;'Tổng quan'!$B$11,"Quá hạn "&amp;('Tổng quan'!$B$11-$M64)&amp;" ngày",IF($M64='Tổng quan'!$B$11,"Đến hạn hôm nay",IF($M64-'Tổng quan'!$B$11&lt;='Cài đặt'!$B$102,"Sắp đến hạn ("&amp;($M64-'Tổng quan'!$B$11)&amp;" ngày)","Còn "&amp;($M64-'Tổng quan'!$B$11)&amp;" ngày")))))))</f>
        <v/>
      </c>
      <c r="P64" s="19"/>
      <c r="Q64" s="12"/>
      <c r="R64" s="15"/>
      <c r="S64" s="20"/>
      <c r="T64" s="10" t="str">
        <f t="shared" si="3"/>
        <v/>
      </c>
      <c r="U64" s="21" t="str">
        <f t="shared" si="4"/>
        <v/>
      </c>
      <c r="V64" s="15"/>
      <c r="W64" s="23">
        <f t="shared" si="5"/>
        <v>99999</v>
      </c>
      <c r="X64" s="23">
        <f t="shared" si="6"/>
        <v>99999</v>
      </c>
      <c r="Y64" s="25" t="str">
        <f t="shared" si="7"/>
        <v/>
      </c>
    </row>
    <row r="65" ht="30.0" customHeight="1">
      <c r="A65" s="26" t="str">
        <f t="shared" si="1"/>
        <v/>
      </c>
      <c r="B65" s="27"/>
      <c r="C65" s="27"/>
      <c r="D65" s="28" t="str">
        <f t="array" ref="D65">IF($C65="","",IFERROR(INDEX('Danh mục thiết bị'!$C$6:$C$65,MATCH($C65,'Danh mục thiết bị'!$B$6:$B$65,0)),"Mã TB không tồn tại"))</f>
        <v/>
      </c>
      <c r="E65" s="28" t="str">
        <f t="array" ref="E65">IF($C65="","",IFERROR(INDEX('Danh mục thiết bị'!$D$6:$D$65,MATCH($C65,'Danh mục thiết bị'!$B$6:$B$65,0)),""))</f>
        <v/>
      </c>
      <c r="F65" s="29"/>
      <c r="G65" s="27"/>
      <c r="H65" s="27"/>
      <c r="I65" s="27"/>
      <c r="J65" s="26" t="str">
        <f t="array" ref="J65">IF($B65="","",IF($I65&lt;&gt;"",$I65,IFERROR(INDEX('Cài đặt'!$B$47:$B$56,MATCH($H65,'Cài đặt'!$A$47:$A$56,0)),"")))</f>
        <v/>
      </c>
      <c r="K65" s="32"/>
      <c r="L65" s="33" t="str">
        <f>IF($B65="","",IF(SUMPRODUCT(MAX(('Nhật ký bảo trì'!$D$6:$D$405=$B65)*('Nhật ký bảo trì'!$Q$6:$Q$405="Hoàn thành")*'Nhật ký bảo trì'!$B$6:$B$405))=0,"",SUMPRODUCT(MAX(('Nhật ký bảo trì'!$D$6:$D$405=$B65)*('Nhật ký bảo trì'!$Q$6:$Q$405="Hoàn thành")*'Nhật ký bảo trì'!$B$6:$B$405))))</f>
        <v/>
      </c>
      <c r="M65" s="33" t="str">
        <f t="shared" si="2"/>
        <v/>
      </c>
      <c r="N65" s="26" t="str">
        <f>IF($M65="","",$M65-'Tổng quan'!$B$11)</f>
        <v/>
      </c>
      <c r="O65" s="26" t="str">
        <f t="array" ref="O65">IF($B65="","",IF(IFERROR(INDEX('Danh mục thiết bị'!$J$6:$J$65,MATCH($C65,'Danh mục thiết bị'!$B$6:$B$65,0)),"")="Ngừng sử dụng","Thiết bị ngừng sử dụng",IF($J65="","Chưa chọn chu kỳ",IF($M65="","Chưa có ngày áp dụng",IF($M65&lt;'Tổng quan'!$B$11,"Quá hạn "&amp;('Tổng quan'!$B$11-$M65)&amp;" ngày",IF($M65='Tổng quan'!$B$11,"Đến hạn hôm nay",IF($M65-'Tổng quan'!$B$11&lt;='Cài đặt'!$B$102,"Sắp đến hạn ("&amp;($M65-'Tổng quan'!$B$11)&amp;" ngày)","Còn "&amp;($M65-'Tổng quan'!$B$11)&amp;" ngày")))))))</f>
        <v/>
      </c>
      <c r="P65" s="34"/>
      <c r="Q65" s="31"/>
      <c r="R65" s="29"/>
      <c r="S65" s="35"/>
      <c r="T65" s="26" t="str">
        <f t="shared" si="3"/>
        <v/>
      </c>
      <c r="U65" s="36" t="str">
        <f t="shared" si="4"/>
        <v/>
      </c>
      <c r="V65" s="29"/>
      <c r="W65" s="37">
        <f t="shared" si="5"/>
        <v>99999</v>
      </c>
      <c r="X65" s="37">
        <f t="shared" si="6"/>
        <v>99999</v>
      </c>
      <c r="Y65" s="38" t="str">
        <f t="shared" si="7"/>
        <v/>
      </c>
    </row>
    <row r="66" ht="30.0" customHeight="1">
      <c r="A66" s="10" t="str">
        <f t="shared" si="1"/>
        <v/>
      </c>
      <c r="B66" s="11"/>
      <c r="C66" s="11"/>
      <c r="D66" s="14" t="str">
        <f t="array" ref="D66">IF($C66="","",IFERROR(INDEX('Danh mục thiết bị'!$C$6:$C$65,MATCH($C66,'Danh mục thiết bị'!$B$6:$B$65,0)),"Mã TB không tồn tại"))</f>
        <v/>
      </c>
      <c r="E66" s="14" t="str">
        <f t="array" ref="E66">IF($C66="","",IFERROR(INDEX('Danh mục thiết bị'!$D$6:$D$65,MATCH($C66,'Danh mục thiết bị'!$B$6:$B$65,0)),""))</f>
        <v/>
      </c>
      <c r="F66" s="15"/>
      <c r="G66" s="11"/>
      <c r="H66" s="11"/>
      <c r="I66" s="11"/>
      <c r="J66" s="10" t="str">
        <f t="array" ref="J66">IF($B66="","",IF($I66&lt;&gt;"",$I66,IFERROR(INDEX('Cài đặt'!$B$47:$B$56,MATCH($H66,'Cài đặt'!$A$47:$A$56,0)),"")))</f>
        <v/>
      </c>
      <c r="K66" s="13"/>
      <c r="L66" s="17" t="str">
        <f>IF($B66="","",IF(SUMPRODUCT(MAX(('Nhật ký bảo trì'!$D$6:$D$405=$B66)*('Nhật ký bảo trì'!$Q$6:$Q$405="Hoàn thành")*'Nhật ký bảo trì'!$B$6:$B$405))=0,"",SUMPRODUCT(MAX(('Nhật ký bảo trì'!$D$6:$D$405=$B66)*('Nhật ký bảo trì'!$Q$6:$Q$405="Hoàn thành")*'Nhật ký bảo trì'!$B$6:$B$405))))</f>
        <v/>
      </c>
      <c r="M66" s="17" t="str">
        <f t="shared" si="2"/>
        <v/>
      </c>
      <c r="N66" s="10" t="str">
        <f>IF($M66="","",$M66-'Tổng quan'!$B$11)</f>
        <v/>
      </c>
      <c r="O66" s="10" t="str">
        <f t="array" ref="O66">IF($B66="","",IF(IFERROR(INDEX('Danh mục thiết bị'!$J$6:$J$65,MATCH($C66,'Danh mục thiết bị'!$B$6:$B$65,0)),"")="Ngừng sử dụng","Thiết bị ngừng sử dụng",IF($J66="","Chưa chọn chu kỳ",IF($M66="","Chưa có ngày áp dụng",IF($M66&lt;'Tổng quan'!$B$11,"Quá hạn "&amp;('Tổng quan'!$B$11-$M66)&amp;" ngày",IF($M66='Tổng quan'!$B$11,"Đến hạn hôm nay",IF($M66-'Tổng quan'!$B$11&lt;='Cài đặt'!$B$102,"Sắp đến hạn ("&amp;($M66-'Tổng quan'!$B$11)&amp;" ngày)","Còn "&amp;($M66-'Tổng quan'!$B$11)&amp;" ngày")))))))</f>
        <v/>
      </c>
      <c r="P66" s="19"/>
      <c r="Q66" s="12"/>
      <c r="R66" s="15"/>
      <c r="S66" s="20"/>
      <c r="T66" s="10" t="str">
        <f t="shared" si="3"/>
        <v/>
      </c>
      <c r="U66" s="21" t="str">
        <f t="shared" si="4"/>
        <v/>
      </c>
      <c r="V66" s="15"/>
      <c r="W66" s="23">
        <f t="shared" si="5"/>
        <v>99999</v>
      </c>
      <c r="X66" s="23">
        <f t="shared" si="6"/>
        <v>99999</v>
      </c>
      <c r="Y66" s="25" t="str">
        <f t="shared" si="7"/>
        <v/>
      </c>
    </row>
    <row r="67" ht="30.0" customHeight="1">
      <c r="A67" s="26" t="str">
        <f t="shared" si="1"/>
        <v/>
      </c>
      <c r="B67" s="27"/>
      <c r="C67" s="27"/>
      <c r="D67" s="28" t="str">
        <f t="array" ref="D67">IF($C67="","",IFERROR(INDEX('Danh mục thiết bị'!$C$6:$C$65,MATCH($C67,'Danh mục thiết bị'!$B$6:$B$65,0)),"Mã TB không tồn tại"))</f>
        <v/>
      </c>
      <c r="E67" s="28" t="str">
        <f t="array" ref="E67">IF($C67="","",IFERROR(INDEX('Danh mục thiết bị'!$D$6:$D$65,MATCH($C67,'Danh mục thiết bị'!$B$6:$B$65,0)),""))</f>
        <v/>
      </c>
      <c r="F67" s="29"/>
      <c r="G67" s="27"/>
      <c r="H67" s="27"/>
      <c r="I67" s="27"/>
      <c r="J67" s="26" t="str">
        <f t="array" ref="J67">IF($B67="","",IF($I67&lt;&gt;"",$I67,IFERROR(INDEX('Cài đặt'!$B$47:$B$56,MATCH($H67,'Cài đặt'!$A$47:$A$56,0)),"")))</f>
        <v/>
      </c>
      <c r="K67" s="32"/>
      <c r="L67" s="33" t="str">
        <f>IF($B67="","",IF(SUMPRODUCT(MAX(('Nhật ký bảo trì'!$D$6:$D$405=$B67)*('Nhật ký bảo trì'!$Q$6:$Q$405="Hoàn thành")*'Nhật ký bảo trì'!$B$6:$B$405))=0,"",SUMPRODUCT(MAX(('Nhật ký bảo trì'!$D$6:$D$405=$B67)*('Nhật ký bảo trì'!$Q$6:$Q$405="Hoàn thành")*'Nhật ký bảo trì'!$B$6:$B$405))))</f>
        <v/>
      </c>
      <c r="M67" s="33" t="str">
        <f t="shared" si="2"/>
        <v/>
      </c>
      <c r="N67" s="26" t="str">
        <f>IF($M67="","",$M67-'Tổng quan'!$B$11)</f>
        <v/>
      </c>
      <c r="O67" s="26" t="str">
        <f t="array" ref="O67">IF($B67="","",IF(IFERROR(INDEX('Danh mục thiết bị'!$J$6:$J$65,MATCH($C67,'Danh mục thiết bị'!$B$6:$B$65,0)),"")="Ngừng sử dụng","Thiết bị ngừng sử dụng",IF($J67="","Chưa chọn chu kỳ",IF($M67="","Chưa có ngày áp dụng",IF($M67&lt;'Tổng quan'!$B$11,"Quá hạn "&amp;('Tổng quan'!$B$11-$M67)&amp;" ngày",IF($M67='Tổng quan'!$B$11,"Đến hạn hôm nay",IF($M67-'Tổng quan'!$B$11&lt;='Cài đặt'!$B$102,"Sắp đến hạn ("&amp;($M67-'Tổng quan'!$B$11)&amp;" ngày)","Còn "&amp;($M67-'Tổng quan'!$B$11)&amp;" ngày")))))))</f>
        <v/>
      </c>
      <c r="P67" s="34"/>
      <c r="Q67" s="31"/>
      <c r="R67" s="29"/>
      <c r="S67" s="35"/>
      <c r="T67" s="26" t="str">
        <f t="shared" si="3"/>
        <v/>
      </c>
      <c r="U67" s="36" t="str">
        <f t="shared" si="4"/>
        <v/>
      </c>
      <c r="V67" s="29"/>
      <c r="W67" s="37">
        <f t="shared" si="5"/>
        <v>99999</v>
      </c>
      <c r="X67" s="37">
        <f t="shared" si="6"/>
        <v>99999</v>
      </c>
      <c r="Y67" s="38" t="str">
        <f t="shared" si="7"/>
        <v/>
      </c>
    </row>
    <row r="68" ht="30.0" customHeight="1">
      <c r="A68" s="10" t="str">
        <f t="shared" si="1"/>
        <v/>
      </c>
      <c r="B68" s="11"/>
      <c r="C68" s="11"/>
      <c r="D68" s="14" t="str">
        <f t="array" ref="D68">IF($C68="","",IFERROR(INDEX('Danh mục thiết bị'!$C$6:$C$65,MATCH($C68,'Danh mục thiết bị'!$B$6:$B$65,0)),"Mã TB không tồn tại"))</f>
        <v/>
      </c>
      <c r="E68" s="14" t="str">
        <f t="array" ref="E68">IF($C68="","",IFERROR(INDEX('Danh mục thiết bị'!$D$6:$D$65,MATCH($C68,'Danh mục thiết bị'!$B$6:$B$65,0)),""))</f>
        <v/>
      </c>
      <c r="F68" s="15"/>
      <c r="G68" s="11"/>
      <c r="H68" s="11"/>
      <c r="I68" s="11"/>
      <c r="J68" s="10" t="str">
        <f t="array" ref="J68">IF($B68="","",IF($I68&lt;&gt;"",$I68,IFERROR(INDEX('Cài đặt'!$B$47:$B$56,MATCH($H68,'Cài đặt'!$A$47:$A$56,0)),"")))</f>
        <v/>
      </c>
      <c r="K68" s="13"/>
      <c r="L68" s="17" t="str">
        <f>IF($B68="","",IF(SUMPRODUCT(MAX(('Nhật ký bảo trì'!$D$6:$D$405=$B68)*('Nhật ký bảo trì'!$Q$6:$Q$405="Hoàn thành")*'Nhật ký bảo trì'!$B$6:$B$405))=0,"",SUMPRODUCT(MAX(('Nhật ký bảo trì'!$D$6:$D$405=$B68)*('Nhật ký bảo trì'!$Q$6:$Q$405="Hoàn thành")*'Nhật ký bảo trì'!$B$6:$B$405))))</f>
        <v/>
      </c>
      <c r="M68" s="17" t="str">
        <f t="shared" si="2"/>
        <v/>
      </c>
      <c r="N68" s="10" t="str">
        <f>IF($M68="","",$M68-'Tổng quan'!$B$11)</f>
        <v/>
      </c>
      <c r="O68" s="10" t="str">
        <f t="array" ref="O68">IF($B68="","",IF(IFERROR(INDEX('Danh mục thiết bị'!$J$6:$J$65,MATCH($C68,'Danh mục thiết bị'!$B$6:$B$65,0)),"")="Ngừng sử dụng","Thiết bị ngừng sử dụng",IF($J68="","Chưa chọn chu kỳ",IF($M68="","Chưa có ngày áp dụng",IF($M68&lt;'Tổng quan'!$B$11,"Quá hạn "&amp;('Tổng quan'!$B$11-$M68)&amp;" ngày",IF($M68='Tổng quan'!$B$11,"Đến hạn hôm nay",IF($M68-'Tổng quan'!$B$11&lt;='Cài đặt'!$B$102,"Sắp đến hạn ("&amp;($M68-'Tổng quan'!$B$11)&amp;" ngày)","Còn "&amp;($M68-'Tổng quan'!$B$11)&amp;" ngày")))))))</f>
        <v/>
      </c>
      <c r="P68" s="19"/>
      <c r="Q68" s="12"/>
      <c r="R68" s="15"/>
      <c r="S68" s="20"/>
      <c r="T68" s="10" t="str">
        <f t="shared" si="3"/>
        <v/>
      </c>
      <c r="U68" s="21" t="str">
        <f t="shared" si="4"/>
        <v/>
      </c>
      <c r="V68" s="15"/>
      <c r="W68" s="23">
        <f t="shared" si="5"/>
        <v>99999</v>
      </c>
      <c r="X68" s="23">
        <f t="shared" si="6"/>
        <v>99999</v>
      </c>
      <c r="Y68" s="25" t="str">
        <f t="shared" si="7"/>
        <v/>
      </c>
    </row>
    <row r="69" ht="30.0" customHeight="1">
      <c r="A69" s="26" t="str">
        <f t="shared" si="1"/>
        <v/>
      </c>
      <c r="B69" s="27"/>
      <c r="C69" s="27"/>
      <c r="D69" s="28" t="str">
        <f t="array" ref="D69">IF($C69="","",IFERROR(INDEX('Danh mục thiết bị'!$C$6:$C$65,MATCH($C69,'Danh mục thiết bị'!$B$6:$B$65,0)),"Mã TB không tồn tại"))</f>
        <v/>
      </c>
      <c r="E69" s="28" t="str">
        <f t="array" ref="E69">IF($C69="","",IFERROR(INDEX('Danh mục thiết bị'!$D$6:$D$65,MATCH($C69,'Danh mục thiết bị'!$B$6:$B$65,0)),""))</f>
        <v/>
      </c>
      <c r="F69" s="29"/>
      <c r="G69" s="27"/>
      <c r="H69" s="27"/>
      <c r="I69" s="27"/>
      <c r="J69" s="26" t="str">
        <f t="array" ref="J69">IF($B69="","",IF($I69&lt;&gt;"",$I69,IFERROR(INDEX('Cài đặt'!$B$47:$B$56,MATCH($H69,'Cài đặt'!$A$47:$A$56,0)),"")))</f>
        <v/>
      </c>
      <c r="K69" s="32"/>
      <c r="L69" s="33" t="str">
        <f>IF($B69="","",IF(SUMPRODUCT(MAX(('Nhật ký bảo trì'!$D$6:$D$405=$B69)*('Nhật ký bảo trì'!$Q$6:$Q$405="Hoàn thành")*'Nhật ký bảo trì'!$B$6:$B$405))=0,"",SUMPRODUCT(MAX(('Nhật ký bảo trì'!$D$6:$D$405=$B69)*('Nhật ký bảo trì'!$Q$6:$Q$405="Hoàn thành")*'Nhật ký bảo trì'!$B$6:$B$405))))</f>
        <v/>
      </c>
      <c r="M69" s="33" t="str">
        <f t="shared" si="2"/>
        <v/>
      </c>
      <c r="N69" s="26" t="str">
        <f>IF($M69="","",$M69-'Tổng quan'!$B$11)</f>
        <v/>
      </c>
      <c r="O69" s="26" t="str">
        <f t="array" ref="O69">IF($B69="","",IF(IFERROR(INDEX('Danh mục thiết bị'!$J$6:$J$65,MATCH($C69,'Danh mục thiết bị'!$B$6:$B$65,0)),"")="Ngừng sử dụng","Thiết bị ngừng sử dụng",IF($J69="","Chưa chọn chu kỳ",IF($M69="","Chưa có ngày áp dụng",IF($M69&lt;'Tổng quan'!$B$11,"Quá hạn "&amp;('Tổng quan'!$B$11-$M69)&amp;" ngày",IF($M69='Tổng quan'!$B$11,"Đến hạn hôm nay",IF($M69-'Tổng quan'!$B$11&lt;='Cài đặt'!$B$102,"Sắp đến hạn ("&amp;($M69-'Tổng quan'!$B$11)&amp;" ngày)","Còn "&amp;($M69-'Tổng quan'!$B$11)&amp;" ngày")))))))</f>
        <v/>
      </c>
      <c r="P69" s="34"/>
      <c r="Q69" s="31"/>
      <c r="R69" s="29"/>
      <c r="S69" s="35"/>
      <c r="T69" s="26" t="str">
        <f t="shared" si="3"/>
        <v/>
      </c>
      <c r="U69" s="36" t="str">
        <f t="shared" si="4"/>
        <v/>
      </c>
      <c r="V69" s="29"/>
      <c r="W69" s="37">
        <f t="shared" si="5"/>
        <v>99999</v>
      </c>
      <c r="X69" s="37">
        <f t="shared" si="6"/>
        <v>99999</v>
      </c>
      <c r="Y69" s="38" t="str">
        <f t="shared" si="7"/>
        <v/>
      </c>
    </row>
    <row r="70" ht="30.0" customHeight="1">
      <c r="A70" s="10" t="str">
        <f t="shared" si="1"/>
        <v/>
      </c>
      <c r="B70" s="11"/>
      <c r="C70" s="11"/>
      <c r="D70" s="14" t="str">
        <f t="array" ref="D70">IF($C70="","",IFERROR(INDEX('Danh mục thiết bị'!$C$6:$C$65,MATCH($C70,'Danh mục thiết bị'!$B$6:$B$65,0)),"Mã TB không tồn tại"))</f>
        <v/>
      </c>
      <c r="E70" s="14" t="str">
        <f t="array" ref="E70">IF($C70="","",IFERROR(INDEX('Danh mục thiết bị'!$D$6:$D$65,MATCH($C70,'Danh mục thiết bị'!$B$6:$B$65,0)),""))</f>
        <v/>
      </c>
      <c r="F70" s="15"/>
      <c r="G70" s="11"/>
      <c r="H70" s="11"/>
      <c r="I70" s="11"/>
      <c r="J70" s="10" t="str">
        <f t="array" ref="J70">IF($B70="","",IF($I70&lt;&gt;"",$I70,IFERROR(INDEX('Cài đặt'!$B$47:$B$56,MATCH($H70,'Cài đặt'!$A$47:$A$56,0)),"")))</f>
        <v/>
      </c>
      <c r="K70" s="13"/>
      <c r="L70" s="17" t="str">
        <f>IF($B70="","",IF(SUMPRODUCT(MAX(('Nhật ký bảo trì'!$D$6:$D$405=$B70)*('Nhật ký bảo trì'!$Q$6:$Q$405="Hoàn thành")*'Nhật ký bảo trì'!$B$6:$B$405))=0,"",SUMPRODUCT(MAX(('Nhật ký bảo trì'!$D$6:$D$405=$B70)*('Nhật ký bảo trì'!$Q$6:$Q$405="Hoàn thành")*'Nhật ký bảo trì'!$B$6:$B$405))))</f>
        <v/>
      </c>
      <c r="M70" s="17" t="str">
        <f t="shared" si="2"/>
        <v/>
      </c>
      <c r="N70" s="10" t="str">
        <f>IF($M70="","",$M70-'Tổng quan'!$B$11)</f>
        <v/>
      </c>
      <c r="O70" s="10" t="str">
        <f t="array" ref="O70">IF($B70="","",IF(IFERROR(INDEX('Danh mục thiết bị'!$J$6:$J$65,MATCH($C70,'Danh mục thiết bị'!$B$6:$B$65,0)),"")="Ngừng sử dụng","Thiết bị ngừng sử dụng",IF($J70="","Chưa chọn chu kỳ",IF($M70="","Chưa có ngày áp dụng",IF($M70&lt;'Tổng quan'!$B$11,"Quá hạn "&amp;('Tổng quan'!$B$11-$M70)&amp;" ngày",IF($M70='Tổng quan'!$B$11,"Đến hạn hôm nay",IF($M70-'Tổng quan'!$B$11&lt;='Cài đặt'!$B$102,"Sắp đến hạn ("&amp;($M70-'Tổng quan'!$B$11)&amp;" ngày)","Còn "&amp;($M70-'Tổng quan'!$B$11)&amp;" ngày")))))))</f>
        <v/>
      </c>
      <c r="P70" s="19"/>
      <c r="Q70" s="12"/>
      <c r="R70" s="15"/>
      <c r="S70" s="20"/>
      <c r="T70" s="10" t="str">
        <f t="shared" si="3"/>
        <v/>
      </c>
      <c r="U70" s="21" t="str">
        <f t="shared" si="4"/>
        <v/>
      </c>
      <c r="V70" s="15"/>
      <c r="W70" s="23">
        <f t="shared" si="5"/>
        <v>99999</v>
      </c>
      <c r="X70" s="23">
        <f t="shared" si="6"/>
        <v>99999</v>
      </c>
      <c r="Y70" s="25" t="str">
        <f t="shared" si="7"/>
        <v/>
      </c>
    </row>
    <row r="71" ht="30.0" customHeight="1">
      <c r="A71" s="26" t="str">
        <f t="shared" si="1"/>
        <v/>
      </c>
      <c r="B71" s="27"/>
      <c r="C71" s="27"/>
      <c r="D71" s="28" t="str">
        <f t="array" ref="D71">IF($C71="","",IFERROR(INDEX('Danh mục thiết bị'!$C$6:$C$65,MATCH($C71,'Danh mục thiết bị'!$B$6:$B$65,0)),"Mã TB không tồn tại"))</f>
        <v/>
      </c>
      <c r="E71" s="28" t="str">
        <f t="array" ref="E71">IF($C71="","",IFERROR(INDEX('Danh mục thiết bị'!$D$6:$D$65,MATCH($C71,'Danh mục thiết bị'!$B$6:$B$65,0)),""))</f>
        <v/>
      </c>
      <c r="F71" s="29"/>
      <c r="G71" s="27"/>
      <c r="H71" s="27"/>
      <c r="I71" s="27"/>
      <c r="J71" s="26" t="str">
        <f t="array" ref="J71">IF($B71="","",IF($I71&lt;&gt;"",$I71,IFERROR(INDEX('Cài đặt'!$B$47:$B$56,MATCH($H71,'Cài đặt'!$A$47:$A$56,0)),"")))</f>
        <v/>
      </c>
      <c r="K71" s="32"/>
      <c r="L71" s="33" t="str">
        <f>IF($B71="","",IF(SUMPRODUCT(MAX(('Nhật ký bảo trì'!$D$6:$D$405=$B71)*('Nhật ký bảo trì'!$Q$6:$Q$405="Hoàn thành")*'Nhật ký bảo trì'!$B$6:$B$405))=0,"",SUMPRODUCT(MAX(('Nhật ký bảo trì'!$D$6:$D$405=$B71)*('Nhật ký bảo trì'!$Q$6:$Q$405="Hoàn thành")*'Nhật ký bảo trì'!$B$6:$B$405))))</f>
        <v/>
      </c>
      <c r="M71" s="33" t="str">
        <f t="shared" si="2"/>
        <v/>
      </c>
      <c r="N71" s="26" t="str">
        <f>IF($M71="","",$M71-'Tổng quan'!$B$11)</f>
        <v/>
      </c>
      <c r="O71" s="26" t="str">
        <f t="array" ref="O71">IF($B71="","",IF(IFERROR(INDEX('Danh mục thiết bị'!$J$6:$J$65,MATCH($C71,'Danh mục thiết bị'!$B$6:$B$65,0)),"")="Ngừng sử dụng","Thiết bị ngừng sử dụng",IF($J71="","Chưa chọn chu kỳ",IF($M71="","Chưa có ngày áp dụng",IF($M71&lt;'Tổng quan'!$B$11,"Quá hạn "&amp;('Tổng quan'!$B$11-$M71)&amp;" ngày",IF($M71='Tổng quan'!$B$11,"Đến hạn hôm nay",IF($M71-'Tổng quan'!$B$11&lt;='Cài đặt'!$B$102,"Sắp đến hạn ("&amp;($M71-'Tổng quan'!$B$11)&amp;" ngày)","Còn "&amp;($M71-'Tổng quan'!$B$11)&amp;" ngày")))))))</f>
        <v/>
      </c>
      <c r="P71" s="34"/>
      <c r="Q71" s="31"/>
      <c r="R71" s="29"/>
      <c r="S71" s="35"/>
      <c r="T71" s="26" t="str">
        <f t="shared" si="3"/>
        <v/>
      </c>
      <c r="U71" s="36" t="str">
        <f t="shared" si="4"/>
        <v/>
      </c>
      <c r="V71" s="29"/>
      <c r="W71" s="37">
        <f t="shared" si="5"/>
        <v>99999</v>
      </c>
      <c r="X71" s="37">
        <f t="shared" si="6"/>
        <v>99999</v>
      </c>
      <c r="Y71" s="38" t="str">
        <f t="shared" si="7"/>
        <v/>
      </c>
    </row>
    <row r="72" ht="30.0" customHeight="1">
      <c r="A72" s="10" t="str">
        <f t="shared" si="1"/>
        <v/>
      </c>
      <c r="B72" s="11"/>
      <c r="C72" s="11"/>
      <c r="D72" s="14" t="str">
        <f t="array" ref="D72">IF($C72="","",IFERROR(INDEX('Danh mục thiết bị'!$C$6:$C$65,MATCH($C72,'Danh mục thiết bị'!$B$6:$B$65,0)),"Mã TB không tồn tại"))</f>
        <v/>
      </c>
      <c r="E72" s="14" t="str">
        <f t="array" ref="E72">IF($C72="","",IFERROR(INDEX('Danh mục thiết bị'!$D$6:$D$65,MATCH($C72,'Danh mục thiết bị'!$B$6:$B$65,0)),""))</f>
        <v/>
      </c>
      <c r="F72" s="15"/>
      <c r="G72" s="11"/>
      <c r="H72" s="11"/>
      <c r="I72" s="11"/>
      <c r="J72" s="10" t="str">
        <f t="array" ref="J72">IF($B72="","",IF($I72&lt;&gt;"",$I72,IFERROR(INDEX('Cài đặt'!$B$47:$B$56,MATCH($H72,'Cài đặt'!$A$47:$A$56,0)),"")))</f>
        <v/>
      </c>
      <c r="K72" s="13"/>
      <c r="L72" s="17" t="str">
        <f>IF($B72="","",IF(SUMPRODUCT(MAX(('Nhật ký bảo trì'!$D$6:$D$405=$B72)*('Nhật ký bảo trì'!$Q$6:$Q$405="Hoàn thành")*'Nhật ký bảo trì'!$B$6:$B$405))=0,"",SUMPRODUCT(MAX(('Nhật ký bảo trì'!$D$6:$D$405=$B72)*('Nhật ký bảo trì'!$Q$6:$Q$405="Hoàn thành")*'Nhật ký bảo trì'!$B$6:$B$405))))</f>
        <v/>
      </c>
      <c r="M72" s="17" t="str">
        <f t="shared" si="2"/>
        <v/>
      </c>
      <c r="N72" s="10" t="str">
        <f>IF($M72="","",$M72-'Tổng quan'!$B$11)</f>
        <v/>
      </c>
      <c r="O72" s="10" t="str">
        <f t="array" ref="O72">IF($B72="","",IF(IFERROR(INDEX('Danh mục thiết bị'!$J$6:$J$65,MATCH($C72,'Danh mục thiết bị'!$B$6:$B$65,0)),"")="Ngừng sử dụng","Thiết bị ngừng sử dụng",IF($J72="","Chưa chọn chu kỳ",IF($M72="","Chưa có ngày áp dụng",IF($M72&lt;'Tổng quan'!$B$11,"Quá hạn "&amp;('Tổng quan'!$B$11-$M72)&amp;" ngày",IF($M72='Tổng quan'!$B$11,"Đến hạn hôm nay",IF($M72-'Tổng quan'!$B$11&lt;='Cài đặt'!$B$102,"Sắp đến hạn ("&amp;($M72-'Tổng quan'!$B$11)&amp;" ngày)","Còn "&amp;($M72-'Tổng quan'!$B$11)&amp;" ngày")))))))</f>
        <v/>
      </c>
      <c r="P72" s="19"/>
      <c r="Q72" s="12"/>
      <c r="R72" s="15"/>
      <c r="S72" s="20"/>
      <c r="T72" s="10" t="str">
        <f t="shared" si="3"/>
        <v/>
      </c>
      <c r="U72" s="21" t="str">
        <f t="shared" si="4"/>
        <v/>
      </c>
      <c r="V72" s="15"/>
      <c r="W72" s="23">
        <f t="shared" si="5"/>
        <v>99999</v>
      </c>
      <c r="X72" s="23">
        <f t="shared" si="6"/>
        <v>99999</v>
      </c>
      <c r="Y72" s="25" t="str">
        <f t="shared" si="7"/>
        <v/>
      </c>
    </row>
    <row r="73" ht="30.0" customHeight="1">
      <c r="A73" s="26" t="str">
        <f t="shared" si="1"/>
        <v/>
      </c>
      <c r="B73" s="27"/>
      <c r="C73" s="27"/>
      <c r="D73" s="28" t="str">
        <f t="array" ref="D73">IF($C73="","",IFERROR(INDEX('Danh mục thiết bị'!$C$6:$C$65,MATCH($C73,'Danh mục thiết bị'!$B$6:$B$65,0)),"Mã TB không tồn tại"))</f>
        <v/>
      </c>
      <c r="E73" s="28" t="str">
        <f t="array" ref="E73">IF($C73="","",IFERROR(INDEX('Danh mục thiết bị'!$D$6:$D$65,MATCH($C73,'Danh mục thiết bị'!$B$6:$B$65,0)),""))</f>
        <v/>
      </c>
      <c r="F73" s="29"/>
      <c r="G73" s="27"/>
      <c r="H73" s="27"/>
      <c r="I73" s="27"/>
      <c r="J73" s="26" t="str">
        <f t="array" ref="J73">IF($B73="","",IF($I73&lt;&gt;"",$I73,IFERROR(INDEX('Cài đặt'!$B$47:$B$56,MATCH($H73,'Cài đặt'!$A$47:$A$56,0)),"")))</f>
        <v/>
      </c>
      <c r="K73" s="32"/>
      <c r="L73" s="33" t="str">
        <f>IF($B73="","",IF(SUMPRODUCT(MAX(('Nhật ký bảo trì'!$D$6:$D$405=$B73)*('Nhật ký bảo trì'!$Q$6:$Q$405="Hoàn thành")*'Nhật ký bảo trì'!$B$6:$B$405))=0,"",SUMPRODUCT(MAX(('Nhật ký bảo trì'!$D$6:$D$405=$B73)*('Nhật ký bảo trì'!$Q$6:$Q$405="Hoàn thành")*'Nhật ký bảo trì'!$B$6:$B$405))))</f>
        <v/>
      </c>
      <c r="M73" s="33" t="str">
        <f t="shared" si="2"/>
        <v/>
      </c>
      <c r="N73" s="26" t="str">
        <f>IF($M73="","",$M73-'Tổng quan'!$B$11)</f>
        <v/>
      </c>
      <c r="O73" s="26" t="str">
        <f t="array" ref="O73">IF($B73="","",IF(IFERROR(INDEX('Danh mục thiết bị'!$J$6:$J$65,MATCH($C73,'Danh mục thiết bị'!$B$6:$B$65,0)),"")="Ngừng sử dụng","Thiết bị ngừng sử dụng",IF($J73="","Chưa chọn chu kỳ",IF($M73="","Chưa có ngày áp dụng",IF($M73&lt;'Tổng quan'!$B$11,"Quá hạn "&amp;('Tổng quan'!$B$11-$M73)&amp;" ngày",IF($M73='Tổng quan'!$B$11,"Đến hạn hôm nay",IF($M73-'Tổng quan'!$B$11&lt;='Cài đặt'!$B$102,"Sắp đến hạn ("&amp;($M73-'Tổng quan'!$B$11)&amp;" ngày)","Còn "&amp;($M73-'Tổng quan'!$B$11)&amp;" ngày")))))))</f>
        <v/>
      </c>
      <c r="P73" s="34"/>
      <c r="Q73" s="31"/>
      <c r="R73" s="29"/>
      <c r="S73" s="35"/>
      <c r="T73" s="26" t="str">
        <f t="shared" si="3"/>
        <v/>
      </c>
      <c r="U73" s="36" t="str">
        <f t="shared" si="4"/>
        <v/>
      </c>
      <c r="V73" s="29"/>
      <c r="W73" s="37">
        <f t="shared" si="5"/>
        <v>99999</v>
      </c>
      <c r="X73" s="37">
        <f t="shared" si="6"/>
        <v>99999</v>
      </c>
      <c r="Y73" s="38" t="str">
        <f t="shared" si="7"/>
        <v/>
      </c>
    </row>
    <row r="74" ht="30.0" customHeight="1">
      <c r="A74" s="10" t="str">
        <f t="shared" si="1"/>
        <v/>
      </c>
      <c r="B74" s="11"/>
      <c r="C74" s="11"/>
      <c r="D74" s="14" t="str">
        <f t="array" ref="D74">IF($C74="","",IFERROR(INDEX('Danh mục thiết bị'!$C$6:$C$65,MATCH($C74,'Danh mục thiết bị'!$B$6:$B$65,0)),"Mã TB không tồn tại"))</f>
        <v/>
      </c>
      <c r="E74" s="14" t="str">
        <f t="array" ref="E74">IF($C74="","",IFERROR(INDEX('Danh mục thiết bị'!$D$6:$D$65,MATCH($C74,'Danh mục thiết bị'!$B$6:$B$65,0)),""))</f>
        <v/>
      </c>
      <c r="F74" s="15"/>
      <c r="G74" s="11"/>
      <c r="H74" s="11"/>
      <c r="I74" s="11"/>
      <c r="J74" s="10" t="str">
        <f t="array" ref="J74">IF($B74="","",IF($I74&lt;&gt;"",$I74,IFERROR(INDEX('Cài đặt'!$B$47:$B$56,MATCH($H74,'Cài đặt'!$A$47:$A$56,0)),"")))</f>
        <v/>
      </c>
      <c r="K74" s="13"/>
      <c r="L74" s="17" t="str">
        <f>IF($B74="","",IF(SUMPRODUCT(MAX(('Nhật ký bảo trì'!$D$6:$D$405=$B74)*('Nhật ký bảo trì'!$Q$6:$Q$405="Hoàn thành")*'Nhật ký bảo trì'!$B$6:$B$405))=0,"",SUMPRODUCT(MAX(('Nhật ký bảo trì'!$D$6:$D$405=$B74)*('Nhật ký bảo trì'!$Q$6:$Q$405="Hoàn thành")*'Nhật ký bảo trì'!$B$6:$B$405))))</f>
        <v/>
      </c>
      <c r="M74" s="17" t="str">
        <f t="shared" si="2"/>
        <v/>
      </c>
      <c r="N74" s="10" t="str">
        <f>IF($M74="","",$M74-'Tổng quan'!$B$11)</f>
        <v/>
      </c>
      <c r="O74" s="10" t="str">
        <f t="array" ref="O74">IF($B74="","",IF(IFERROR(INDEX('Danh mục thiết bị'!$J$6:$J$65,MATCH($C74,'Danh mục thiết bị'!$B$6:$B$65,0)),"")="Ngừng sử dụng","Thiết bị ngừng sử dụng",IF($J74="","Chưa chọn chu kỳ",IF($M74="","Chưa có ngày áp dụng",IF($M74&lt;'Tổng quan'!$B$11,"Quá hạn "&amp;('Tổng quan'!$B$11-$M74)&amp;" ngày",IF($M74='Tổng quan'!$B$11,"Đến hạn hôm nay",IF($M74-'Tổng quan'!$B$11&lt;='Cài đặt'!$B$102,"Sắp đến hạn ("&amp;($M74-'Tổng quan'!$B$11)&amp;" ngày)","Còn "&amp;($M74-'Tổng quan'!$B$11)&amp;" ngày")))))))</f>
        <v/>
      </c>
      <c r="P74" s="19"/>
      <c r="Q74" s="12"/>
      <c r="R74" s="15"/>
      <c r="S74" s="20"/>
      <c r="T74" s="10" t="str">
        <f t="shared" si="3"/>
        <v/>
      </c>
      <c r="U74" s="21" t="str">
        <f t="shared" si="4"/>
        <v/>
      </c>
      <c r="V74" s="15"/>
      <c r="W74" s="23">
        <f t="shared" si="5"/>
        <v>99999</v>
      </c>
      <c r="X74" s="23">
        <f t="shared" si="6"/>
        <v>99999</v>
      </c>
      <c r="Y74" s="25" t="str">
        <f t="shared" si="7"/>
        <v/>
      </c>
    </row>
    <row r="75" ht="30.0" customHeight="1">
      <c r="A75" s="26" t="str">
        <f t="shared" si="1"/>
        <v/>
      </c>
      <c r="B75" s="27"/>
      <c r="C75" s="27"/>
      <c r="D75" s="28" t="str">
        <f t="array" ref="D75">IF($C75="","",IFERROR(INDEX('Danh mục thiết bị'!$C$6:$C$65,MATCH($C75,'Danh mục thiết bị'!$B$6:$B$65,0)),"Mã TB không tồn tại"))</f>
        <v/>
      </c>
      <c r="E75" s="28" t="str">
        <f t="array" ref="E75">IF($C75="","",IFERROR(INDEX('Danh mục thiết bị'!$D$6:$D$65,MATCH($C75,'Danh mục thiết bị'!$B$6:$B$65,0)),""))</f>
        <v/>
      </c>
      <c r="F75" s="29"/>
      <c r="G75" s="27"/>
      <c r="H75" s="27"/>
      <c r="I75" s="27"/>
      <c r="J75" s="26" t="str">
        <f t="array" ref="J75">IF($B75="","",IF($I75&lt;&gt;"",$I75,IFERROR(INDEX('Cài đặt'!$B$47:$B$56,MATCH($H75,'Cài đặt'!$A$47:$A$56,0)),"")))</f>
        <v/>
      </c>
      <c r="K75" s="32"/>
      <c r="L75" s="33" t="str">
        <f>IF($B75="","",IF(SUMPRODUCT(MAX(('Nhật ký bảo trì'!$D$6:$D$405=$B75)*('Nhật ký bảo trì'!$Q$6:$Q$405="Hoàn thành")*'Nhật ký bảo trì'!$B$6:$B$405))=0,"",SUMPRODUCT(MAX(('Nhật ký bảo trì'!$D$6:$D$405=$B75)*('Nhật ký bảo trì'!$Q$6:$Q$405="Hoàn thành")*'Nhật ký bảo trì'!$B$6:$B$405))))</f>
        <v/>
      </c>
      <c r="M75" s="33" t="str">
        <f t="shared" si="2"/>
        <v/>
      </c>
      <c r="N75" s="26" t="str">
        <f>IF($M75="","",$M75-'Tổng quan'!$B$11)</f>
        <v/>
      </c>
      <c r="O75" s="26" t="str">
        <f t="array" ref="O75">IF($B75="","",IF(IFERROR(INDEX('Danh mục thiết bị'!$J$6:$J$65,MATCH($C75,'Danh mục thiết bị'!$B$6:$B$65,0)),"")="Ngừng sử dụng","Thiết bị ngừng sử dụng",IF($J75="","Chưa chọn chu kỳ",IF($M75="","Chưa có ngày áp dụng",IF($M75&lt;'Tổng quan'!$B$11,"Quá hạn "&amp;('Tổng quan'!$B$11-$M75)&amp;" ngày",IF($M75='Tổng quan'!$B$11,"Đến hạn hôm nay",IF($M75-'Tổng quan'!$B$11&lt;='Cài đặt'!$B$102,"Sắp đến hạn ("&amp;($M75-'Tổng quan'!$B$11)&amp;" ngày)","Còn "&amp;($M75-'Tổng quan'!$B$11)&amp;" ngày")))))))</f>
        <v/>
      </c>
      <c r="P75" s="34"/>
      <c r="Q75" s="31"/>
      <c r="R75" s="29"/>
      <c r="S75" s="35"/>
      <c r="T75" s="26" t="str">
        <f t="shared" si="3"/>
        <v/>
      </c>
      <c r="U75" s="36" t="str">
        <f t="shared" si="4"/>
        <v/>
      </c>
      <c r="V75" s="29"/>
      <c r="W75" s="37">
        <f t="shared" si="5"/>
        <v>99999</v>
      </c>
      <c r="X75" s="37">
        <f t="shared" si="6"/>
        <v>99999</v>
      </c>
      <c r="Y75" s="38" t="str">
        <f t="shared" si="7"/>
        <v/>
      </c>
    </row>
    <row r="76" ht="30.0" customHeight="1">
      <c r="A76" s="10" t="str">
        <f t="shared" si="1"/>
        <v/>
      </c>
      <c r="B76" s="11"/>
      <c r="C76" s="11"/>
      <c r="D76" s="14" t="str">
        <f t="array" ref="D76">IF($C76="","",IFERROR(INDEX('Danh mục thiết bị'!$C$6:$C$65,MATCH($C76,'Danh mục thiết bị'!$B$6:$B$65,0)),"Mã TB không tồn tại"))</f>
        <v/>
      </c>
      <c r="E76" s="14" t="str">
        <f t="array" ref="E76">IF($C76="","",IFERROR(INDEX('Danh mục thiết bị'!$D$6:$D$65,MATCH($C76,'Danh mục thiết bị'!$B$6:$B$65,0)),""))</f>
        <v/>
      </c>
      <c r="F76" s="15"/>
      <c r="G76" s="11"/>
      <c r="H76" s="11"/>
      <c r="I76" s="11"/>
      <c r="J76" s="10" t="str">
        <f t="array" ref="J76">IF($B76="","",IF($I76&lt;&gt;"",$I76,IFERROR(INDEX('Cài đặt'!$B$47:$B$56,MATCH($H76,'Cài đặt'!$A$47:$A$56,0)),"")))</f>
        <v/>
      </c>
      <c r="K76" s="13"/>
      <c r="L76" s="17" t="str">
        <f>IF($B76="","",IF(SUMPRODUCT(MAX(('Nhật ký bảo trì'!$D$6:$D$405=$B76)*('Nhật ký bảo trì'!$Q$6:$Q$405="Hoàn thành")*'Nhật ký bảo trì'!$B$6:$B$405))=0,"",SUMPRODUCT(MAX(('Nhật ký bảo trì'!$D$6:$D$405=$B76)*('Nhật ký bảo trì'!$Q$6:$Q$405="Hoàn thành")*'Nhật ký bảo trì'!$B$6:$B$405))))</f>
        <v/>
      </c>
      <c r="M76" s="17" t="str">
        <f t="shared" si="2"/>
        <v/>
      </c>
      <c r="N76" s="10" t="str">
        <f>IF($M76="","",$M76-'Tổng quan'!$B$11)</f>
        <v/>
      </c>
      <c r="O76" s="10" t="str">
        <f t="array" ref="O76">IF($B76="","",IF(IFERROR(INDEX('Danh mục thiết bị'!$J$6:$J$65,MATCH($C76,'Danh mục thiết bị'!$B$6:$B$65,0)),"")="Ngừng sử dụng","Thiết bị ngừng sử dụng",IF($J76="","Chưa chọn chu kỳ",IF($M76="","Chưa có ngày áp dụng",IF($M76&lt;'Tổng quan'!$B$11,"Quá hạn "&amp;('Tổng quan'!$B$11-$M76)&amp;" ngày",IF($M76='Tổng quan'!$B$11,"Đến hạn hôm nay",IF($M76-'Tổng quan'!$B$11&lt;='Cài đặt'!$B$102,"Sắp đến hạn ("&amp;($M76-'Tổng quan'!$B$11)&amp;" ngày)","Còn "&amp;($M76-'Tổng quan'!$B$11)&amp;" ngày")))))))</f>
        <v/>
      </c>
      <c r="P76" s="19"/>
      <c r="Q76" s="12"/>
      <c r="R76" s="15"/>
      <c r="S76" s="20"/>
      <c r="T76" s="10" t="str">
        <f t="shared" si="3"/>
        <v/>
      </c>
      <c r="U76" s="21" t="str">
        <f t="shared" si="4"/>
        <v/>
      </c>
      <c r="V76" s="15"/>
      <c r="W76" s="23">
        <f t="shared" si="5"/>
        <v>99999</v>
      </c>
      <c r="X76" s="23">
        <f t="shared" si="6"/>
        <v>99999</v>
      </c>
      <c r="Y76" s="25" t="str">
        <f t="shared" si="7"/>
        <v/>
      </c>
    </row>
    <row r="77" ht="30.0" customHeight="1">
      <c r="A77" s="26" t="str">
        <f t="shared" si="1"/>
        <v/>
      </c>
      <c r="B77" s="27"/>
      <c r="C77" s="27"/>
      <c r="D77" s="28" t="str">
        <f t="array" ref="D77">IF($C77="","",IFERROR(INDEX('Danh mục thiết bị'!$C$6:$C$65,MATCH($C77,'Danh mục thiết bị'!$B$6:$B$65,0)),"Mã TB không tồn tại"))</f>
        <v/>
      </c>
      <c r="E77" s="28" t="str">
        <f t="array" ref="E77">IF($C77="","",IFERROR(INDEX('Danh mục thiết bị'!$D$6:$D$65,MATCH($C77,'Danh mục thiết bị'!$B$6:$B$65,0)),""))</f>
        <v/>
      </c>
      <c r="F77" s="29"/>
      <c r="G77" s="27"/>
      <c r="H77" s="27"/>
      <c r="I77" s="27"/>
      <c r="J77" s="26" t="str">
        <f t="array" ref="J77">IF($B77="","",IF($I77&lt;&gt;"",$I77,IFERROR(INDEX('Cài đặt'!$B$47:$B$56,MATCH($H77,'Cài đặt'!$A$47:$A$56,0)),"")))</f>
        <v/>
      </c>
      <c r="K77" s="32"/>
      <c r="L77" s="33" t="str">
        <f>IF($B77="","",IF(SUMPRODUCT(MAX(('Nhật ký bảo trì'!$D$6:$D$405=$B77)*('Nhật ký bảo trì'!$Q$6:$Q$405="Hoàn thành")*'Nhật ký bảo trì'!$B$6:$B$405))=0,"",SUMPRODUCT(MAX(('Nhật ký bảo trì'!$D$6:$D$405=$B77)*('Nhật ký bảo trì'!$Q$6:$Q$405="Hoàn thành")*'Nhật ký bảo trì'!$B$6:$B$405))))</f>
        <v/>
      </c>
      <c r="M77" s="33" t="str">
        <f t="shared" si="2"/>
        <v/>
      </c>
      <c r="N77" s="26" t="str">
        <f>IF($M77="","",$M77-'Tổng quan'!$B$11)</f>
        <v/>
      </c>
      <c r="O77" s="26" t="str">
        <f t="array" ref="O77">IF($B77="","",IF(IFERROR(INDEX('Danh mục thiết bị'!$J$6:$J$65,MATCH($C77,'Danh mục thiết bị'!$B$6:$B$65,0)),"")="Ngừng sử dụng","Thiết bị ngừng sử dụng",IF($J77="","Chưa chọn chu kỳ",IF($M77="","Chưa có ngày áp dụng",IF($M77&lt;'Tổng quan'!$B$11,"Quá hạn "&amp;('Tổng quan'!$B$11-$M77)&amp;" ngày",IF($M77='Tổng quan'!$B$11,"Đến hạn hôm nay",IF($M77-'Tổng quan'!$B$11&lt;='Cài đặt'!$B$102,"Sắp đến hạn ("&amp;($M77-'Tổng quan'!$B$11)&amp;" ngày)","Còn "&amp;($M77-'Tổng quan'!$B$11)&amp;" ngày")))))))</f>
        <v/>
      </c>
      <c r="P77" s="34"/>
      <c r="Q77" s="31"/>
      <c r="R77" s="29"/>
      <c r="S77" s="35"/>
      <c r="T77" s="26" t="str">
        <f t="shared" si="3"/>
        <v/>
      </c>
      <c r="U77" s="36" t="str">
        <f t="shared" si="4"/>
        <v/>
      </c>
      <c r="V77" s="29"/>
      <c r="W77" s="37">
        <f t="shared" si="5"/>
        <v>99999</v>
      </c>
      <c r="X77" s="37">
        <f t="shared" si="6"/>
        <v>99999</v>
      </c>
      <c r="Y77" s="38" t="str">
        <f t="shared" si="7"/>
        <v/>
      </c>
    </row>
    <row r="78" ht="30.0" customHeight="1">
      <c r="A78" s="10" t="str">
        <f t="shared" si="1"/>
        <v/>
      </c>
      <c r="B78" s="11"/>
      <c r="C78" s="11"/>
      <c r="D78" s="14" t="str">
        <f t="array" ref="D78">IF($C78="","",IFERROR(INDEX('Danh mục thiết bị'!$C$6:$C$65,MATCH($C78,'Danh mục thiết bị'!$B$6:$B$65,0)),"Mã TB không tồn tại"))</f>
        <v/>
      </c>
      <c r="E78" s="14" t="str">
        <f t="array" ref="E78">IF($C78="","",IFERROR(INDEX('Danh mục thiết bị'!$D$6:$D$65,MATCH($C78,'Danh mục thiết bị'!$B$6:$B$65,0)),""))</f>
        <v/>
      </c>
      <c r="F78" s="15"/>
      <c r="G78" s="11"/>
      <c r="H78" s="11"/>
      <c r="I78" s="11"/>
      <c r="J78" s="10" t="str">
        <f t="array" ref="J78">IF($B78="","",IF($I78&lt;&gt;"",$I78,IFERROR(INDEX('Cài đặt'!$B$47:$B$56,MATCH($H78,'Cài đặt'!$A$47:$A$56,0)),"")))</f>
        <v/>
      </c>
      <c r="K78" s="13"/>
      <c r="L78" s="17" t="str">
        <f>IF($B78="","",IF(SUMPRODUCT(MAX(('Nhật ký bảo trì'!$D$6:$D$405=$B78)*('Nhật ký bảo trì'!$Q$6:$Q$405="Hoàn thành")*'Nhật ký bảo trì'!$B$6:$B$405))=0,"",SUMPRODUCT(MAX(('Nhật ký bảo trì'!$D$6:$D$405=$B78)*('Nhật ký bảo trì'!$Q$6:$Q$405="Hoàn thành")*'Nhật ký bảo trì'!$B$6:$B$405))))</f>
        <v/>
      </c>
      <c r="M78" s="17" t="str">
        <f t="shared" si="2"/>
        <v/>
      </c>
      <c r="N78" s="10" t="str">
        <f>IF($M78="","",$M78-'Tổng quan'!$B$11)</f>
        <v/>
      </c>
      <c r="O78" s="10" t="str">
        <f t="array" ref="O78">IF($B78="","",IF(IFERROR(INDEX('Danh mục thiết bị'!$J$6:$J$65,MATCH($C78,'Danh mục thiết bị'!$B$6:$B$65,0)),"")="Ngừng sử dụng","Thiết bị ngừng sử dụng",IF($J78="","Chưa chọn chu kỳ",IF($M78="","Chưa có ngày áp dụng",IF($M78&lt;'Tổng quan'!$B$11,"Quá hạn "&amp;('Tổng quan'!$B$11-$M78)&amp;" ngày",IF($M78='Tổng quan'!$B$11,"Đến hạn hôm nay",IF($M78-'Tổng quan'!$B$11&lt;='Cài đặt'!$B$102,"Sắp đến hạn ("&amp;($M78-'Tổng quan'!$B$11)&amp;" ngày)","Còn "&amp;($M78-'Tổng quan'!$B$11)&amp;" ngày")))))))</f>
        <v/>
      </c>
      <c r="P78" s="19"/>
      <c r="Q78" s="12"/>
      <c r="R78" s="15"/>
      <c r="S78" s="20"/>
      <c r="T78" s="10" t="str">
        <f t="shared" si="3"/>
        <v/>
      </c>
      <c r="U78" s="21" t="str">
        <f t="shared" si="4"/>
        <v/>
      </c>
      <c r="V78" s="15"/>
      <c r="W78" s="23">
        <f t="shared" si="5"/>
        <v>99999</v>
      </c>
      <c r="X78" s="23">
        <f t="shared" si="6"/>
        <v>99999</v>
      </c>
      <c r="Y78" s="25" t="str">
        <f t="shared" si="7"/>
        <v/>
      </c>
    </row>
    <row r="79" ht="30.0" customHeight="1">
      <c r="A79" s="26" t="str">
        <f t="shared" si="1"/>
        <v/>
      </c>
      <c r="B79" s="27"/>
      <c r="C79" s="27"/>
      <c r="D79" s="28" t="str">
        <f t="array" ref="D79">IF($C79="","",IFERROR(INDEX('Danh mục thiết bị'!$C$6:$C$65,MATCH($C79,'Danh mục thiết bị'!$B$6:$B$65,0)),"Mã TB không tồn tại"))</f>
        <v/>
      </c>
      <c r="E79" s="28" t="str">
        <f t="array" ref="E79">IF($C79="","",IFERROR(INDEX('Danh mục thiết bị'!$D$6:$D$65,MATCH($C79,'Danh mục thiết bị'!$B$6:$B$65,0)),""))</f>
        <v/>
      </c>
      <c r="F79" s="29"/>
      <c r="G79" s="27"/>
      <c r="H79" s="27"/>
      <c r="I79" s="27"/>
      <c r="J79" s="26" t="str">
        <f t="array" ref="J79">IF($B79="","",IF($I79&lt;&gt;"",$I79,IFERROR(INDEX('Cài đặt'!$B$47:$B$56,MATCH($H79,'Cài đặt'!$A$47:$A$56,0)),"")))</f>
        <v/>
      </c>
      <c r="K79" s="32"/>
      <c r="L79" s="33" t="str">
        <f>IF($B79="","",IF(SUMPRODUCT(MAX(('Nhật ký bảo trì'!$D$6:$D$405=$B79)*('Nhật ký bảo trì'!$Q$6:$Q$405="Hoàn thành")*'Nhật ký bảo trì'!$B$6:$B$405))=0,"",SUMPRODUCT(MAX(('Nhật ký bảo trì'!$D$6:$D$405=$B79)*('Nhật ký bảo trì'!$Q$6:$Q$405="Hoàn thành")*'Nhật ký bảo trì'!$B$6:$B$405))))</f>
        <v/>
      </c>
      <c r="M79" s="33" t="str">
        <f t="shared" si="2"/>
        <v/>
      </c>
      <c r="N79" s="26" t="str">
        <f>IF($M79="","",$M79-'Tổng quan'!$B$11)</f>
        <v/>
      </c>
      <c r="O79" s="26" t="str">
        <f t="array" ref="O79">IF($B79="","",IF(IFERROR(INDEX('Danh mục thiết bị'!$J$6:$J$65,MATCH($C79,'Danh mục thiết bị'!$B$6:$B$65,0)),"")="Ngừng sử dụng","Thiết bị ngừng sử dụng",IF($J79="","Chưa chọn chu kỳ",IF($M79="","Chưa có ngày áp dụng",IF($M79&lt;'Tổng quan'!$B$11,"Quá hạn "&amp;('Tổng quan'!$B$11-$M79)&amp;" ngày",IF($M79='Tổng quan'!$B$11,"Đến hạn hôm nay",IF($M79-'Tổng quan'!$B$11&lt;='Cài đặt'!$B$102,"Sắp đến hạn ("&amp;($M79-'Tổng quan'!$B$11)&amp;" ngày)","Còn "&amp;($M79-'Tổng quan'!$B$11)&amp;" ngày")))))))</f>
        <v/>
      </c>
      <c r="P79" s="34"/>
      <c r="Q79" s="31"/>
      <c r="R79" s="29"/>
      <c r="S79" s="35"/>
      <c r="T79" s="26" t="str">
        <f t="shared" si="3"/>
        <v/>
      </c>
      <c r="U79" s="36" t="str">
        <f t="shared" si="4"/>
        <v/>
      </c>
      <c r="V79" s="29"/>
      <c r="W79" s="37">
        <f t="shared" si="5"/>
        <v>99999</v>
      </c>
      <c r="X79" s="37">
        <f t="shared" si="6"/>
        <v>99999</v>
      </c>
      <c r="Y79" s="38" t="str">
        <f t="shared" si="7"/>
        <v/>
      </c>
    </row>
    <row r="80" ht="30.0" customHeight="1">
      <c r="A80" s="10" t="str">
        <f t="shared" si="1"/>
        <v/>
      </c>
      <c r="B80" s="11"/>
      <c r="C80" s="11"/>
      <c r="D80" s="14" t="str">
        <f t="array" ref="D80">IF($C80="","",IFERROR(INDEX('Danh mục thiết bị'!$C$6:$C$65,MATCH($C80,'Danh mục thiết bị'!$B$6:$B$65,0)),"Mã TB không tồn tại"))</f>
        <v/>
      </c>
      <c r="E80" s="14" t="str">
        <f t="array" ref="E80">IF($C80="","",IFERROR(INDEX('Danh mục thiết bị'!$D$6:$D$65,MATCH($C80,'Danh mục thiết bị'!$B$6:$B$65,0)),""))</f>
        <v/>
      </c>
      <c r="F80" s="15"/>
      <c r="G80" s="11"/>
      <c r="H80" s="11"/>
      <c r="I80" s="11"/>
      <c r="J80" s="10" t="str">
        <f t="array" ref="J80">IF($B80="","",IF($I80&lt;&gt;"",$I80,IFERROR(INDEX('Cài đặt'!$B$47:$B$56,MATCH($H80,'Cài đặt'!$A$47:$A$56,0)),"")))</f>
        <v/>
      </c>
      <c r="K80" s="13"/>
      <c r="L80" s="17" t="str">
        <f>IF($B80="","",IF(SUMPRODUCT(MAX(('Nhật ký bảo trì'!$D$6:$D$405=$B80)*('Nhật ký bảo trì'!$Q$6:$Q$405="Hoàn thành")*'Nhật ký bảo trì'!$B$6:$B$405))=0,"",SUMPRODUCT(MAX(('Nhật ký bảo trì'!$D$6:$D$405=$B80)*('Nhật ký bảo trì'!$Q$6:$Q$405="Hoàn thành")*'Nhật ký bảo trì'!$B$6:$B$405))))</f>
        <v/>
      </c>
      <c r="M80" s="17" t="str">
        <f t="shared" si="2"/>
        <v/>
      </c>
      <c r="N80" s="10" t="str">
        <f>IF($M80="","",$M80-'Tổng quan'!$B$11)</f>
        <v/>
      </c>
      <c r="O80" s="10" t="str">
        <f t="array" ref="O80">IF($B80="","",IF(IFERROR(INDEX('Danh mục thiết bị'!$J$6:$J$65,MATCH($C80,'Danh mục thiết bị'!$B$6:$B$65,0)),"")="Ngừng sử dụng","Thiết bị ngừng sử dụng",IF($J80="","Chưa chọn chu kỳ",IF($M80="","Chưa có ngày áp dụng",IF($M80&lt;'Tổng quan'!$B$11,"Quá hạn "&amp;('Tổng quan'!$B$11-$M80)&amp;" ngày",IF($M80='Tổng quan'!$B$11,"Đến hạn hôm nay",IF($M80-'Tổng quan'!$B$11&lt;='Cài đặt'!$B$102,"Sắp đến hạn ("&amp;($M80-'Tổng quan'!$B$11)&amp;" ngày)","Còn "&amp;($M80-'Tổng quan'!$B$11)&amp;" ngày")))))))</f>
        <v/>
      </c>
      <c r="P80" s="19"/>
      <c r="Q80" s="12"/>
      <c r="R80" s="15"/>
      <c r="S80" s="20"/>
      <c r="T80" s="10" t="str">
        <f t="shared" si="3"/>
        <v/>
      </c>
      <c r="U80" s="21" t="str">
        <f t="shared" si="4"/>
        <v/>
      </c>
      <c r="V80" s="15"/>
      <c r="W80" s="23">
        <f t="shared" si="5"/>
        <v>99999</v>
      </c>
      <c r="X80" s="23">
        <f t="shared" si="6"/>
        <v>99999</v>
      </c>
      <c r="Y80" s="25" t="str">
        <f t="shared" si="7"/>
        <v/>
      </c>
    </row>
    <row r="81" ht="30.0" customHeight="1">
      <c r="A81" s="26" t="str">
        <f t="shared" si="1"/>
        <v/>
      </c>
      <c r="B81" s="27"/>
      <c r="C81" s="27"/>
      <c r="D81" s="28" t="str">
        <f t="array" ref="D81">IF($C81="","",IFERROR(INDEX('Danh mục thiết bị'!$C$6:$C$65,MATCH($C81,'Danh mục thiết bị'!$B$6:$B$65,0)),"Mã TB không tồn tại"))</f>
        <v/>
      </c>
      <c r="E81" s="28" t="str">
        <f t="array" ref="E81">IF($C81="","",IFERROR(INDEX('Danh mục thiết bị'!$D$6:$D$65,MATCH($C81,'Danh mục thiết bị'!$B$6:$B$65,0)),""))</f>
        <v/>
      </c>
      <c r="F81" s="29"/>
      <c r="G81" s="27"/>
      <c r="H81" s="27"/>
      <c r="I81" s="27"/>
      <c r="J81" s="26" t="str">
        <f t="array" ref="J81">IF($B81="","",IF($I81&lt;&gt;"",$I81,IFERROR(INDEX('Cài đặt'!$B$47:$B$56,MATCH($H81,'Cài đặt'!$A$47:$A$56,0)),"")))</f>
        <v/>
      </c>
      <c r="K81" s="32"/>
      <c r="L81" s="33" t="str">
        <f>IF($B81="","",IF(SUMPRODUCT(MAX(('Nhật ký bảo trì'!$D$6:$D$405=$B81)*('Nhật ký bảo trì'!$Q$6:$Q$405="Hoàn thành")*'Nhật ký bảo trì'!$B$6:$B$405))=0,"",SUMPRODUCT(MAX(('Nhật ký bảo trì'!$D$6:$D$405=$B81)*('Nhật ký bảo trì'!$Q$6:$Q$405="Hoàn thành")*'Nhật ký bảo trì'!$B$6:$B$405))))</f>
        <v/>
      </c>
      <c r="M81" s="33" t="str">
        <f t="shared" si="2"/>
        <v/>
      </c>
      <c r="N81" s="26" t="str">
        <f>IF($M81="","",$M81-'Tổng quan'!$B$11)</f>
        <v/>
      </c>
      <c r="O81" s="26" t="str">
        <f t="array" ref="O81">IF($B81="","",IF(IFERROR(INDEX('Danh mục thiết bị'!$J$6:$J$65,MATCH($C81,'Danh mục thiết bị'!$B$6:$B$65,0)),"")="Ngừng sử dụng","Thiết bị ngừng sử dụng",IF($J81="","Chưa chọn chu kỳ",IF($M81="","Chưa có ngày áp dụng",IF($M81&lt;'Tổng quan'!$B$11,"Quá hạn "&amp;('Tổng quan'!$B$11-$M81)&amp;" ngày",IF($M81='Tổng quan'!$B$11,"Đến hạn hôm nay",IF($M81-'Tổng quan'!$B$11&lt;='Cài đặt'!$B$102,"Sắp đến hạn ("&amp;($M81-'Tổng quan'!$B$11)&amp;" ngày)","Còn "&amp;($M81-'Tổng quan'!$B$11)&amp;" ngày")))))))</f>
        <v/>
      </c>
      <c r="P81" s="34"/>
      <c r="Q81" s="31"/>
      <c r="R81" s="29"/>
      <c r="S81" s="35"/>
      <c r="T81" s="26" t="str">
        <f t="shared" si="3"/>
        <v/>
      </c>
      <c r="U81" s="36" t="str">
        <f t="shared" si="4"/>
        <v/>
      </c>
      <c r="V81" s="29"/>
      <c r="W81" s="37">
        <f t="shared" si="5"/>
        <v>99999</v>
      </c>
      <c r="X81" s="37">
        <f t="shared" si="6"/>
        <v>99999</v>
      </c>
      <c r="Y81" s="38" t="str">
        <f t="shared" si="7"/>
        <v/>
      </c>
    </row>
    <row r="82" ht="30.0" customHeight="1">
      <c r="A82" s="10" t="str">
        <f t="shared" si="1"/>
        <v/>
      </c>
      <c r="B82" s="11"/>
      <c r="C82" s="11"/>
      <c r="D82" s="14" t="str">
        <f t="array" ref="D82">IF($C82="","",IFERROR(INDEX('Danh mục thiết bị'!$C$6:$C$65,MATCH($C82,'Danh mục thiết bị'!$B$6:$B$65,0)),"Mã TB không tồn tại"))</f>
        <v/>
      </c>
      <c r="E82" s="14" t="str">
        <f t="array" ref="E82">IF($C82="","",IFERROR(INDEX('Danh mục thiết bị'!$D$6:$D$65,MATCH($C82,'Danh mục thiết bị'!$B$6:$B$65,0)),""))</f>
        <v/>
      </c>
      <c r="F82" s="15"/>
      <c r="G82" s="11"/>
      <c r="H82" s="11"/>
      <c r="I82" s="11"/>
      <c r="J82" s="10" t="str">
        <f t="array" ref="J82">IF($B82="","",IF($I82&lt;&gt;"",$I82,IFERROR(INDEX('Cài đặt'!$B$47:$B$56,MATCH($H82,'Cài đặt'!$A$47:$A$56,0)),"")))</f>
        <v/>
      </c>
      <c r="K82" s="13"/>
      <c r="L82" s="17" t="str">
        <f>IF($B82="","",IF(SUMPRODUCT(MAX(('Nhật ký bảo trì'!$D$6:$D$405=$B82)*('Nhật ký bảo trì'!$Q$6:$Q$405="Hoàn thành")*'Nhật ký bảo trì'!$B$6:$B$405))=0,"",SUMPRODUCT(MAX(('Nhật ký bảo trì'!$D$6:$D$405=$B82)*('Nhật ký bảo trì'!$Q$6:$Q$405="Hoàn thành")*'Nhật ký bảo trì'!$B$6:$B$405))))</f>
        <v/>
      </c>
      <c r="M82" s="17" t="str">
        <f t="shared" si="2"/>
        <v/>
      </c>
      <c r="N82" s="10" t="str">
        <f>IF($M82="","",$M82-'Tổng quan'!$B$11)</f>
        <v/>
      </c>
      <c r="O82" s="10" t="str">
        <f t="array" ref="O82">IF($B82="","",IF(IFERROR(INDEX('Danh mục thiết bị'!$J$6:$J$65,MATCH($C82,'Danh mục thiết bị'!$B$6:$B$65,0)),"")="Ngừng sử dụng","Thiết bị ngừng sử dụng",IF($J82="","Chưa chọn chu kỳ",IF($M82="","Chưa có ngày áp dụng",IF($M82&lt;'Tổng quan'!$B$11,"Quá hạn "&amp;('Tổng quan'!$B$11-$M82)&amp;" ngày",IF($M82='Tổng quan'!$B$11,"Đến hạn hôm nay",IF($M82-'Tổng quan'!$B$11&lt;='Cài đặt'!$B$102,"Sắp đến hạn ("&amp;($M82-'Tổng quan'!$B$11)&amp;" ngày)","Còn "&amp;($M82-'Tổng quan'!$B$11)&amp;" ngày")))))))</f>
        <v/>
      </c>
      <c r="P82" s="19"/>
      <c r="Q82" s="12"/>
      <c r="R82" s="15"/>
      <c r="S82" s="20"/>
      <c r="T82" s="10" t="str">
        <f t="shared" si="3"/>
        <v/>
      </c>
      <c r="U82" s="21" t="str">
        <f t="shared" si="4"/>
        <v/>
      </c>
      <c r="V82" s="15"/>
      <c r="W82" s="23">
        <f t="shared" si="5"/>
        <v>99999</v>
      </c>
      <c r="X82" s="23">
        <f t="shared" si="6"/>
        <v>99999</v>
      </c>
      <c r="Y82" s="25" t="str">
        <f t="shared" si="7"/>
        <v/>
      </c>
    </row>
    <row r="83" ht="30.0" customHeight="1">
      <c r="A83" s="26" t="str">
        <f t="shared" si="1"/>
        <v/>
      </c>
      <c r="B83" s="27"/>
      <c r="C83" s="27"/>
      <c r="D83" s="28" t="str">
        <f t="array" ref="D83">IF($C83="","",IFERROR(INDEX('Danh mục thiết bị'!$C$6:$C$65,MATCH($C83,'Danh mục thiết bị'!$B$6:$B$65,0)),"Mã TB không tồn tại"))</f>
        <v/>
      </c>
      <c r="E83" s="28" t="str">
        <f t="array" ref="E83">IF($C83="","",IFERROR(INDEX('Danh mục thiết bị'!$D$6:$D$65,MATCH($C83,'Danh mục thiết bị'!$B$6:$B$65,0)),""))</f>
        <v/>
      </c>
      <c r="F83" s="29"/>
      <c r="G83" s="27"/>
      <c r="H83" s="27"/>
      <c r="I83" s="27"/>
      <c r="J83" s="26" t="str">
        <f t="array" ref="J83">IF($B83="","",IF($I83&lt;&gt;"",$I83,IFERROR(INDEX('Cài đặt'!$B$47:$B$56,MATCH($H83,'Cài đặt'!$A$47:$A$56,0)),"")))</f>
        <v/>
      </c>
      <c r="K83" s="32"/>
      <c r="L83" s="33" t="str">
        <f>IF($B83="","",IF(SUMPRODUCT(MAX(('Nhật ký bảo trì'!$D$6:$D$405=$B83)*('Nhật ký bảo trì'!$Q$6:$Q$405="Hoàn thành")*'Nhật ký bảo trì'!$B$6:$B$405))=0,"",SUMPRODUCT(MAX(('Nhật ký bảo trì'!$D$6:$D$405=$B83)*('Nhật ký bảo trì'!$Q$6:$Q$405="Hoàn thành")*'Nhật ký bảo trì'!$B$6:$B$405))))</f>
        <v/>
      </c>
      <c r="M83" s="33" t="str">
        <f t="shared" si="2"/>
        <v/>
      </c>
      <c r="N83" s="26" t="str">
        <f>IF($M83="","",$M83-'Tổng quan'!$B$11)</f>
        <v/>
      </c>
      <c r="O83" s="26" t="str">
        <f t="array" ref="O83">IF($B83="","",IF(IFERROR(INDEX('Danh mục thiết bị'!$J$6:$J$65,MATCH($C83,'Danh mục thiết bị'!$B$6:$B$65,0)),"")="Ngừng sử dụng","Thiết bị ngừng sử dụng",IF($J83="","Chưa chọn chu kỳ",IF($M83="","Chưa có ngày áp dụng",IF($M83&lt;'Tổng quan'!$B$11,"Quá hạn "&amp;('Tổng quan'!$B$11-$M83)&amp;" ngày",IF($M83='Tổng quan'!$B$11,"Đến hạn hôm nay",IF($M83-'Tổng quan'!$B$11&lt;='Cài đặt'!$B$102,"Sắp đến hạn ("&amp;($M83-'Tổng quan'!$B$11)&amp;" ngày)","Còn "&amp;($M83-'Tổng quan'!$B$11)&amp;" ngày")))))))</f>
        <v/>
      </c>
      <c r="P83" s="34"/>
      <c r="Q83" s="31"/>
      <c r="R83" s="29"/>
      <c r="S83" s="35"/>
      <c r="T83" s="26" t="str">
        <f t="shared" si="3"/>
        <v/>
      </c>
      <c r="U83" s="36" t="str">
        <f t="shared" si="4"/>
        <v/>
      </c>
      <c r="V83" s="29"/>
      <c r="W83" s="37">
        <f t="shared" si="5"/>
        <v>99999</v>
      </c>
      <c r="X83" s="37">
        <f t="shared" si="6"/>
        <v>99999</v>
      </c>
      <c r="Y83" s="38" t="str">
        <f t="shared" si="7"/>
        <v/>
      </c>
    </row>
    <row r="84" ht="30.0" customHeight="1">
      <c r="A84" s="10" t="str">
        <f t="shared" si="1"/>
        <v/>
      </c>
      <c r="B84" s="11"/>
      <c r="C84" s="11"/>
      <c r="D84" s="14" t="str">
        <f t="array" ref="D84">IF($C84="","",IFERROR(INDEX('Danh mục thiết bị'!$C$6:$C$65,MATCH($C84,'Danh mục thiết bị'!$B$6:$B$65,0)),"Mã TB không tồn tại"))</f>
        <v/>
      </c>
      <c r="E84" s="14" t="str">
        <f t="array" ref="E84">IF($C84="","",IFERROR(INDEX('Danh mục thiết bị'!$D$6:$D$65,MATCH($C84,'Danh mục thiết bị'!$B$6:$B$65,0)),""))</f>
        <v/>
      </c>
      <c r="F84" s="15"/>
      <c r="G84" s="11"/>
      <c r="H84" s="11"/>
      <c r="I84" s="11"/>
      <c r="J84" s="10" t="str">
        <f t="array" ref="J84">IF($B84="","",IF($I84&lt;&gt;"",$I84,IFERROR(INDEX('Cài đặt'!$B$47:$B$56,MATCH($H84,'Cài đặt'!$A$47:$A$56,0)),"")))</f>
        <v/>
      </c>
      <c r="K84" s="13"/>
      <c r="L84" s="17" t="str">
        <f>IF($B84="","",IF(SUMPRODUCT(MAX(('Nhật ký bảo trì'!$D$6:$D$405=$B84)*('Nhật ký bảo trì'!$Q$6:$Q$405="Hoàn thành")*'Nhật ký bảo trì'!$B$6:$B$405))=0,"",SUMPRODUCT(MAX(('Nhật ký bảo trì'!$D$6:$D$405=$B84)*('Nhật ký bảo trì'!$Q$6:$Q$405="Hoàn thành")*'Nhật ký bảo trì'!$B$6:$B$405))))</f>
        <v/>
      </c>
      <c r="M84" s="17" t="str">
        <f t="shared" si="2"/>
        <v/>
      </c>
      <c r="N84" s="10" t="str">
        <f>IF($M84="","",$M84-'Tổng quan'!$B$11)</f>
        <v/>
      </c>
      <c r="O84" s="10" t="str">
        <f t="array" ref="O84">IF($B84="","",IF(IFERROR(INDEX('Danh mục thiết bị'!$J$6:$J$65,MATCH($C84,'Danh mục thiết bị'!$B$6:$B$65,0)),"")="Ngừng sử dụng","Thiết bị ngừng sử dụng",IF($J84="","Chưa chọn chu kỳ",IF($M84="","Chưa có ngày áp dụng",IF($M84&lt;'Tổng quan'!$B$11,"Quá hạn "&amp;('Tổng quan'!$B$11-$M84)&amp;" ngày",IF($M84='Tổng quan'!$B$11,"Đến hạn hôm nay",IF($M84-'Tổng quan'!$B$11&lt;='Cài đặt'!$B$102,"Sắp đến hạn ("&amp;($M84-'Tổng quan'!$B$11)&amp;" ngày)","Còn "&amp;($M84-'Tổng quan'!$B$11)&amp;" ngày")))))))</f>
        <v/>
      </c>
      <c r="P84" s="19"/>
      <c r="Q84" s="12"/>
      <c r="R84" s="15"/>
      <c r="S84" s="20"/>
      <c r="T84" s="10" t="str">
        <f t="shared" si="3"/>
        <v/>
      </c>
      <c r="U84" s="21" t="str">
        <f t="shared" si="4"/>
        <v/>
      </c>
      <c r="V84" s="15"/>
      <c r="W84" s="23">
        <f t="shared" si="5"/>
        <v>99999</v>
      </c>
      <c r="X84" s="23">
        <f t="shared" si="6"/>
        <v>99999</v>
      </c>
      <c r="Y84" s="25" t="str">
        <f t="shared" si="7"/>
        <v/>
      </c>
    </row>
    <row r="85" ht="30.0" customHeight="1">
      <c r="A85" s="26" t="str">
        <f t="shared" si="1"/>
        <v/>
      </c>
      <c r="B85" s="27"/>
      <c r="C85" s="27"/>
      <c r="D85" s="28" t="str">
        <f t="array" ref="D85">IF($C85="","",IFERROR(INDEX('Danh mục thiết bị'!$C$6:$C$65,MATCH($C85,'Danh mục thiết bị'!$B$6:$B$65,0)),"Mã TB không tồn tại"))</f>
        <v/>
      </c>
      <c r="E85" s="28" t="str">
        <f t="array" ref="E85">IF($C85="","",IFERROR(INDEX('Danh mục thiết bị'!$D$6:$D$65,MATCH($C85,'Danh mục thiết bị'!$B$6:$B$65,0)),""))</f>
        <v/>
      </c>
      <c r="F85" s="29"/>
      <c r="G85" s="27"/>
      <c r="H85" s="27"/>
      <c r="I85" s="27"/>
      <c r="J85" s="26" t="str">
        <f t="array" ref="J85">IF($B85="","",IF($I85&lt;&gt;"",$I85,IFERROR(INDEX('Cài đặt'!$B$47:$B$56,MATCH($H85,'Cài đặt'!$A$47:$A$56,0)),"")))</f>
        <v/>
      </c>
      <c r="K85" s="32"/>
      <c r="L85" s="33" t="str">
        <f>IF($B85="","",IF(SUMPRODUCT(MAX(('Nhật ký bảo trì'!$D$6:$D$405=$B85)*('Nhật ký bảo trì'!$Q$6:$Q$405="Hoàn thành")*'Nhật ký bảo trì'!$B$6:$B$405))=0,"",SUMPRODUCT(MAX(('Nhật ký bảo trì'!$D$6:$D$405=$B85)*('Nhật ký bảo trì'!$Q$6:$Q$405="Hoàn thành")*'Nhật ký bảo trì'!$B$6:$B$405))))</f>
        <v/>
      </c>
      <c r="M85" s="33" t="str">
        <f t="shared" si="2"/>
        <v/>
      </c>
      <c r="N85" s="26" t="str">
        <f>IF($M85="","",$M85-'Tổng quan'!$B$11)</f>
        <v/>
      </c>
      <c r="O85" s="26" t="str">
        <f t="array" ref="O85">IF($B85="","",IF(IFERROR(INDEX('Danh mục thiết bị'!$J$6:$J$65,MATCH($C85,'Danh mục thiết bị'!$B$6:$B$65,0)),"")="Ngừng sử dụng","Thiết bị ngừng sử dụng",IF($J85="","Chưa chọn chu kỳ",IF($M85="","Chưa có ngày áp dụng",IF($M85&lt;'Tổng quan'!$B$11,"Quá hạn "&amp;('Tổng quan'!$B$11-$M85)&amp;" ngày",IF($M85='Tổng quan'!$B$11,"Đến hạn hôm nay",IF($M85-'Tổng quan'!$B$11&lt;='Cài đặt'!$B$102,"Sắp đến hạn ("&amp;($M85-'Tổng quan'!$B$11)&amp;" ngày)","Còn "&amp;($M85-'Tổng quan'!$B$11)&amp;" ngày")))))))</f>
        <v/>
      </c>
      <c r="P85" s="34"/>
      <c r="Q85" s="31"/>
      <c r="R85" s="29"/>
      <c r="S85" s="35"/>
      <c r="T85" s="26" t="str">
        <f t="shared" si="3"/>
        <v/>
      </c>
      <c r="U85" s="36" t="str">
        <f t="shared" si="4"/>
        <v/>
      </c>
      <c r="V85" s="29"/>
      <c r="W85" s="37">
        <f t="shared" si="5"/>
        <v>99999</v>
      </c>
      <c r="X85" s="37">
        <f t="shared" si="6"/>
        <v>99999</v>
      </c>
      <c r="Y85" s="38" t="str">
        <f t="shared" si="7"/>
        <v/>
      </c>
    </row>
    <row r="86" ht="30.0" customHeight="1">
      <c r="A86" s="10" t="str">
        <f t="shared" si="1"/>
        <v/>
      </c>
      <c r="B86" s="11"/>
      <c r="C86" s="11"/>
      <c r="D86" s="14" t="str">
        <f t="array" ref="D86">IF($C86="","",IFERROR(INDEX('Danh mục thiết bị'!$C$6:$C$65,MATCH($C86,'Danh mục thiết bị'!$B$6:$B$65,0)),"Mã TB không tồn tại"))</f>
        <v/>
      </c>
      <c r="E86" s="14" t="str">
        <f t="array" ref="E86">IF($C86="","",IFERROR(INDEX('Danh mục thiết bị'!$D$6:$D$65,MATCH($C86,'Danh mục thiết bị'!$B$6:$B$65,0)),""))</f>
        <v/>
      </c>
      <c r="F86" s="15"/>
      <c r="G86" s="11"/>
      <c r="H86" s="11"/>
      <c r="I86" s="11"/>
      <c r="J86" s="10" t="str">
        <f t="array" ref="J86">IF($B86="","",IF($I86&lt;&gt;"",$I86,IFERROR(INDEX('Cài đặt'!$B$47:$B$56,MATCH($H86,'Cài đặt'!$A$47:$A$56,0)),"")))</f>
        <v/>
      </c>
      <c r="K86" s="13"/>
      <c r="L86" s="17" t="str">
        <f>IF($B86="","",IF(SUMPRODUCT(MAX(('Nhật ký bảo trì'!$D$6:$D$405=$B86)*('Nhật ký bảo trì'!$Q$6:$Q$405="Hoàn thành")*'Nhật ký bảo trì'!$B$6:$B$405))=0,"",SUMPRODUCT(MAX(('Nhật ký bảo trì'!$D$6:$D$405=$B86)*('Nhật ký bảo trì'!$Q$6:$Q$405="Hoàn thành")*'Nhật ký bảo trì'!$B$6:$B$405))))</f>
        <v/>
      </c>
      <c r="M86" s="17" t="str">
        <f t="shared" si="2"/>
        <v/>
      </c>
      <c r="N86" s="10" t="str">
        <f>IF($M86="","",$M86-'Tổng quan'!$B$11)</f>
        <v/>
      </c>
      <c r="O86" s="10" t="str">
        <f t="array" ref="O86">IF($B86="","",IF(IFERROR(INDEX('Danh mục thiết bị'!$J$6:$J$65,MATCH($C86,'Danh mục thiết bị'!$B$6:$B$65,0)),"")="Ngừng sử dụng","Thiết bị ngừng sử dụng",IF($J86="","Chưa chọn chu kỳ",IF($M86="","Chưa có ngày áp dụng",IF($M86&lt;'Tổng quan'!$B$11,"Quá hạn "&amp;('Tổng quan'!$B$11-$M86)&amp;" ngày",IF($M86='Tổng quan'!$B$11,"Đến hạn hôm nay",IF($M86-'Tổng quan'!$B$11&lt;='Cài đặt'!$B$102,"Sắp đến hạn ("&amp;($M86-'Tổng quan'!$B$11)&amp;" ngày)","Còn "&amp;($M86-'Tổng quan'!$B$11)&amp;" ngày")))))))</f>
        <v/>
      </c>
      <c r="P86" s="19"/>
      <c r="Q86" s="12"/>
      <c r="R86" s="15"/>
      <c r="S86" s="20"/>
      <c r="T86" s="10" t="str">
        <f t="shared" si="3"/>
        <v/>
      </c>
      <c r="U86" s="21" t="str">
        <f t="shared" si="4"/>
        <v/>
      </c>
      <c r="V86" s="15"/>
      <c r="W86" s="23">
        <f t="shared" si="5"/>
        <v>99999</v>
      </c>
      <c r="X86" s="23">
        <f t="shared" si="6"/>
        <v>99999</v>
      </c>
      <c r="Y86" s="25" t="str">
        <f t="shared" si="7"/>
        <v/>
      </c>
    </row>
    <row r="87" ht="30.0" customHeight="1">
      <c r="A87" s="26" t="str">
        <f t="shared" si="1"/>
        <v/>
      </c>
      <c r="B87" s="27"/>
      <c r="C87" s="27"/>
      <c r="D87" s="28" t="str">
        <f t="array" ref="D87">IF($C87="","",IFERROR(INDEX('Danh mục thiết bị'!$C$6:$C$65,MATCH($C87,'Danh mục thiết bị'!$B$6:$B$65,0)),"Mã TB không tồn tại"))</f>
        <v/>
      </c>
      <c r="E87" s="28" t="str">
        <f t="array" ref="E87">IF($C87="","",IFERROR(INDEX('Danh mục thiết bị'!$D$6:$D$65,MATCH($C87,'Danh mục thiết bị'!$B$6:$B$65,0)),""))</f>
        <v/>
      </c>
      <c r="F87" s="29"/>
      <c r="G87" s="27"/>
      <c r="H87" s="27"/>
      <c r="I87" s="27"/>
      <c r="J87" s="26" t="str">
        <f t="array" ref="J87">IF($B87="","",IF($I87&lt;&gt;"",$I87,IFERROR(INDEX('Cài đặt'!$B$47:$B$56,MATCH($H87,'Cài đặt'!$A$47:$A$56,0)),"")))</f>
        <v/>
      </c>
      <c r="K87" s="32"/>
      <c r="L87" s="33" t="str">
        <f>IF($B87="","",IF(SUMPRODUCT(MAX(('Nhật ký bảo trì'!$D$6:$D$405=$B87)*('Nhật ký bảo trì'!$Q$6:$Q$405="Hoàn thành")*'Nhật ký bảo trì'!$B$6:$B$405))=0,"",SUMPRODUCT(MAX(('Nhật ký bảo trì'!$D$6:$D$405=$B87)*('Nhật ký bảo trì'!$Q$6:$Q$405="Hoàn thành")*'Nhật ký bảo trì'!$B$6:$B$405))))</f>
        <v/>
      </c>
      <c r="M87" s="33" t="str">
        <f t="shared" si="2"/>
        <v/>
      </c>
      <c r="N87" s="26" t="str">
        <f>IF($M87="","",$M87-'Tổng quan'!$B$11)</f>
        <v/>
      </c>
      <c r="O87" s="26" t="str">
        <f t="array" ref="O87">IF($B87="","",IF(IFERROR(INDEX('Danh mục thiết bị'!$J$6:$J$65,MATCH($C87,'Danh mục thiết bị'!$B$6:$B$65,0)),"")="Ngừng sử dụng","Thiết bị ngừng sử dụng",IF($J87="","Chưa chọn chu kỳ",IF($M87="","Chưa có ngày áp dụng",IF($M87&lt;'Tổng quan'!$B$11,"Quá hạn "&amp;('Tổng quan'!$B$11-$M87)&amp;" ngày",IF($M87='Tổng quan'!$B$11,"Đến hạn hôm nay",IF($M87-'Tổng quan'!$B$11&lt;='Cài đặt'!$B$102,"Sắp đến hạn ("&amp;($M87-'Tổng quan'!$B$11)&amp;" ngày)","Còn "&amp;($M87-'Tổng quan'!$B$11)&amp;" ngày")))))))</f>
        <v/>
      </c>
      <c r="P87" s="34"/>
      <c r="Q87" s="31"/>
      <c r="R87" s="29"/>
      <c r="S87" s="35"/>
      <c r="T87" s="26" t="str">
        <f t="shared" si="3"/>
        <v/>
      </c>
      <c r="U87" s="36" t="str">
        <f t="shared" si="4"/>
        <v/>
      </c>
      <c r="V87" s="29"/>
      <c r="W87" s="37">
        <f t="shared" si="5"/>
        <v>99999</v>
      </c>
      <c r="X87" s="37">
        <f t="shared" si="6"/>
        <v>99999</v>
      </c>
      <c r="Y87" s="38" t="str">
        <f t="shared" si="7"/>
        <v/>
      </c>
    </row>
    <row r="88" ht="30.0" customHeight="1">
      <c r="A88" s="10" t="str">
        <f t="shared" si="1"/>
        <v/>
      </c>
      <c r="B88" s="11"/>
      <c r="C88" s="11"/>
      <c r="D88" s="14" t="str">
        <f t="array" ref="D88">IF($C88="","",IFERROR(INDEX('Danh mục thiết bị'!$C$6:$C$65,MATCH($C88,'Danh mục thiết bị'!$B$6:$B$65,0)),"Mã TB không tồn tại"))</f>
        <v/>
      </c>
      <c r="E88" s="14" t="str">
        <f t="array" ref="E88">IF($C88="","",IFERROR(INDEX('Danh mục thiết bị'!$D$6:$D$65,MATCH($C88,'Danh mục thiết bị'!$B$6:$B$65,0)),""))</f>
        <v/>
      </c>
      <c r="F88" s="15"/>
      <c r="G88" s="11"/>
      <c r="H88" s="11"/>
      <c r="I88" s="11"/>
      <c r="J88" s="10" t="str">
        <f t="array" ref="J88">IF($B88="","",IF($I88&lt;&gt;"",$I88,IFERROR(INDEX('Cài đặt'!$B$47:$B$56,MATCH($H88,'Cài đặt'!$A$47:$A$56,0)),"")))</f>
        <v/>
      </c>
      <c r="K88" s="13"/>
      <c r="L88" s="17" t="str">
        <f>IF($B88="","",IF(SUMPRODUCT(MAX(('Nhật ký bảo trì'!$D$6:$D$405=$B88)*('Nhật ký bảo trì'!$Q$6:$Q$405="Hoàn thành")*'Nhật ký bảo trì'!$B$6:$B$405))=0,"",SUMPRODUCT(MAX(('Nhật ký bảo trì'!$D$6:$D$405=$B88)*('Nhật ký bảo trì'!$Q$6:$Q$405="Hoàn thành")*'Nhật ký bảo trì'!$B$6:$B$405))))</f>
        <v/>
      </c>
      <c r="M88" s="17" t="str">
        <f t="shared" si="2"/>
        <v/>
      </c>
      <c r="N88" s="10" t="str">
        <f>IF($M88="","",$M88-'Tổng quan'!$B$11)</f>
        <v/>
      </c>
      <c r="O88" s="10" t="str">
        <f t="array" ref="O88">IF($B88="","",IF(IFERROR(INDEX('Danh mục thiết bị'!$J$6:$J$65,MATCH($C88,'Danh mục thiết bị'!$B$6:$B$65,0)),"")="Ngừng sử dụng","Thiết bị ngừng sử dụng",IF($J88="","Chưa chọn chu kỳ",IF($M88="","Chưa có ngày áp dụng",IF($M88&lt;'Tổng quan'!$B$11,"Quá hạn "&amp;('Tổng quan'!$B$11-$M88)&amp;" ngày",IF($M88='Tổng quan'!$B$11,"Đến hạn hôm nay",IF($M88-'Tổng quan'!$B$11&lt;='Cài đặt'!$B$102,"Sắp đến hạn ("&amp;($M88-'Tổng quan'!$B$11)&amp;" ngày)","Còn "&amp;($M88-'Tổng quan'!$B$11)&amp;" ngày")))))))</f>
        <v/>
      </c>
      <c r="P88" s="19"/>
      <c r="Q88" s="12"/>
      <c r="R88" s="15"/>
      <c r="S88" s="20"/>
      <c r="T88" s="10" t="str">
        <f t="shared" si="3"/>
        <v/>
      </c>
      <c r="U88" s="21" t="str">
        <f t="shared" si="4"/>
        <v/>
      </c>
      <c r="V88" s="15"/>
      <c r="W88" s="23">
        <f t="shared" si="5"/>
        <v>99999</v>
      </c>
      <c r="X88" s="23">
        <f t="shared" si="6"/>
        <v>99999</v>
      </c>
      <c r="Y88" s="25" t="str">
        <f t="shared" si="7"/>
        <v/>
      </c>
    </row>
    <row r="89" ht="30.0" customHeight="1">
      <c r="A89" s="26" t="str">
        <f t="shared" si="1"/>
        <v/>
      </c>
      <c r="B89" s="27"/>
      <c r="C89" s="27"/>
      <c r="D89" s="28" t="str">
        <f t="array" ref="D89">IF($C89="","",IFERROR(INDEX('Danh mục thiết bị'!$C$6:$C$65,MATCH($C89,'Danh mục thiết bị'!$B$6:$B$65,0)),"Mã TB không tồn tại"))</f>
        <v/>
      </c>
      <c r="E89" s="28" t="str">
        <f t="array" ref="E89">IF($C89="","",IFERROR(INDEX('Danh mục thiết bị'!$D$6:$D$65,MATCH($C89,'Danh mục thiết bị'!$B$6:$B$65,0)),""))</f>
        <v/>
      </c>
      <c r="F89" s="29"/>
      <c r="G89" s="27"/>
      <c r="H89" s="27"/>
      <c r="I89" s="27"/>
      <c r="J89" s="26" t="str">
        <f t="array" ref="J89">IF($B89="","",IF($I89&lt;&gt;"",$I89,IFERROR(INDEX('Cài đặt'!$B$47:$B$56,MATCH($H89,'Cài đặt'!$A$47:$A$56,0)),"")))</f>
        <v/>
      </c>
      <c r="K89" s="32"/>
      <c r="L89" s="33" t="str">
        <f>IF($B89="","",IF(SUMPRODUCT(MAX(('Nhật ký bảo trì'!$D$6:$D$405=$B89)*('Nhật ký bảo trì'!$Q$6:$Q$405="Hoàn thành")*'Nhật ký bảo trì'!$B$6:$B$405))=0,"",SUMPRODUCT(MAX(('Nhật ký bảo trì'!$D$6:$D$405=$B89)*('Nhật ký bảo trì'!$Q$6:$Q$405="Hoàn thành")*'Nhật ký bảo trì'!$B$6:$B$405))))</f>
        <v/>
      </c>
      <c r="M89" s="33" t="str">
        <f t="shared" si="2"/>
        <v/>
      </c>
      <c r="N89" s="26" t="str">
        <f>IF($M89="","",$M89-'Tổng quan'!$B$11)</f>
        <v/>
      </c>
      <c r="O89" s="26" t="str">
        <f t="array" ref="O89">IF($B89="","",IF(IFERROR(INDEX('Danh mục thiết bị'!$J$6:$J$65,MATCH($C89,'Danh mục thiết bị'!$B$6:$B$65,0)),"")="Ngừng sử dụng","Thiết bị ngừng sử dụng",IF($J89="","Chưa chọn chu kỳ",IF($M89="","Chưa có ngày áp dụng",IF($M89&lt;'Tổng quan'!$B$11,"Quá hạn "&amp;('Tổng quan'!$B$11-$M89)&amp;" ngày",IF($M89='Tổng quan'!$B$11,"Đến hạn hôm nay",IF($M89-'Tổng quan'!$B$11&lt;='Cài đặt'!$B$102,"Sắp đến hạn ("&amp;($M89-'Tổng quan'!$B$11)&amp;" ngày)","Còn "&amp;($M89-'Tổng quan'!$B$11)&amp;" ngày")))))))</f>
        <v/>
      </c>
      <c r="P89" s="34"/>
      <c r="Q89" s="31"/>
      <c r="R89" s="29"/>
      <c r="S89" s="35"/>
      <c r="T89" s="26" t="str">
        <f t="shared" si="3"/>
        <v/>
      </c>
      <c r="U89" s="36" t="str">
        <f t="shared" si="4"/>
        <v/>
      </c>
      <c r="V89" s="29"/>
      <c r="W89" s="37">
        <f t="shared" si="5"/>
        <v>99999</v>
      </c>
      <c r="X89" s="37">
        <f t="shared" si="6"/>
        <v>99999</v>
      </c>
      <c r="Y89" s="38" t="str">
        <f t="shared" si="7"/>
        <v/>
      </c>
    </row>
    <row r="90" ht="30.0" customHeight="1">
      <c r="A90" s="10" t="str">
        <f t="shared" si="1"/>
        <v/>
      </c>
      <c r="B90" s="11"/>
      <c r="C90" s="11"/>
      <c r="D90" s="14" t="str">
        <f t="array" ref="D90">IF($C90="","",IFERROR(INDEX('Danh mục thiết bị'!$C$6:$C$65,MATCH($C90,'Danh mục thiết bị'!$B$6:$B$65,0)),"Mã TB không tồn tại"))</f>
        <v/>
      </c>
      <c r="E90" s="14" t="str">
        <f t="array" ref="E90">IF($C90="","",IFERROR(INDEX('Danh mục thiết bị'!$D$6:$D$65,MATCH($C90,'Danh mục thiết bị'!$B$6:$B$65,0)),""))</f>
        <v/>
      </c>
      <c r="F90" s="15"/>
      <c r="G90" s="11"/>
      <c r="H90" s="11"/>
      <c r="I90" s="11"/>
      <c r="J90" s="10" t="str">
        <f t="array" ref="J90">IF($B90="","",IF($I90&lt;&gt;"",$I90,IFERROR(INDEX('Cài đặt'!$B$47:$B$56,MATCH($H90,'Cài đặt'!$A$47:$A$56,0)),"")))</f>
        <v/>
      </c>
      <c r="K90" s="13"/>
      <c r="L90" s="17" t="str">
        <f>IF($B90="","",IF(SUMPRODUCT(MAX(('Nhật ký bảo trì'!$D$6:$D$405=$B90)*('Nhật ký bảo trì'!$Q$6:$Q$405="Hoàn thành")*'Nhật ký bảo trì'!$B$6:$B$405))=0,"",SUMPRODUCT(MAX(('Nhật ký bảo trì'!$D$6:$D$405=$B90)*('Nhật ký bảo trì'!$Q$6:$Q$405="Hoàn thành")*'Nhật ký bảo trì'!$B$6:$B$405))))</f>
        <v/>
      </c>
      <c r="M90" s="17" t="str">
        <f t="shared" si="2"/>
        <v/>
      </c>
      <c r="N90" s="10" t="str">
        <f>IF($M90="","",$M90-'Tổng quan'!$B$11)</f>
        <v/>
      </c>
      <c r="O90" s="10" t="str">
        <f t="array" ref="O90">IF($B90="","",IF(IFERROR(INDEX('Danh mục thiết bị'!$J$6:$J$65,MATCH($C90,'Danh mục thiết bị'!$B$6:$B$65,0)),"")="Ngừng sử dụng","Thiết bị ngừng sử dụng",IF($J90="","Chưa chọn chu kỳ",IF($M90="","Chưa có ngày áp dụng",IF($M90&lt;'Tổng quan'!$B$11,"Quá hạn "&amp;('Tổng quan'!$B$11-$M90)&amp;" ngày",IF($M90='Tổng quan'!$B$11,"Đến hạn hôm nay",IF($M90-'Tổng quan'!$B$11&lt;='Cài đặt'!$B$102,"Sắp đến hạn ("&amp;($M90-'Tổng quan'!$B$11)&amp;" ngày)","Còn "&amp;($M90-'Tổng quan'!$B$11)&amp;" ngày")))))))</f>
        <v/>
      </c>
      <c r="P90" s="19"/>
      <c r="Q90" s="12"/>
      <c r="R90" s="15"/>
      <c r="S90" s="20"/>
      <c r="T90" s="10" t="str">
        <f t="shared" si="3"/>
        <v/>
      </c>
      <c r="U90" s="21" t="str">
        <f t="shared" si="4"/>
        <v/>
      </c>
      <c r="V90" s="15"/>
      <c r="W90" s="23">
        <f t="shared" si="5"/>
        <v>99999</v>
      </c>
      <c r="X90" s="23">
        <f t="shared" si="6"/>
        <v>99999</v>
      </c>
      <c r="Y90" s="25" t="str">
        <f t="shared" si="7"/>
        <v/>
      </c>
    </row>
    <row r="91" ht="30.0" customHeight="1">
      <c r="A91" s="26" t="str">
        <f t="shared" si="1"/>
        <v/>
      </c>
      <c r="B91" s="27"/>
      <c r="C91" s="27"/>
      <c r="D91" s="28" t="str">
        <f t="array" ref="D91">IF($C91="","",IFERROR(INDEX('Danh mục thiết bị'!$C$6:$C$65,MATCH($C91,'Danh mục thiết bị'!$B$6:$B$65,0)),"Mã TB không tồn tại"))</f>
        <v/>
      </c>
      <c r="E91" s="28" t="str">
        <f t="array" ref="E91">IF($C91="","",IFERROR(INDEX('Danh mục thiết bị'!$D$6:$D$65,MATCH($C91,'Danh mục thiết bị'!$B$6:$B$65,0)),""))</f>
        <v/>
      </c>
      <c r="F91" s="29"/>
      <c r="G91" s="27"/>
      <c r="H91" s="27"/>
      <c r="I91" s="27"/>
      <c r="J91" s="26" t="str">
        <f t="array" ref="J91">IF($B91="","",IF($I91&lt;&gt;"",$I91,IFERROR(INDEX('Cài đặt'!$B$47:$B$56,MATCH($H91,'Cài đặt'!$A$47:$A$56,0)),"")))</f>
        <v/>
      </c>
      <c r="K91" s="32"/>
      <c r="L91" s="33" t="str">
        <f>IF($B91="","",IF(SUMPRODUCT(MAX(('Nhật ký bảo trì'!$D$6:$D$405=$B91)*('Nhật ký bảo trì'!$Q$6:$Q$405="Hoàn thành")*'Nhật ký bảo trì'!$B$6:$B$405))=0,"",SUMPRODUCT(MAX(('Nhật ký bảo trì'!$D$6:$D$405=$B91)*('Nhật ký bảo trì'!$Q$6:$Q$405="Hoàn thành")*'Nhật ký bảo trì'!$B$6:$B$405))))</f>
        <v/>
      </c>
      <c r="M91" s="33" t="str">
        <f t="shared" si="2"/>
        <v/>
      </c>
      <c r="N91" s="26" t="str">
        <f>IF($M91="","",$M91-'Tổng quan'!$B$11)</f>
        <v/>
      </c>
      <c r="O91" s="26" t="str">
        <f t="array" ref="O91">IF($B91="","",IF(IFERROR(INDEX('Danh mục thiết bị'!$J$6:$J$65,MATCH($C91,'Danh mục thiết bị'!$B$6:$B$65,0)),"")="Ngừng sử dụng","Thiết bị ngừng sử dụng",IF($J91="","Chưa chọn chu kỳ",IF($M91="","Chưa có ngày áp dụng",IF($M91&lt;'Tổng quan'!$B$11,"Quá hạn "&amp;('Tổng quan'!$B$11-$M91)&amp;" ngày",IF($M91='Tổng quan'!$B$11,"Đến hạn hôm nay",IF($M91-'Tổng quan'!$B$11&lt;='Cài đặt'!$B$102,"Sắp đến hạn ("&amp;($M91-'Tổng quan'!$B$11)&amp;" ngày)","Còn "&amp;($M91-'Tổng quan'!$B$11)&amp;" ngày")))))))</f>
        <v/>
      </c>
      <c r="P91" s="34"/>
      <c r="Q91" s="31"/>
      <c r="R91" s="29"/>
      <c r="S91" s="35"/>
      <c r="T91" s="26" t="str">
        <f t="shared" si="3"/>
        <v/>
      </c>
      <c r="U91" s="36" t="str">
        <f t="shared" si="4"/>
        <v/>
      </c>
      <c r="V91" s="29"/>
      <c r="W91" s="37">
        <f t="shared" si="5"/>
        <v>99999</v>
      </c>
      <c r="X91" s="37">
        <f t="shared" si="6"/>
        <v>99999</v>
      </c>
      <c r="Y91" s="38" t="str">
        <f t="shared" si="7"/>
        <v/>
      </c>
    </row>
    <row r="92" ht="30.0" customHeight="1">
      <c r="A92" s="10" t="str">
        <f t="shared" si="1"/>
        <v/>
      </c>
      <c r="B92" s="11"/>
      <c r="C92" s="11"/>
      <c r="D92" s="14" t="str">
        <f t="array" ref="D92">IF($C92="","",IFERROR(INDEX('Danh mục thiết bị'!$C$6:$C$65,MATCH($C92,'Danh mục thiết bị'!$B$6:$B$65,0)),"Mã TB không tồn tại"))</f>
        <v/>
      </c>
      <c r="E92" s="14" t="str">
        <f t="array" ref="E92">IF($C92="","",IFERROR(INDEX('Danh mục thiết bị'!$D$6:$D$65,MATCH($C92,'Danh mục thiết bị'!$B$6:$B$65,0)),""))</f>
        <v/>
      </c>
      <c r="F92" s="15"/>
      <c r="G92" s="11"/>
      <c r="H92" s="11"/>
      <c r="I92" s="11"/>
      <c r="J92" s="10" t="str">
        <f t="array" ref="J92">IF($B92="","",IF($I92&lt;&gt;"",$I92,IFERROR(INDEX('Cài đặt'!$B$47:$B$56,MATCH($H92,'Cài đặt'!$A$47:$A$56,0)),"")))</f>
        <v/>
      </c>
      <c r="K92" s="13"/>
      <c r="L92" s="17" t="str">
        <f>IF($B92="","",IF(SUMPRODUCT(MAX(('Nhật ký bảo trì'!$D$6:$D$405=$B92)*('Nhật ký bảo trì'!$Q$6:$Q$405="Hoàn thành")*'Nhật ký bảo trì'!$B$6:$B$405))=0,"",SUMPRODUCT(MAX(('Nhật ký bảo trì'!$D$6:$D$405=$B92)*('Nhật ký bảo trì'!$Q$6:$Q$405="Hoàn thành")*'Nhật ký bảo trì'!$B$6:$B$405))))</f>
        <v/>
      </c>
      <c r="M92" s="17" t="str">
        <f t="shared" si="2"/>
        <v/>
      </c>
      <c r="N92" s="10" t="str">
        <f>IF($M92="","",$M92-'Tổng quan'!$B$11)</f>
        <v/>
      </c>
      <c r="O92" s="10" t="str">
        <f t="array" ref="O92">IF($B92="","",IF(IFERROR(INDEX('Danh mục thiết bị'!$J$6:$J$65,MATCH($C92,'Danh mục thiết bị'!$B$6:$B$65,0)),"")="Ngừng sử dụng","Thiết bị ngừng sử dụng",IF($J92="","Chưa chọn chu kỳ",IF($M92="","Chưa có ngày áp dụng",IF($M92&lt;'Tổng quan'!$B$11,"Quá hạn "&amp;('Tổng quan'!$B$11-$M92)&amp;" ngày",IF($M92='Tổng quan'!$B$11,"Đến hạn hôm nay",IF($M92-'Tổng quan'!$B$11&lt;='Cài đặt'!$B$102,"Sắp đến hạn ("&amp;($M92-'Tổng quan'!$B$11)&amp;" ngày)","Còn "&amp;($M92-'Tổng quan'!$B$11)&amp;" ngày")))))))</f>
        <v/>
      </c>
      <c r="P92" s="19"/>
      <c r="Q92" s="12"/>
      <c r="R92" s="15"/>
      <c r="S92" s="20"/>
      <c r="T92" s="10" t="str">
        <f t="shared" si="3"/>
        <v/>
      </c>
      <c r="U92" s="21" t="str">
        <f t="shared" si="4"/>
        <v/>
      </c>
      <c r="V92" s="15"/>
      <c r="W92" s="23">
        <f t="shared" si="5"/>
        <v>99999</v>
      </c>
      <c r="X92" s="23">
        <f t="shared" si="6"/>
        <v>99999</v>
      </c>
      <c r="Y92" s="25" t="str">
        <f t="shared" si="7"/>
        <v/>
      </c>
    </row>
    <row r="93" ht="30.0" customHeight="1">
      <c r="A93" s="26" t="str">
        <f t="shared" si="1"/>
        <v/>
      </c>
      <c r="B93" s="27"/>
      <c r="C93" s="27"/>
      <c r="D93" s="28" t="str">
        <f t="array" ref="D93">IF($C93="","",IFERROR(INDEX('Danh mục thiết bị'!$C$6:$C$65,MATCH($C93,'Danh mục thiết bị'!$B$6:$B$65,0)),"Mã TB không tồn tại"))</f>
        <v/>
      </c>
      <c r="E93" s="28" t="str">
        <f t="array" ref="E93">IF($C93="","",IFERROR(INDEX('Danh mục thiết bị'!$D$6:$D$65,MATCH($C93,'Danh mục thiết bị'!$B$6:$B$65,0)),""))</f>
        <v/>
      </c>
      <c r="F93" s="29"/>
      <c r="G93" s="27"/>
      <c r="H93" s="27"/>
      <c r="I93" s="27"/>
      <c r="J93" s="26" t="str">
        <f t="array" ref="J93">IF($B93="","",IF($I93&lt;&gt;"",$I93,IFERROR(INDEX('Cài đặt'!$B$47:$B$56,MATCH($H93,'Cài đặt'!$A$47:$A$56,0)),"")))</f>
        <v/>
      </c>
      <c r="K93" s="32"/>
      <c r="L93" s="33" t="str">
        <f>IF($B93="","",IF(SUMPRODUCT(MAX(('Nhật ký bảo trì'!$D$6:$D$405=$B93)*('Nhật ký bảo trì'!$Q$6:$Q$405="Hoàn thành")*'Nhật ký bảo trì'!$B$6:$B$405))=0,"",SUMPRODUCT(MAX(('Nhật ký bảo trì'!$D$6:$D$405=$B93)*('Nhật ký bảo trì'!$Q$6:$Q$405="Hoàn thành")*'Nhật ký bảo trì'!$B$6:$B$405))))</f>
        <v/>
      </c>
      <c r="M93" s="33" t="str">
        <f t="shared" si="2"/>
        <v/>
      </c>
      <c r="N93" s="26" t="str">
        <f>IF($M93="","",$M93-'Tổng quan'!$B$11)</f>
        <v/>
      </c>
      <c r="O93" s="26" t="str">
        <f t="array" ref="O93">IF($B93="","",IF(IFERROR(INDEX('Danh mục thiết bị'!$J$6:$J$65,MATCH($C93,'Danh mục thiết bị'!$B$6:$B$65,0)),"")="Ngừng sử dụng","Thiết bị ngừng sử dụng",IF($J93="","Chưa chọn chu kỳ",IF($M93="","Chưa có ngày áp dụng",IF($M93&lt;'Tổng quan'!$B$11,"Quá hạn "&amp;('Tổng quan'!$B$11-$M93)&amp;" ngày",IF($M93='Tổng quan'!$B$11,"Đến hạn hôm nay",IF($M93-'Tổng quan'!$B$11&lt;='Cài đặt'!$B$102,"Sắp đến hạn ("&amp;($M93-'Tổng quan'!$B$11)&amp;" ngày)","Còn "&amp;($M93-'Tổng quan'!$B$11)&amp;" ngày")))))))</f>
        <v/>
      </c>
      <c r="P93" s="34"/>
      <c r="Q93" s="31"/>
      <c r="R93" s="29"/>
      <c r="S93" s="35"/>
      <c r="T93" s="26" t="str">
        <f t="shared" si="3"/>
        <v/>
      </c>
      <c r="U93" s="36" t="str">
        <f t="shared" si="4"/>
        <v/>
      </c>
      <c r="V93" s="29"/>
      <c r="W93" s="37">
        <f t="shared" si="5"/>
        <v>99999</v>
      </c>
      <c r="X93" s="37">
        <f t="shared" si="6"/>
        <v>99999</v>
      </c>
      <c r="Y93" s="38" t="str">
        <f t="shared" si="7"/>
        <v/>
      </c>
    </row>
    <row r="94" ht="30.0" customHeight="1">
      <c r="A94" s="10" t="str">
        <f t="shared" si="1"/>
        <v/>
      </c>
      <c r="B94" s="11"/>
      <c r="C94" s="11"/>
      <c r="D94" s="14" t="str">
        <f t="array" ref="D94">IF($C94="","",IFERROR(INDEX('Danh mục thiết bị'!$C$6:$C$65,MATCH($C94,'Danh mục thiết bị'!$B$6:$B$65,0)),"Mã TB không tồn tại"))</f>
        <v/>
      </c>
      <c r="E94" s="14" t="str">
        <f t="array" ref="E94">IF($C94="","",IFERROR(INDEX('Danh mục thiết bị'!$D$6:$D$65,MATCH($C94,'Danh mục thiết bị'!$B$6:$B$65,0)),""))</f>
        <v/>
      </c>
      <c r="F94" s="15"/>
      <c r="G94" s="11"/>
      <c r="H94" s="11"/>
      <c r="I94" s="11"/>
      <c r="J94" s="10" t="str">
        <f t="array" ref="J94">IF($B94="","",IF($I94&lt;&gt;"",$I94,IFERROR(INDEX('Cài đặt'!$B$47:$B$56,MATCH($H94,'Cài đặt'!$A$47:$A$56,0)),"")))</f>
        <v/>
      </c>
      <c r="K94" s="13"/>
      <c r="L94" s="17" t="str">
        <f>IF($B94="","",IF(SUMPRODUCT(MAX(('Nhật ký bảo trì'!$D$6:$D$405=$B94)*('Nhật ký bảo trì'!$Q$6:$Q$405="Hoàn thành")*'Nhật ký bảo trì'!$B$6:$B$405))=0,"",SUMPRODUCT(MAX(('Nhật ký bảo trì'!$D$6:$D$405=$B94)*('Nhật ký bảo trì'!$Q$6:$Q$405="Hoàn thành")*'Nhật ký bảo trì'!$B$6:$B$405))))</f>
        <v/>
      </c>
      <c r="M94" s="17" t="str">
        <f t="shared" si="2"/>
        <v/>
      </c>
      <c r="N94" s="10" t="str">
        <f>IF($M94="","",$M94-'Tổng quan'!$B$11)</f>
        <v/>
      </c>
      <c r="O94" s="10" t="str">
        <f t="array" ref="O94">IF($B94="","",IF(IFERROR(INDEX('Danh mục thiết bị'!$J$6:$J$65,MATCH($C94,'Danh mục thiết bị'!$B$6:$B$65,0)),"")="Ngừng sử dụng","Thiết bị ngừng sử dụng",IF($J94="","Chưa chọn chu kỳ",IF($M94="","Chưa có ngày áp dụng",IF($M94&lt;'Tổng quan'!$B$11,"Quá hạn "&amp;('Tổng quan'!$B$11-$M94)&amp;" ngày",IF($M94='Tổng quan'!$B$11,"Đến hạn hôm nay",IF($M94-'Tổng quan'!$B$11&lt;='Cài đặt'!$B$102,"Sắp đến hạn ("&amp;($M94-'Tổng quan'!$B$11)&amp;" ngày)","Còn "&amp;($M94-'Tổng quan'!$B$11)&amp;" ngày")))))))</f>
        <v/>
      </c>
      <c r="P94" s="19"/>
      <c r="Q94" s="12"/>
      <c r="R94" s="15"/>
      <c r="S94" s="20"/>
      <c r="T94" s="10" t="str">
        <f t="shared" si="3"/>
        <v/>
      </c>
      <c r="U94" s="21" t="str">
        <f t="shared" si="4"/>
        <v/>
      </c>
      <c r="V94" s="15"/>
      <c r="W94" s="23">
        <f t="shared" si="5"/>
        <v>99999</v>
      </c>
      <c r="X94" s="23">
        <f t="shared" si="6"/>
        <v>99999</v>
      </c>
      <c r="Y94" s="25" t="str">
        <f t="shared" si="7"/>
        <v/>
      </c>
    </row>
    <row r="95" ht="30.0" customHeight="1">
      <c r="A95" s="26" t="str">
        <f t="shared" si="1"/>
        <v/>
      </c>
      <c r="B95" s="27"/>
      <c r="C95" s="27"/>
      <c r="D95" s="28" t="str">
        <f t="array" ref="D95">IF($C95="","",IFERROR(INDEX('Danh mục thiết bị'!$C$6:$C$65,MATCH($C95,'Danh mục thiết bị'!$B$6:$B$65,0)),"Mã TB không tồn tại"))</f>
        <v/>
      </c>
      <c r="E95" s="28" t="str">
        <f t="array" ref="E95">IF($C95="","",IFERROR(INDEX('Danh mục thiết bị'!$D$6:$D$65,MATCH($C95,'Danh mục thiết bị'!$B$6:$B$65,0)),""))</f>
        <v/>
      </c>
      <c r="F95" s="29"/>
      <c r="G95" s="27"/>
      <c r="H95" s="27"/>
      <c r="I95" s="27"/>
      <c r="J95" s="26" t="str">
        <f t="array" ref="J95">IF($B95="","",IF($I95&lt;&gt;"",$I95,IFERROR(INDEX('Cài đặt'!$B$47:$B$56,MATCH($H95,'Cài đặt'!$A$47:$A$56,0)),"")))</f>
        <v/>
      </c>
      <c r="K95" s="32"/>
      <c r="L95" s="33" t="str">
        <f>IF($B95="","",IF(SUMPRODUCT(MAX(('Nhật ký bảo trì'!$D$6:$D$405=$B95)*('Nhật ký bảo trì'!$Q$6:$Q$405="Hoàn thành")*'Nhật ký bảo trì'!$B$6:$B$405))=0,"",SUMPRODUCT(MAX(('Nhật ký bảo trì'!$D$6:$D$405=$B95)*('Nhật ký bảo trì'!$Q$6:$Q$405="Hoàn thành")*'Nhật ký bảo trì'!$B$6:$B$405))))</f>
        <v/>
      </c>
      <c r="M95" s="33" t="str">
        <f t="shared" si="2"/>
        <v/>
      </c>
      <c r="N95" s="26" t="str">
        <f>IF($M95="","",$M95-'Tổng quan'!$B$11)</f>
        <v/>
      </c>
      <c r="O95" s="26" t="str">
        <f t="array" ref="O95">IF($B95="","",IF(IFERROR(INDEX('Danh mục thiết bị'!$J$6:$J$65,MATCH($C95,'Danh mục thiết bị'!$B$6:$B$65,0)),"")="Ngừng sử dụng","Thiết bị ngừng sử dụng",IF($J95="","Chưa chọn chu kỳ",IF($M95="","Chưa có ngày áp dụng",IF($M95&lt;'Tổng quan'!$B$11,"Quá hạn "&amp;('Tổng quan'!$B$11-$M95)&amp;" ngày",IF($M95='Tổng quan'!$B$11,"Đến hạn hôm nay",IF($M95-'Tổng quan'!$B$11&lt;='Cài đặt'!$B$102,"Sắp đến hạn ("&amp;($M95-'Tổng quan'!$B$11)&amp;" ngày)","Còn "&amp;($M95-'Tổng quan'!$B$11)&amp;" ngày")))))))</f>
        <v/>
      </c>
      <c r="P95" s="34"/>
      <c r="Q95" s="31"/>
      <c r="R95" s="29"/>
      <c r="S95" s="35"/>
      <c r="T95" s="26" t="str">
        <f t="shared" si="3"/>
        <v/>
      </c>
      <c r="U95" s="36" t="str">
        <f t="shared" si="4"/>
        <v/>
      </c>
      <c r="V95" s="29"/>
      <c r="W95" s="37">
        <f t="shared" si="5"/>
        <v>99999</v>
      </c>
      <c r="X95" s="37">
        <f t="shared" si="6"/>
        <v>99999</v>
      </c>
      <c r="Y95" s="38" t="str">
        <f t="shared" si="7"/>
        <v/>
      </c>
    </row>
    <row r="96" ht="30.0" customHeight="1">
      <c r="A96" s="10" t="str">
        <f t="shared" si="1"/>
        <v/>
      </c>
      <c r="B96" s="11"/>
      <c r="C96" s="11"/>
      <c r="D96" s="14" t="str">
        <f t="array" ref="D96">IF($C96="","",IFERROR(INDEX('Danh mục thiết bị'!$C$6:$C$65,MATCH($C96,'Danh mục thiết bị'!$B$6:$B$65,0)),"Mã TB không tồn tại"))</f>
        <v/>
      </c>
      <c r="E96" s="14" t="str">
        <f t="array" ref="E96">IF($C96="","",IFERROR(INDEX('Danh mục thiết bị'!$D$6:$D$65,MATCH($C96,'Danh mục thiết bị'!$B$6:$B$65,0)),""))</f>
        <v/>
      </c>
      <c r="F96" s="15"/>
      <c r="G96" s="11"/>
      <c r="H96" s="11"/>
      <c r="I96" s="11"/>
      <c r="J96" s="10" t="str">
        <f t="array" ref="J96">IF($B96="","",IF($I96&lt;&gt;"",$I96,IFERROR(INDEX('Cài đặt'!$B$47:$B$56,MATCH($H96,'Cài đặt'!$A$47:$A$56,0)),"")))</f>
        <v/>
      </c>
      <c r="K96" s="13"/>
      <c r="L96" s="17" t="str">
        <f>IF($B96="","",IF(SUMPRODUCT(MAX(('Nhật ký bảo trì'!$D$6:$D$405=$B96)*('Nhật ký bảo trì'!$Q$6:$Q$405="Hoàn thành")*'Nhật ký bảo trì'!$B$6:$B$405))=0,"",SUMPRODUCT(MAX(('Nhật ký bảo trì'!$D$6:$D$405=$B96)*('Nhật ký bảo trì'!$Q$6:$Q$405="Hoàn thành")*'Nhật ký bảo trì'!$B$6:$B$405))))</f>
        <v/>
      </c>
      <c r="M96" s="17" t="str">
        <f t="shared" si="2"/>
        <v/>
      </c>
      <c r="N96" s="10" t="str">
        <f>IF($M96="","",$M96-'Tổng quan'!$B$11)</f>
        <v/>
      </c>
      <c r="O96" s="10" t="str">
        <f t="array" ref="O96">IF($B96="","",IF(IFERROR(INDEX('Danh mục thiết bị'!$J$6:$J$65,MATCH($C96,'Danh mục thiết bị'!$B$6:$B$65,0)),"")="Ngừng sử dụng","Thiết bị ngừng sử dụng",IF($J96="","Chưa chọn chu kỳ",IF($M96="","Chưa có ngày áp dụng",IF($M96&lt;'Tổng quan'!$B$11,"Quá hạn "&amp;('Tổng quan'!$B$11-$M96)&amp;" ngày",IF($M96='Tổng quan'!$B$11,"Đến hạn hôm nay",IF($M96-'Tổng quan'!$B$11&lt;='Cài đặt'!$B$102,"Sắp đến hạn ("&amp;($M96-'Tổng quan'!$B$11)&amp;" ngày)","Còn "&amp;($M96-'Tổng quan'!$B$11)&amp;" ngày")))))))</f>
        <v/>
      </c>
      <c r="P96" s="19"/>
      <c r="Q96" s="12"/>
      <c r="R96" s="15"/>
      <c r="S96" s="20"/>
      <c r="T96" s="10" t="str">
        <f t="shared" si="3"/>
        <v/>
      </c>
      <c r="U96" s="21" t="str">
        <f t="shared" si="4"/>
        <v/>
      </c>
      <c r="V96" s="15"/>
      <c r="W96" s="23">
        <f t="shared" si="5"/>
        <v>99999</v>
      </c>
      <c r="X96" s="23">
        <f t="shared" si="6"/>
        <v>99999</v>
      </c>
      <c r="Y96" s="25" t="str">
        <f t="shared" si="7"/>
        <v/>
      </c>
    </row>
    <row r="97" ht="30.0" customHeight="1">
      <c r="A97" s="26" t="str">
        <f t="shared" si="1"/>
        <v/>
      </c>
      <c r="B97" s="27"/>
      <c r="C97" s="27"/>
      <c r="D97" s="28" t="str">
        <f t="array" ref="D97">IF($C97="","",IFERROR(INDEX('Danh mục thiết bị'!$C$6:$C$65,MATCH($C97,'Danh mục thiết bị'!$B$6:$B$65,0)),"Mã TB không tồn tại"))</f>
        <v/>
      </c>
      <c r="E97" s="28" t="str">
        <f t="array" ref="E97">IF($C97="","",IFERROR(INDEX('Danh mục thiết bị'!$D$6:$D$65,MATCH($C97,'Danh mục thiết bị'!$B$6:$B$65,0)),""))</f>
        <v/>
      </c>
      <c r="F97" s="29"/>
      <c r="G97" s="27"/>
      <c r="H97" s="27"/>
      <c r="I97" s="27"/>
      <c r="J97" s="26" t="str">
        <f t="array" ref="J97">IF($B97="","",IF($I97&lt;&gt;"",$I97,IFERROR(INDEX('Cài đặt'!$B$47:$B$56,MATCH($H97,'Cài đặt'!$A$47:$A$56,0)),"")))</f>
        <v/>
      </c>
      <c r="K97" s="32"/>
      <c r="L97" s="33" t="str">
        <f>IF($B97="","",IF(SUMPRODUCT(MAX(('Nhật ký bảo trì'!$D$6:$D$405=$B97)*('Nhật ký bảo trì'!$Q$6:$Q$405="Hoàn thành")*'Nhật ký bảo trì'!$B$6:$B$405))=0,"",SUMPRODUCT(MAX(('Nhật ký bảo trì'!$D$6:$D$405=$B97)*('Nhật ký bảo trì'!$Q$6:$Q$405="Hoàn thành")*'Nhật ký bảo trì'!$B$6:$B$405))))</f>
        <v/>
      </c>
      <c r="M97" s="33" t="str">
        <f t="shared" si="2"/>
        <v/>
      </c>
      <c r="N97" s="26" t="str">
        <f>IF($M97="","",$M97-'Tổng quan'!$B$11)</f>
        <v/>
      </c>
      <c r="O97" s="26" t="str">
        <f t="array" ref="O97">IF($B97="","",IF(IFERROR(INDEX('Danh mục thiết bị'!$J$6:$J$65,MATCH($C97,'Danh mục thiết bị'!$B$6:$B$65,0)),"")="Ngừng sử dụng","Thiết bị ngừng sử dụng",IF($J97="","Chưa chọn chu kỳ",IF($M97="","Chưa có ngày áp dụng",IF($M97&lt;'Tổng quan'!$B$11,"Quá hạn "&amp;('Tổng quan'!$B$11-$M97)&amp;" ngày",IF($M97='Tổng quan'!$B$11,"Đến hạn hôm nay",IF($M97-'Tổng quan'!$B$11&lt;='Cài đặt'!$B$102,"Sắp đến hạn ("&amp;($M97-'Tổng quan'!$B$11)&amp;" ngày)","Còn "&amp;($M97-'Tổng quan'!$B$11)&amp;" ngày")))))))</f>
        <v/>
      </c>
      <c r="P97" s="34"/>
      <c r="Q97" s="31"/>
      <c r="R97" s="29"/>
      <c r="S97" s="35"/>
      <c r="T97" s="26" t="str">
        <f t="shared" si="3"/>
        <v/>
      </c>
      <c r="U97" s="36" t="str">
        <f t="shared" si="4"/>
        <v/>
      </c>
      <c r="V97" s="29"/>
      <c r="W97" s="37">
        <f t="shared" si="5"/>
        <v>99999</v>
      </c>
      <c r="X97" s="37">
        <f t="shared" si="6"/>
        <v>99999</v>
      </c>
      <c r="Y97" s="38" t="str">
        <f t="shared" si="7"/>
        <v/>
      </c>
    </row>
    <row r="98" ht="30.0" customHeight="1">
      <c r="A98" s="10" t="str">
        <f t="shared" si="1"/>
        <v/>
      </c>
      <c r="B98" s="11"/>
      <c r="C98" s="11"/>
      <c r="D98" s="14" t="str">
        <f t="array" ref="D98">IF($C98="","",IFERROR(INDEX('Danh mục thiết bị'!$C$6:$C$65,MATCH($C98,'Danh mục thiết bị'!$B$6:$B$65,0)),"Mã TB không tồn tại"))</f>
        <v/>
      </c>
      <c r="E98" s="14" t="str">
        <f t="array" ref="E98">IF($C98="","",IFERROR(INDEX('Danh mục thiết bị'!$D$6:$D$65,MATCH($C98,'Danh mục thiết bị'!$B$6:$B$65,0)),""))</f>
        <v/>
      </c>
      <c r="F98" s="15"/>
      <c r="G98" s="11"/>
      <c r="H98" s="11"/>
      <c r="I98" s="11"/>
      <c r="J98" s="10" t="str">
        <f t="array" ref="J98">IF($B98="","",IF($I98&lt;&gt;"",$I98,IFERROR(INDEX('Cài đặt'!$B$47:$B$56,MATCH($H98,'Cài đặt'!$A$47:$A$56,0)),"")))</f>
        <v/>
      </c>
      <c r="K98" s="13"/>
      <c r="L98" s="17" t="str">
        <f>IF($B98="","",IF(SUMPRODUCT(MAX(('Nhật ký bảo trì'!$D$6:$D$405=$B98)*('Nhật ký bảo trì'!$Q$6:$Q$405="Hoàn thành")*'Nhật ký bảo trì'!$B$6:$B$405))=0,"",SUMPRODUCT(MAX(('Nhật ký bảo trì'!$D$6:$D$405=$B98)*('Nhật ký bảo trì'!$Q$6:$Q$405="Hoàn thành")*'Nhật ký bảo trì'!$B$6:$B$405))))</f>
        <v/>
      </c>
      <c r="M98" s="17" t="str">
        <f t="shared" si="2"/>
        <v/>
      </c>
      <c r="N98" s="10" t="str">
        <f>IF($M98="","",$M98-'Tổng quan'!$B$11)</f>
        <v/>
      </c>
      <c r="O98" s="10" t="str">
        <f t="array" ref="O98">IF($B98="","",IF(IFERROR(INDEX('Danh mục thiết bị'!$J$6:$J$65,MATCH($C98,'Danh mục thiết bị'!$B$6:$B$65,0)),"")="Ngừng sử dụng","Thiết bị ngừng sử dụng",IF($J98="","Chưa chọn chu kỳ",IF($M98="","Chưa có ngày áp dụng",IF($M98&lt;'Tổng quan'!$B$11,"Quá hạn "&amp;('Tổng quan'!$B$11-$M98)&amp;" ngày",IF($M98='Tổng quan'!$B$11,"Đến hạn hôm nay",IF($M98-'Tổng quan'!$B$11&lt;='Cài đặt'!$B$102,"Sắp đến hạn ("&amp;($M98-'Tổng quan'!$B$11)&amp;" ngày)","Còn "&amp;($M98-'Tổng quan'!$B$11)&amp;" ngày")))))))</f>
        <v/>
      </c>
      <c r="P98" s="19"/>
      <c r="Q98" s="12"/>
      <c r="R98" s="15"/>
      <c r="S98" s="20"/>
      <c r="T98" s="10" t="str">
        <f t="shared" si="3"/>
        <v/>
      </c>
      <c r="U98" s="21" t="str">
        <f t="shared" si="4"/>
        <v/>
      </c>
      <c r="V98" s="15"/>
      <c r="W98" s="23">
        <f t="shared" si="5"/>
        <v>99999</v>
      </c>
      <c r="X98" s="23">
        <f t="shared" si="6"/>
        <v>99999</v>
      </c>
      <c r="Y98" s="25" t="str">
        <f t="shared" si="7"/>
        <v/>
      </c>
    </row>
    <row r="99" ht="30.0" customHeight="1">
      <c r="A99" s="26" t="str">
        <f t="shared" si="1"/>
        <v/>
      </c>
      <c r="B99" s="27"/>
      <c r="C99" s="27"/>
      <c r="D99" s="28" t="str">
        <f t="array" ref="D99">IF($C99="","",IFERROR(INDEX('Danh mục thiết bị'!$C$6:$C$65,MATCH($C99,'Danh mục thiết bị'!$B$6:$B$65,0)),"Mã TB không tồn tại"))</f>
        <v/>
      </c>
      <c r="E99" s="28" t="str">
        <f t="array" ref="E99">IF($C99="","",IFERROR(INDEX('Danh mục thiết bị'!$D$6:$D$65,MATCH($C99,'Danh mục thiết bị'!$B$6:$B$65,0)),""))</f>
        <v/>
      </c>
      <c r="F99" s="29"/>
      <c r="G99" s="27"/>
      <c r="H99" s="27"/>
      <c r="I99" s="27"/>
      <c r="J99" s="26" t="str">
        <f t="array" ref="J99">IF($B99="","",IF($I99&lt;&gt;"",$I99,IFERROR(INDEX('Cài đặt'!$B$47:$B$56,MATCH($H99,'Cài đặt'!$A$47:$A$56,0)),"")))</f>
        <v/>
      </c>
      <c r="K99" s="32"/>
      <c r="L99" s="33" t="str">
        <f>IF($B99="","",IF(SUMPRODUCT(MAX(('Nhật ký bảo trì'!$D$6:$D$405=$B99)*('Nhật ký bảo trì'!$Q$6:$Q$405="Hoàn thành")*'Nhật ký bảo trì'!$B$6:$B$405))=0,"",SUMPRODUCT(MAX(('Nhật ký bảo trì'!$D$6:$D$405=$B99)*('Nhật ký bảo trì'!$Q$6:$Q$405="Hoàn thành")*'Nhật ký bảo trì'!$B$6:$B$405))))</f>
        <v/>
      </c>
      <c r="M99" s="33" t="str">
        <f t="shared" si="2"/>
        <v/>
      </c>
      <c r="N99" s="26" t="str">
        <f>IF($M99="","",$M99-'Tổng quan'!$B$11)</f>
        <v/>
      </c>
      <c r="O99" s="26" t="str">
        <f t="array" ref="O99">IF($B99="","",IF(IFERROR(INDEX('Danh mục thiết bị'!$J$6:$J$65,MATCH($C99,'Danh mục thiết bị'!$B$6:$B$65,0)),"")="Ngừng sử dụng","Thiết bị ngừng sử dụng",IF($J99="","Chưa chọn chu kỳ",IF($M99="","Chưa có ngày áp dụng",IF($M99&lt;'Tổng quan'!$B$11,"Quá hạn "&amp;('Tổng quan'!$B$11-$M99)&amp;" ngày",IF($M99='Tổng quan'!$B$11,"Đến hạn hôm nay",IF($M99-'Tổng quan'!$B$11&lt;='Cài đặt'!$B$102,"Sắp đến hạn ("&amp;($M99-'Tổng quan'!$B$11)&amp;" ngày)","Còn "&amp;($M99-'Tổng quan'!$B$11)&amp;" ngày")))))))</f>
        <v/>
      </c>
      <c r="P99" s="34"/>
      <c r="Q99" s="31"/>
      <c r="R99" s="29"/>
      <c r="S99" s="35"/>
      <c r="T99" s="26" t="str">
        <f t="shared" si="3"/>
        <v/>
      </c>
      <c r="U99" s="36" t="str">
        <f t="shared" si="4"/>
        <v/>
      </c>
      <c r="V99" s="29"/>
      <c r="W99" s="37">
        <f t="shared" si="5"/>
        <v>99999</v>
      </c>
      <c r="X99" s="37">
        <f t="shared" si="6"/>
        <v>99999</v>
      </c>
      <c r="Y99" s="38" t="str">
        <f t="shared" si="7"/>
        <v/>
      </c>
    </row>
    <row r="100" ht="30.0" customHeight="1">
      <c r="A100" s="10" t="str">
        <f t="shared" si="1"/>
        <v/>
      </c>
      <c r="B100" s="11"/>
      <c r="C100" s="11"/>
      <c r="D100" s="14" t="str">
        <f t="array" ref="D100">IF($C100="","",IFERROR(INDEX('Danh mục thiết bị'!$C$6:$C$65,MATCH($C100,'Danh mục thiết bị'!$B$6:$B$65,0)),"Mã TB không tồn tại"))</f>
        <v/>
      </c>
      <c r="E100" s="14" t="str">
        <f t="array" ref="E100">IF($C100="","",IFERROR(INDEX('Danh mục thiết bị'!$D$6:$D$65,MATCH($C100,'Danh mục thiết bị'!$B$6:$B$65,0)),""))</f>
        <v/>
      </c>
      <c r="F100" s="15"/>
      <c r="G100" s="11"/>
      <c r="H100" s="11"/>
      <c r="I100" s="11"/>
      <c r="J100" s="10" t="str">
        <f t="array" ref="J100">IF($B100="","",IF($I100&lt;&gt;"",$I100,IFERROR(INDEX('Cài đặt'!$B$47:$B$56,MATCH($H100,'Cài đặt'!$A$47:$A$56,0)),"")))</f>
        <v/>
      </c>
      <c r="K100" s="13"/>
      <c r="L100" s="17" t="str">
        <f>IF($B100="","",IF(SUMPRODUCT(MAX(('Nhật ký bảo trì'!$D$6:$D$405=$B100)*('Nhật ký bảo trì'!$Q$6:$Q$405="Hoàn thành")*'Nhật ký bảo trì'!$B$6:$B$405))=0,"",SUMPRODUCT(MAX(('Nhật ký bảo trì'!$D$6:$D$405=$B100)*('Nhật ký bảo trì'!$Q$6:$Q$405="Hoàn thành")*'Nhật ký bảo trì'!$B$6:$B$405))))</f>
        <v/>
      </c>
      <c r="M100" s="17" t="str">
        <f t="shared" si="2"/>
        <v/>
      </c>
      <c r="N100" s="10" t="str">
        <f>IF($M100="","",$M100-'Tổng quan'!$B$11)</f>
        <v/>
      </c>
      <c r="O100" s="10" t="str">
        <f t="array" ref="O100">IF($B100="","",IF(IFERROR(INDEX('Danh mục thiết bị'!$J$6:$J$65,MATCH($C100,'Danh mục thiết bị'!$B$6:$B$65,0)),"")="Ngừng sử dụng","Thiết bị ngừng sử dụng",IF($J100="","Chưa chọn chu kỳ",IF($M100="","Chưa có ngày áp dụng",IF($M100&lt;'Tổng quan'!$B$11,"Quá hạn "&amp;('Tổng quan'!$B$11-$M100)&amp;" ngày",IF($M100='Tổng quan'!$B$11,"Đến hạn hôm nay",IF($M100-'Tổng quan'!$B$11&lt;='Cài đặt'!$B$102,"Sắp đến hạn ("&amp;($M100-'Tổng quan'!$B$11)&amp;" ngày)","Còn "&amp;($M100-'Tổng quan'!$B$11)&amp;" ngày")))))))</f>
        <v/>
      </c>
      <c r="P100" s="19"/>
      <c r="Q100" s="12"/>
      <c r="R100" s="15"/>
      <c r="S100" s="20"/>
      <c r="T100" s="10" t="str">
        <f t="shared" si="3"/>
        <v/>
      </c>
      <c r="U100" s="21" t="str">
        <f t="shared" si="4"/>
        <v/>
      </c>
      <c r="V100" s="15"/>
      <c r="W100" s="23">
        <f t="shared" si="5"/>
        <v>99999</v>
      </c>
      <c r="X100" s="23">
        <f t="shared" si="6"/>
        <v>99999</v>
      </c>
      <c r="Y100" s="25" t="str">
        <f t="shared" si="7"/>
        <v/>
      </c>
    </row>
    <row r="101" ht="30.0" customHeight="1">
      <c r="A101" s="26" t="str">
        <f t="shared" si="1"/>
        <v/>
      </c>
      <c r="B101" s="27"/>
      <c r="C101" s="27"/>
      <c r="D101" s="28" t="str">
        <f t="array" ref="D101">IF($C101="","",IFERROR(INDEX('Danh mục thiết bị'!$C$6:$C$65,MATCH($C101,'Danh mục thiết bị'!$B$6:$B$65,0)),"Mã TB không tồn tại"))</f>
        <v/>
      </c>
      <c r="E101" s="28" t="str">
        <f t="array" ref="E101">IF($C101="","",IFERROR(INDEX('Danh mục thiết bị'!$D$6:$D$65,MATCH($C101,'Danh mục thiết bị'!$B$6:$B$65,0)),""))</f>
        <v/>
      </c>
      <c r="F101" s="29"/>
      <c r="G101" s="27"/>
      <c r="H101" s="27"/>
      <c r="I101" s="27"/>
      <c r="J101" s="26" t="str">
        <f t="array" ref="J101">IF($B101="","",IF($I101&lt;&gt;"",$I101,IFERROR(INDEX('Cài đặt'!$B$47:$B$56,MATCH($H101,'Cài đặt'!$A$47:$A$56,0)),"")))</f>
        <v/>
      </c>
      <c r="K101" s="32"/>
      <c r="L101" s="33" t="str">
        <f>IF($B101="","",IF(SUMPRODUCT(MAX(('Nhật ký bảo trì'!$D$6:$D$405=$B101)*('Nhật ký bảo trì'!$Q$6:$Q$405="Hoàn thành")*'Nhật ký bảo trì'!$B$6:$B$405))=0,"",SUMPRODUCT(MAX(('Nhật ký bảo trì'!$D$6:$D$405=$B101)*('Nhật ký bảo trì'!$Q$6:$Q$405="Hoàn thành")*'Nhật ký bảo trì'!$B$6:$B$405))))</f>
        <v/>
      </c>
      <c r="M101" s="33" t="str">
        <f t="shared" si="2"/>
        <v/>
      </c>
      <c r="N101" s="26" t="str">
        <f>IF($M101="","",$M101-'Tổng quan'!$B$11)</f>
        <v/>
      </c>
      <c r="O101" s="26" t="str">
        <f t="array" ref="O101">IF($B101="","",IF(IFERROR(INDEX('Danh mục thiết bị'!$J$6:$J$65,MATCH($C101,'Danh mục thiết bị'!$B$6:$B$65,0)),"")="Ngừng sử dụng","Thiết bị ngừng sử dụng",IF($J101="","Chưa chọn chu kỳ",IF($M101="","Chưa có ngày áp dụng",IF($M101&lt;'Tổng quan'!$B$11,"Quá hạn "&amp;('Tổng quan'!$B$11-$M101)&amp;" ngày",IF($M101='Tổng quan'!$B$11,"Đến hạn hôm nay",IF($M101-'Tổng quan'!$B$11&lt;='Cài đặt'!$B$102,"Sắp đến hạn ("&amp;($M101-'Tổng quan'!$B$11)&amp;" ngày)","Còn "&amp;($M101-'Tổng quan'!$B$11)&amp;" ngày")))))))</f>
        <v/>
      </c>
      <c r="P101" s="34"/>
      <c r="Q101" s="31"/>
      <c r="R101" s="29"/>
      <c r="S101" s="35"/>
      <c r="T101" s="26" t="str">
        <f t="shared" si="3"/>
        <v/>
      </c>
      <c r="U101" s="36" t="str">
        <f t="shared" si="4"/>
        <v/>
      </c>
      <c r="V101" s="29"/>
      <c r="W101" s="37">
        <f t="shared" si="5"/>
        <v>99999</v>
      </c>
      <c r="X101" s="37">
        <f t="shared" si="6"/>
        <v>99999</v>
      </c>
      <c r="Y101" s="38" t="str">
        <f t="shared" si="7"/>
        <v/>
      </c>
    </row>
    <row r="102" ht="30.0" customHeight="1">
      <c r="A102" s="10" t="str">
        <f t="shared" si="1"/>
        <v/>
      </c>
      <c r="B102" s="11"/>
      <c r="C102" s="11"/>
      <c r="D102" s="14" t="str">
        <f t="array" ref="D102">IF($C102="","",IFERROR(INDEX('Danh mục thiết bị'!$C$6:$C$65,MATCH($C102,'Danh mục thiết bị'!$B$6:$B$65,0)),"Mã TB không tồn tại"))</f>
        <v/>
      </c>
      <c r="E102" s="14" t="str">
        <f t="array" ref="E102">IF($C102="","",IFERROR(INDEX('Danh mục thiết bị'!$D$6:$D$65,MATCH($C102,'Danh mục thiết bị'!$B$6:$B$65,0)),""))</f>
        <v/>
      </c>
      <c r="F102" s="15"/>
      <c r="G102" s="11"/>
      <c r="H102" s="11"/>
      <c r="I102" s="11"/>
      <c r="J102" s="10" t="str">
        <f t="array" ref="J102">IF($B102="","",IF($I102&lt;&gt;"",$I102,IFERROR(INDEX('Cài đặt'!$B$47:$B$56,MATCH($H102,'Cài đặt'!$A$47:$A$56,0)),"")))</f>
        <v/>
      </c>
      <c r="K102" s="13"/>
      <c r="L102" s="17" t="str">
        <f>IF($B102="","",IF(SUMPRODUCT(MAX(('Nhật ký bảo trì'!$D$6:$D$405=$B102)*('Nhật ký bảo trì'!$Q$6:$Q$405="Hoàn thành")*'Nhật ký bảo trì'!$B$6:$B$405))=0,"",SUMPRODUCT(MAX(('Nhật ký bảo trì'!$D$6:$D$405=$B102)*('Nhật ký bảo trì'!$Q$6:$Q$405="Hoàn thành")*'Nhật ký bảo trì'!$B$6:$B$405))))</f>
        <v/>
      </c>
      <c r="M102" s="17" t="str">
        <f t="shared" si="2"/>
        <v/>
      </c>
      <c r="N102" s="10" t="str">
        <f>IF($M102="","",$M102-'Tổng quan'!$B$11)</f>
        <v/>
      </c>
      <c r="O102" s="10" t="str">
        <f t="array" ref="O102">IF($B102="","",IF(IFERROR(INDEX('Danh mục thiết bị'!$J$6:$J$65,MATCH($C102,'Danh mục thiết bị'!$B$6:$B$65,0)),"")="Ngừng sử dụng","Thiết bị ngừng sử dụng",IF($J102="","Chưa chọn chu kỳ",IF($M102="","Chưa có ngày áp dụng",IF($M102&lt;'Tổng quan'!$B$11,"Quá hạn "&amp;('Tổng quan'!$B$11-$M102)&amp;" ngày",IF($M102='Tổng quan'!$B$11,"Đến hạn hôm nay",IF($M102-'Tổng quan'!$B$11&lt;='Cài đặt'!$B$102,"Sắp đến hạn ("&amp;($M102-'Tổng quan'!$B$11)&amp;" ngày)","Còn "&amp;($M102-'Tổng quan'!$B$11)&amp;" ngày")))))))</f>
        <v/>
      </c>
      <c r="P102" s="19"/>
      <c r="Q102" s="12"/>
      <c r="R102" s="15"/>
      <c r="S102" s="20"/>
      <c r="T102" s="10" t="str">
        <f t="shared" si="3"/>
        <v/>
      </c>
      <c r="U102" s="21" t="str">
        <f t="shared" si="4"/>
        <v/>
      </c>
      <c r="V102" s="15"/>
      <c r="W102" s="23">
        <f t="shared" si="5"/>
        <v>99999</v>
      </c>
      <c r="X102" s="23">
        <f t="shared" si="6"/>
        <v>99999</v>
      </c>
      <c r="Y102" s="25" t="str">
        <f t="shared" si="7"/>
        <v/>
      </c>
    </row>
    <row r="103" ht="30.0" customHeight="1">
      <c r="A103" s="26" t="str">
        <f t="shared" si="1"/>
        <v/>
      </c>
      <c r="B103" s="27"/>
      <c r="C103" s="27"/>
      <c r="D103" s="28" t="str">
        <f t="array" ref="D103">IF($C103="","",IFERROR(INDEX('Danh mục thiết bị'!$C$6:$C$65,MATCH($C103,'Danh mục thiết bị'!$B$6:$B$65,0)),"Mã TB không tồn tại"))</f>
        <v/>
      </c>
      <c r="E103" s="28" t="str">
        <f t="array" ref="E103">IF($C103="","",IFERROR(INDEX('Danh mục thiết bị'!$D$6:$D$65,MATCH($C103,'Danh mục thiết bị'!$B$6:$B$65,0)),""))</f>
        <v/>
      </c>
      <c r="F103" s="29"/>
      <c r="G103" s="27"/>
      <c r="H103" s="27"/>
      <c r="I103" s="27"/>
      <c r="J103" s="26" t="str">
        <f t="array" ref="J103">IF($B103="","",IF($I103&lt;&gt;"",$I103,IFERROR(INDEX('Cài đặt'!$B$47:$B$56,MATCH($H103,'Cài đặt'!$A$47:$A$56,0)),"")))</f>
        <v/>
      </c>
      <c r="K103" s="32"/>
      <c r="L103" s="33" t="str">
        <f>IF($B103="","",IF(SUMPRODUCT(MAX(('Nhật ký bảo trì'!$D$6:$D$405=$B103)*('Nhật ký bảo trì'!$Q$6:$Q$405="Hoàn thành")*'Nhật ký bảo trì'!$B$6:$B$405))=0,"",SUMPRODUCT(MAX(('Nhật ký bảo trì'!$D$6:$D$405=$B103)*('Nhật ký bảo trì'!$Q$6:$Q$405="Hoàn thành")*'Nhật ký bảo trì'!$B$6:$B$405))))</f>
        <v/>
      </c>
      <c r="M103" s="33" t="str">
        <f t="shared" si="2"/>
        <v/>
      </c>
      <c r="N103" s="26" t="str">
        <f>IF($M103="","",$M103-'Tổng quan'!$B$11)</f>
        <v/>
      </c>
      <c r="O103" s="26" t="str">
        <f t="array" ref="O103">IF($B103="","",IF(IFERROR(INDEX('Danh mục thiết bị'!$J$6:$J$65,MATCH($C103,'Danh mục thiết bị'!$B$6:$B$65,0)),"")="Ngừng sử dụng","Thiết bị ngừng sử dụng",IF($J103="","Chưa chọn chu kỳ",IF($M103="","Chưa có ngày áp dụng",IF($M103&lt;'Tổng quan'!$B$11,"Quá hạn "&amp;('Tổng quan'!$B$11-$M103)&amp;" ngày",IF($M103='Tổng quan'!$B$11,"Đến hạn hôm nay",IF($M103-'Tổng quan'!$B$11&lt;='Cài đặt'!$B$102,"Sắp đến hạn ("&amp;($M103-'Tổng quan'!$B$11)&amp;" ngày)","Còn "&amp;($M103-'Tổng quan'!$B$11)&amp;" ngày")))))))</f>
        <v/>
      </c>
      <c r="P103" s="34"/>
      <c r="Q103" s="31"/>
      <c r="R103" s="29"/>
      <c r="S103" s="35"/>
      <c r="T103" s="26" t="str">
        <f t="shared" si="3"/>
        <v/>
      </c>
      <c r="U103" s="36" t="str">
        <f t="shared" si="4"/>
        <v/>
      </c>
      <c r="V103" s="29"/>
      <c r="W103" s="37">
        <f t="shared" si="5"/>
        <v>99999</v>
      </c>
      <c r="X103" s="37">
        <f t="shared" si="6"/>
        <v>99999</v>
      </c>
      <c r="Y103" s="38" t="str">
        <f t="shared" si="7"/>
        <v/>
      </c>
    </row>
    <row r="104" ht="30.0" customHeight="1">
      <c r="A104" s="10" t="str">
        <f t="shared" si="1"/>
        <v/>
      </c>
      <c r="B104" s="11"/>
      <c r="C104" s="11"/>
      <c r="D104" s="14" t="str">
        <f t="array" ref="D104">IF($C104="","",IFERROR(INDEX('Danh mục thiết bị'!$C$6:$C$65,MATCH($C104,'Danh mục thiết bị'!$B$6:$B$65,0)),"Mã TB không tồn tại"))</f>
        <v/>
      </c>
      <c r="E104" s="14" t="str">
        <f t="array" ref="E104">IF($C104="","",IFERROR(INDEX('Danh mục thiết bị'!$D$6:$D$65,MATCH($C104,'Danh mục thiết bị'!$B$6:$B$65,0)),""))</f>
        <v/>
      </c>
      <c r="F104" s="15"/>
      <c r="G104" s="11"/>
      <c r="H104" s="11"/>
      <c r="I104" s="11"/>
      <c r="J104" s="10" t="str">
        <f t="array" ref="J104">IF($B104="","",IF($I104&lt;&gt;"",$I104,IFERROR(INDEX('Cài đặt'!$B$47:$B$56,MATCH($H104,'Cài đặt'!$A$47:$A$56,0)),"")))</f>
        <v/>
      </c>
      <c r="K104" s="13"/>
      <c r="L104" s="17" t="str">
        <f>IF($B104="","",IF(SUMPRODUCT(MAX(('Nhật ký bảo trì'!$D$6:$D$405=$B104)*('Nhật ký bảo trì'!$Q$6:$Q$405="Hoàn thành")*'Nhật ký bảo trì'!$B$6:$B$405))=0,"",SUMPRODUCT(MAX(('Nhật ký bảo trì'!$D$6:$D$405=$B104)*('Nhật ký bảo trì'!$Q$6:$Q$405="Hoàn thành")*'Nhật ký bảo trì'!$B$6:$B$405))))</f>
        <v/>
      </c>
      <c r="M104" s="17" t="str">
        <f t="shared" si="2"/>
        <v/>
      </c>
      <c r="N104" s="10" t="str">
        <f>IF($M104="","",$M104-'Tổng quan'!$B$11)</f>
        <v/>
      </c>
      <c r="O104" s="10" t="str">
        <f t="array" ref="O104">IF($B104="","",IF(IFERROR(INDEX('Danh mục thiết bị'!$J$6:$J$65,MATCH($C104,'Danh mục thiết bị'!$B$6:$B$65,0)),"")="Ngừng sử dụng","Thiết bị ngừng sử dụng",IF($J104="","Chưa chọn chu kỳ",IF($M104="","Chưa có ngày áp dụng",IF($M104&lt;'Tổng quan'!$B$11,"Quá hạn "&amp;('Tổng quan'!$B$11-$M104)&amp;" ngày",IF($M104='Tổng quan'!$B$11,"Đến hạn hôm nay",IF($M104-'Tổng quan'!$B$11&lt;='Cài đặt'!$B$102,"Sắp đến hạn ("&amp;($M104-'Tổng quan'!$B$11)&amp;" ngày)","Còn "&amp;($M104-'Tổng quan'!$B$11)&amp;" ngày")))))))</f>
        <v/>
      </c>
      <c r="P104" s="19"/>
      <c r="Q104" s="12"/>
      <c r="R104" s="15"/>
      <c r="S104" s="20"/>
      <c r="T104" s="10" t="str">
        <f t="shared" si="3"/>
        <v/>
      </c>
      <c r="U104" s="21" t="str">
        <f t="shared" si="4"/>
        <v/>
      </c>
      <c r="V104" s="15"/>
      <c r="W104" s="23">
        <f t="shared" si="5"/>
        <v>99999</v>
      </c>
      <c r="X104" s="23">
        <f t="shared" si="6"/>
        <v>99999</v>
      </c>
      <c r="Y104" s="25" t="str">
        <f t="shared" si="7"/>
        <v/>
      </c>
    </row>
    <row r="105" ht="30.0" customHeight="1">
      <c r="A105" s="26" t="str">
        <f t="shared" si="1"/>
        <v/>
      </c>
      <c r="B105" s="27"/>
      <c r="C105" s="27"/>
      <c r="D105" s="28" t="str">
        <f t="array" ref="D105">IF($C105="","",IFERROR(INDEX('Danh mục thiết bị'!$C$6:$C$65,MATCH($C105,'Danh mục thiết bị'!$B$6:$B$65,0)),"Mã TB không tồn tại"))</f>
        <v/>
      </c>
      <c r="E105" s="28" t="str">
        <f t="array" ref="E105">IF($C105="","",IFERROR(INDEX('Danh mục thiết bị'!$D$6:$D$65,MATCH($C105,'Danh mục thiết bị'!$B$6:$B$65,0)),""))</f>
        <v/>
      </c>
      <c r="F105" s="29"/>
      <c r="G105" s="27"/>
      <c r="H105" s="27"/>
      <c r="I105" s="27"/>
      <c r="J105" s="26" t="str">
        <f t="array" ref="J105">IF($B105="","",IF($I105&lt;&gt;"",$I105,IFERROR(INDEX('Cài đặt'!$B$47:$B$56,MATCH($H105,'Cài đặt'!$A$47:$A$56,0)),"")))</f>
        <v/>
      </c>
      <c r="K105" s="32"/>
      <c r="L105" s="33" t="str">
        <f>IF($B105="","",IF(SUMPRODUCT(MAX(('Nhật ký bảo trì'!$D$6:$D$405=$B105)*('Nhật ký bảo trì'!$Q$6:$Q$405="Hoàn thành")*'Nhật ký bảo trì'!$B$6:$B$405))=0,"",SUMPRODUCT(MAX(('Nhật ký bảo trì'!$D$6:$D$405=$B105)*('Nhật ký bảo trì'!$Q$6:$Q$405="Hoàn thành")*'Nhật ký bảo trì'!$B$6:$B$405))))</f>
        <v/>
      </c>
      <c r="M105" s="33" t="str">
        <f t="shared" si="2"/>
        <v/>
      </c>
      <c r="N105" s="26" t="str">
        <f>IF($M105="","",$M105-'Tổng quan'!$B$11)</f>
        <v/>
      </c>
      <c r="O105" s="26" t="str">
        <f t="array" ref="O105">IF($B105="","",IF(IFERROR(INDEX('Danh mục thiết bị'!$J$6:$J$65,MATCH($C105,'Danh mục thiết bị'!$B$6:$B$65,0)),"")="Ngừng sử dụng","Thiết bị ngừng sử dụng",IF($J105="","Chưa chọn chu kỳ",IF($M105="","Chưa có ngày áp dụng",IF($M105&lt;'Tổng quan'!$B$11,"Quá hạn "&amp;('Tổng quan'!$B$11-$M105)&amp;" ngày",IF($M105='Tổng quan'!$B$11,"Đến hạn hôm nay",IF($M105-'Tổng quan'!$B$11&lt;='Cài đặt'!$B$102,"Sắp đến hạn ("&amp;($M105-'Tổng quan'!$B$11)&amp;" ngày)","Còn "&amp;($M105-'Tổng quan'!$B$11)&amp;" ngày")))))))</f>
        <v/>
      </c>
      <c r="P105" s="34"/>
      <c r="Q105" s="31"/>
      <c r="R105" s="29"/>
      <c r="S105" s="35"/>
      <c r="T105" s="26" t="str">
        <f t="shared" si="3"/>
        <v/>
      </c>
      <c r="U105" s="36" t="str">
        <f t="shared" si="4"/>
        <v/>
      </c>
      <c r="V105" s="29"/>
      <c r="W105" s="37">
        <f t="shared" si="5"/>
        <v>99999</v>
      </c>
      <c r="X105" s="37">
        <f t="shared" si="6"/>
        <v>99999</v>
      </c>
      <c r="Y105" s="38" t="str">
        <f t="shared" si="7"/>
        <v/>
      </c>
    </row>
    <row r="106" ht="30.0" customHeight="1">
      <c r="A106" s="10" t="str">
        <f t="shared" si="1"/>
        <v/>
      </c>
      <c r="B106" s="11"/>
      <c r="C106" s="11"/>
      <c r="D106" s="14" t="str">
        <f t="array" ref="D106">IF($C106="","",IFERROR(INDEX('Danh mục thiết bị'!$C$6:$C$65,MATCH($C106,'Danh mục thiết bị'!$B$6:$B$65,0)),"Mã TB không tồn tại"))</f>
        <v/>
      </c>
      <c r="E106" s="14" t="str">
        <f t="array" ref="E106">IF($C106="","",IFERROR(INDEX('Danh mục thiết bị'!$D$6:$D$65,MATCH($C106,'Danh mục thiết bị'!$B$6:$B$65,0)),""))</f>
        <v/>
      </c>
      <c r="F106" s="15"/>
      <c r="G106" s="11"/>
      <c r="H106" s="11"/>
      <c r="I106" s="11"/>
      <c r="J106" s="10" t="str">
        <f t="array" ref="J106">IF($B106="","",IF($I106&lt;&gt;"",$I106,IFERROR(INDEX('Cài đặt'!$B$47:$B$56,MATCH($H106,'Cài đặt'!$A$47:$A$56,0)),"")))</f>
        <v/>
      </c>
      <c r="K106" s="13"/>
      <c r="L106" s="17" t="str">
        <f>IF($B106="","",IF(SUMPRODUCT(MAX(('Nhật ký bảo trì'!$D$6:$D$405=$B106)*('Nhật ký bảo trì'!$Q$6:$Q$405="Hoàn thành")*'Nhật ký bảo trì'!$B$6:$B$405))=0,"",SUMPRODUCT(MAX(('Nhật ký bảo trì'!$D$6:$D$405=$B106)*('Nhật ký bảo trì'!$Q$6:$Q$405="Hoàn thành")*'Nhật ký bảo trì'!$B$6:$B$405))))</f>
        <v/>
      </c>
      <c r="M106" s="17" t="str">
        <f t="shared" si="2"/>
        <v/>
      </c>
      <c r="N106" s="10" t="str">
        <f>IF($M106="","",$M106-'Tổng quan'!$B$11)</f>
        <v/>
      </c>
      <c r="O106" s="10" t="str">
        <f t="array" ref="O106">IF($B106="","",IF(IFERROR(INDEX('Danh mục thiết bị'!$J$6:$J$65,MATCH($C106,'Danh mục thiết bị'!$B$6:$B$65,0)),"")="Ngừng sử dụng","Thiết bị ngừng sử dụng",IF($J106="","Chưa chọn chu kỳ",IF($M106="","Chưa có ngày áp dụng",IF($M106&lt;'Tổng quan'!$B$11,"Quá hạn "&amp;('Tổng quan'!$B$11-$M106)&amp;" ngày",IF($M106='Tổng quan'!$B$11,"Đến hạn hôm nay",IF($M106-'Tổng quan'!$B$11&lt;='Cài đặt'!$B$102,"Sắp đến hạn ("&amp;($M106-'Tổng quan'!$B$11)&amp;" ngày)","Còn "&amp;($M106-'Tổng quan'!$B$11)&amp;" ngày")))))))</f>
        <v/>
      </c>
      <c r="P106" s="19"/>
      <c r="Q106" s="12"/>
      <c r="R106" s="15"/>
      <c r="S106" s="20"/>
      <c r="T106" s="10" t="str">
        <f t="shared" si="3"/>
        <v/>
      </c>
      <c r="U106" s="21" t="str">
        <f t="shared" si="4"/>
        <v/>
      </c>
      <c r="V106" s="15"/>
      <c r="W106" s="23">
        <f t="shared" si="5"/>
        <v>99999</v>
      </c>
      <c r="X106" s="23">
        <f t="shared" si="6"/>
        <v>99999</v>
      </c>
      <c r="Y106" s="25" t="str">
        <f t="shared" si="7"/>
        <v/>
      </c>
    </row>
    <row r="107" ht="30.0" customHeight="1">
      <c r="A107" s="26" t="str">
        <f t="shared" si="1"/>
        <v/>
      </c>
      <c r="B107" s="27"/>
      <c r="C107" s="27"/>
      <c r="D107" s="28" t="str">
        <f t="array" ref="D107">IF($C107="","",IFERROR(INDEX('Danh mục thiết bị'!$C$6:$C$65,MATCH($C107,'Danh mục thiết bị'!$B$6:$B$65,0)),"Mã TB không tồn tại"))</f>
        <v/>
      </c>
      <c r="E107" s="28" t="str">
        <f t="array" ref="E107">IF($C107="","",IFERROR(INDEX('Danh mục thiết bị'!$D$6:$D$65,MATCH($C107,'Danh mục thiết bị'!$B$6:$B$65,0)),""))</f>
        <v/>
      </c>
      <c r="F107" s="29"/>
      <c r="G107" s="27"/>
      <c r="H107" s="27"/>
      <c r="I107" s="27"/>
      <c r="J107" s="26" t="str">
        <f t="array" ref="J107">IF($B107="","",IF($I107&lt;&gt;"",$I107,IFERROR(INDEX('Cài đặt'!$B$47:$B$56,MATCH($H107,'Cài đặt'!$A$47:$A$56,0)),"")))</f>
        <v/>
      </c>
      <c r="K107" s="32"/>
      <c r="L107" s="33" t="str">
        <f>IF($B107="","",IF(SUMPRODUCT(MAX(('Nhật ký bảo trì'!$D$6:$D$405=$B107)*('Nhật ký bảo trì'!$Q$6:$Q$405="Hoàn thành")*'Nhật ký bảo trì'!$B$6:$B$405))=0,"",SUMPRODUCT(MAX(('Nhật ký bảo trì'!$D$6:$D$405=$B107)*('Nhật ký bảo trì'!$Q$6:$Q$405="Hoàn thành")*'Nhật ký bảo trì'!$B$6:$B$405))))</f>
        <v/>
      </c>
      <c r="M107" s="33" t="str">
        <f t="shared" si="2"/>
        <v/>
      </c>
      <c r="N107" s="26" t="str">
        <f>IF($M107="","",$M107-'Tổng quan'!$B$11)</f>
        <v/>
      </c>
      <c r="O107" s="26" t="str">
        <f t="array" ref="O107">IF($B107="","",IF(IFERROR(INDEX('Danh mục thiết bị'!$J$6:$J$65,MATCH($C107,'Danh mục thiết bị'!$B$6:$B$65,0)),"")="Ngừng sử dụng","Thiết bị ngừng sử dụng",IF($J107="","Chưa chọn chu kỳ",IF($M107="","Chưa có ngày áp dụng",IF($M107&lt;'Tổng quan'!$B$11,"Quá hạn "&amp;('Tổng quan'!$B$11-$M107)&amp;" ngày",IF($M107='Tổng quan'!$B$11,"Đến hạn hôm nay",IF($M107-'Tổng quan'!$B$11&lt;='Cài đặt'!$B$102,"Sắp đến hạn ("&amp;($M107-'Tổng quan'!$B$11)&amp;" ngày)","Còn "&amp;($M107-'Tổng quan'!$B$11)&amp;" ngày")))))))</f>
        <v/>
      </c>
      <c r="P107" s="34"/>
      <c r="Q107" s="31"/>
      <c r="R107" s="29"/>
      <c r="S107" s="35"/>
      <c r="T107" s="26" t="str">
        <f t="shared" si="3"/>
        <v/>
      </c>
      <c r="U107" s="36" t="str">
        <f t="shared" si="4"/>
        <v/>
      </c>
      <c r="V107" s="29"/>
      <c r="W107" s="37">
        <f t="shared" si="5"/>
        <v>99999</v>
      </c>
      <c r="X107" s="37">
        <f t="shared" si="6"/>
        <v>99999</v>
      </c>
      <c r="Y107" s="38" t="str">
        <f t="shared" si="7"/>
        <v/>
      </c>
    </row>
    <row r="108" ht="30.0" customHeight="1">
      <c r="A108" s="10" t="str">
        <f t="shared" si="1"/>
        <v/>
      </c>
      <c r="B108" s="11"/>
      <c r="C108" s="11"/>
      <c r="D108" s="14" t="str">
        <f t="array" ref="D108">IF($C108="","",IFERROR(INDEX('Danh mục thiết bị'!$C$6:$C$65,MATCH($C108,'Danh mục thiết bị'!$B$6:$B$65,0)),"Mã TB không tồn tại"))</f>
        <v/>
      </c>
      <c r="E108" s="14" t="str">
        <f t="array" ref="E108">IF($C108="","",IFERROR(INDEX('Danh mục thiết bị'!$D$6:$D$65,MATCH($C108,'Danh mục thiết bị'!$B$6:$B$65,0)),""))</f>
        <v/>
      </c>
      <c r="F108" s="15"/>
      <c r="G108" s="11"/>
      <c r="H108" s="11"/>
      <c r="I108" s="11"/>
      <c r="J108" s="10" t="str">
        <f t="array" ref="J108">IF($B108="","",IF($I108&lt;&gt;"",$I108,IFERROR(INDEX('Cài đặt'!$B$47:$B$56,MATCH($H108,'Cài đặt'!$A$47:$A$56,0)),"")))</f>
        <v/>
      </c>
      <c r="K108" s="13"/>
      <c r="L108" s="17" t="str">
        <f>IF($B108="","",IF(SUMPRODUCT(MAX(('Nhật ký bảo trì'!$D$6:$D$405=$B108)*('Nhật ký bảo trì'!$Q$6:$Q$405="Hoàn thành")*'Nhật ký bảo trì'!$B$6:$B$405))=0,"",SUMPRODUCT(MAX(('Nhật ký bảo trì'!$D$6:$D$405=$B108)*('Nhật ký bảo trì'!$Q$6:$Q$405="Hoàn thành")*'Nhật ký bảo trì'!$B$6:$B$405))))</f>
        <v/>
      </c>
      <c r="M108" s="17" t="str">
        <f t="shared" si="2"/>
        <v/>
      </c>
      <c r="N108" s="10" t="str">
        <f>IF($M108="","",$M108-'Tổng quan'!$B$11)</f>
        <v/>
      </c>
      <c r="O108" s="10" t="str">
        <f t="array" ref="O108">IF($B108="","",IF(IFERROR(INDEX('Danh mục thiết bị'!$J$6:$J$65,MATCH($C108,'Danh mục thiết bị'!$B$6:$B$65,0)),"")="Ngừng sử dụng","Thiết bị ngừng sử dụng",IF($J108="","Chưa chọn chu kỳ",IF($M108="","Chưa có ngày áp dụng",IF($M108&lt;'Tổng quan'!$B$11,"Quá hạn "&amp;('Tổng quan'!$B$11-$M108)&amp;" ngày",IF($M108='Tổng quan'!$B$11,"Đến hạn hôm nay",IF($M108-'Tổng quan'!$B$11&lt;='Cài đặt'!$B$102,"Sắp đến hạn ("&amp;($M108-'Tổng quan'!$B$11)&amp;" ngày)","Còn "&amp;($M108-'Tổng quan'!$B$11)&amp;" ngày")))))))</f>
        <v/>
      </c>
      <c r="P108" s="19"/>
      <c r="Q108" s="12"/>
      <c r="R108" s="15"/>
      <c r="S108" s="20"/>
      <c r="T108" s="10" t="str">
        <f t="shared" si="3"/>
        <v/>
      </c>
      <c r="U108" s="21" t="str">
        <f t="shared" si="4"/>
        <v/>
      </c>
      <c r="V108" s="15"/>
      <c r="W108" s="23">
        <f t="shared" si="5"/>
        <v>99999</v>
      </c>
      <c r="X108" s="23">
        <f t="shared" si="6"/>
        <v>99999</v>
      </c>
      <c r="Y108" s="25" t="str">
        <f t="shared" si="7"/>
        <v/>
      </c>
    </row>
    <row r="109" ht="30.0" customHeight="1">
      <c r="A109" s="26" t="str">
        <f t="shared" si="1"/>
        <v/>
      </c>
      <c r="B109" s="27"/>
      <c r="C109" s="27"/>
      <c r="D109" s="28" t="str">
        <f t="array" ref="D109">IF($C109="","",IFERROR(INDEX('Danh mục thiết bị'!$C$6:$C$65,MATCH($C109,'Danh mục thiết bị'!$B$6:$B$65,0)),"Mã TB không tồn tại"))</f>
        <v/>
      </c>
      <c r="E109" s="28" t="str">
        <f t="array" ref="E109">IF($C109="","",IFERROR(INDEX('Danh mục thiết bị'!$D$6:$D$65,MATCH($C109,'Danh mục thiết bị'!$B$6:$B$65,0)),""))</f>
        <v/>
      </c>
      <c r="F109" s="29"/>
      <c r="G109" s="27"/>
      <c r="H109" s="27"/>
      <c r="I109" s="27"/>
      <c r="J109" s="26" t="str">
        <f t="array" ref="J109">IF($B109="","",IF($I109&lt;&gt;"",$I109,IFERROR(INDEX('Cài đặt'!$B$47:$B$56,MATCH($H109,'Cài đặt'!$A$47:$A$56,0)),"")))</f>
        <v/>
      </c>
      <c r="K109" s="32"/>
      <c r="L109" s="33" t="str">
        <f>IF($B109="","",IF(SUMPRODUCT(MAX(('Nhật ký bảo trì'!$D$6:$D$405=$B109)*('Nhật ký bảo trì'!$Q$6:$Q$405="Hoàn thành")*'Nhật ký bảo trì'!$B$6:$B$405))=0,"",SUMPRODUCT(MAX(('Nhật ký bảo trì'!$D$6:$D$405=$B109)*('Nhật ký bảo trì'!$Q$6:$Q$405="Hoàn thành")*'Nhật ký bảo trì'!$B$6:$B$405))))</f>
        <v/>
      </c>
      <c r="M109" s="33" t="str">
        <f t="shared" si="2"/>
        <v/>
      </c>
      <c r="N109" s="26" t="str">
        <f>IF($M109="","",$M109-'Tổng quan'!$B$11)</f>
        <v/>
      </c>
      <c r="O109" s="26" t="str">
        <f t="array" ref="O109">IF($B109="","",IF(IFERROR(INDEX('Danh mục thiết bị'!$J$6:$J$65,MATCH($C109,'Danh mục thiết bị'!$B$6:$B$65,0)),"")="Ngừng sử dụng","Thiết bị ngừng sử dụng",IF($J109="","Chưa chọn chu kỳ",IF($M109="","Chưa có ngày áp dụng",IF($M109&lt;'Tổng quan'!$B$11,"Quá hạn "&amp;('Tổng quan'!$B$11-$M109)&amp;" ngày",IF($M109='Tổng quan'!$B$11,"Đến hạn hôm nay",IF($M109-'Tổng quan'!$B$11&lt;='Cài đặt'!$B$102,"Sắp đến hạn ("&amp;($M109-'Tổng quan'!$B$11)&amp;" ngày)","Còn "&amp;($M109-'Tổng quan'!$B$11)&amp;" ngày")))))))</f>
        <v/>
      </c>
      <c r="P109" s="34"/>
      <c r="Q109" s="31"/>
      <c r="R109" s="29"/>
      <c r="S109" s="35"/>
      <c r="T109" s="26" t="str">
        <f t="shared" si="3"/>
        <v/>
      </c>
      <c r="U109" s="36" t="str">
        <f t="shared" si="4"/>
        <v/>
      </c>
      <c r="V109" s="29"/>
      <c r="W109" s="37">
        <f t="shared" si="5"/>
        <v>99999</v>
      </c>
      <c r="X109" s="37">
        <f t="shared" si="6"/>
        <v>99999</v>
      </c>
      <c r="Y109" s="38" t="str">
        <f t="shared" si="7"/>
        <v/>
      </c>
    </row>
    <row r="110" ht="30.0" customHeight="1">
      <c r="A110" s="10" t="str">
        <f t="shared" si="1"/>
        <v/>
      </c>
      <c r="B110" s="11"/>
      <c r="C110" s="11"/>
      <c r="D110" s="14" t="str">
        <f t="array" ref="D110">IF($C110="","",IFERROR(INDEX('Danh mục thiết bị'!$C$6:$C$65,MATCH($C110,'Danh mục thiết bị'!$B$6:$B$65,0)),"Mã TB không tồn tại"))</f>
        <v/>
      </c>
      <c r="E110" s="14" t="str">
        <f t="array" ref="E110">IF($C110="","",IFERROR(INDEX('Danh mục thiết bị'!$D$6:$D$65,MATCH($C110,'Danh mục thiết bị'!$B$6:$B$65,0)),""))</f>
        <v/>
      </c>
      <c r="F110" s="15"/>
      <c r="G110" s="11"/>
      <c r="H110" s="11"/>
      <c r="I110" s="11"/>
      <c r="J110" s="10" t="str">
        <f t="array" ref="J110">IF($B110="","",IF($I110&lt;&gt;"",$I110,IFERROR(INDEX('Cài đặt'!$B$47:$B$56,MATCH($H110,'Cài đặt'!$A$47:$A$56,0)),"")))</f>
        <v/>
      </c>
      <c r="K110" s="13"/>
      <c r="L110" s="17" t="str">
        <f>IF($B110="","",IF(SUMPRODUCT(MAX(('Nhật ký bảo trì'!$D$6:$D$405=$B110)*('Nhật ký bảo trì'!$Q$6:$Q$405="Hoàn thành")*'Nhật ký bảo trì'!$B$6:$B$405))=0,"",SUMPRODUCT(MAX(('Nhật ký bảo trì'!$D$6:$D$405=$B110)*('Nhật ký bảo trì'!$Q$6:$Q$405="Hoàn thành")*'Nhật ký bảo trì'!$B$6:$B$405))))</f>
        <v/>
      </c>
      <c r="M110" s="17" t="str">
        <f t="shared" si="2"/>
        <v/>
      </c>
      <c r="N110" s="10" t="str">
        <f>IF($M110="","",$M110-'Tổng quan'!$B$11)</f>
        <v/>
      </c>
      <c r="O110" s="10" t="str">
        <f t="array" ref="O110">IF($B110="","",IF(IFERROR(INDEX('Danh mục thiết bị'!$J$6:$J$65,MATCH($C110,'Danh mục thiết bị'!$B$6:$B$65,0)),"")="Ngừng sử dụng","Thiết bị ngừng sử dụng",IF($J110="","Chưa chọn chu kỳ",IF($M110="","Chưa có ngày áp dụng",IF($M110&lt;'Tổng quan'!$B$11,"Quá hạn "&amp;('Tổng quan'!$B$11-$M110)&amp;" ngày",IF($M110='Tổng quan'!$B$11,"Đến hạn hôm nay",IF($M110-'Tổng quan'!$B$11&lt;='Cài đặt'!$B$102,"Sắp đến hạn ("&amp;($M110-'Tổng quan'!$B$11)&amp;" ngày)","Còn "&amp;($M110-'Tổng quan'!$B$11)&amp;" ngày")))))))</f>
        <v/>
      </c>
      <c r="P110" s="19"/>
      <c r="Q110" s="12"/>
      <c r="R110" s="15"/>
      <c r="S110" s="20"/>
      <c r="T110" s="10" t="str">
        <f t="shared" si="3"/>
        <v/>
      </c>
      <c r="U110" s="21" t="str">
        <f t="shared" si="4"/>
        <v/>
      </c>
      <c r="V110" s="15"/>
      <c r="W110" s="23">
        <f t="shared" si="5"/>
        <v>99999</v>
      </c>
      <c r="X110" s="23">
        <f t="shared" si="6"/>
        <v>99999</v>
      </c>
      <c r="Y110" s="25" t="str">
        <f t="shared" si="7"/>
        <v/>
      </c>
    </row>
    <row r="111" ht="30.0" customHeight="1">
      <c r="A111" s="26" t="str">
        <f t="shared" si="1"/>
        <v/>
      </c>
      <c r="B111" s="27"/>
      <c r="C111" s="27"/>
      <c r="D111" s="28" t="str">
        <f t="array" ref="D111">IF($C111="","",IFERROR(INDEX('Danh mục thiết bị'!$C$6:$C$65,MATCH($C111,'Danh mục thiết bị'!$B$6:$B$65,0)),"Mã TB không tồn tại"))</f>
        <v/>
      </c>
      <c r="E111" s="28" t="str">
        <f t="array" ref="E111">IF($C111="","",IFERROR(INDEX('Danh mục thiết bị'!$D$6:$D$65,MATCH($C111,'Danh mục thiết bị'!$B$6:$B$65,0)),""))</f>
        <v/>
      </c>
      <c r="F111" s="29"/>
      <c r="G111" s="27"/>
      <c r="H111" s="27"/>
      <c r="I111" s="27"/>
      <c r="J111" s="26" t="str">
        <f t="array" ref="J111">IF($B111="","",IF($I111&lt;&gt;"",$I111,IFERROR(INDEX('Cài đặt'!$B$47:$B$56,MATCH($H111,'Cài đặt'!$A$47:$A$56,0)),"")))</f>
        <v/>
      </c>
      <c r="K111" s="32"/>
      <c r="L111" s="33" t="str">
        <f>IF($B111="","",IF(SUMPRODUCT(MAX(('Nhật ký bảo trì'!$D$6:$D$405=$B111)*('Nhật ký bảo trì'!$Q$6:$Q$405="Hoàn thành")*'Nhật ký bảo trì'!$B$6:$B$405))=0,"",SUMPRODUCT(MAX(('Nhật ký bảo trì'!$D$6:$D$405=$B111)*('Nhật ký bảo trì'!$Q$6:$Q$405="Hoàn thành")*'Nhật ký bảo trì'!$B$6:$B$405))))</f>
        <v/>
      </c>
      <c r="M111" s="33" t="str">
        <f t="shared" si="2"/>
        <v/>
      </c>
      <c r="N111" s="26" t="str">
        <f>IF($M111="","",$M111-'Tổng quan'!$B$11)</f>
        <v/>
      </c>
      <c r="O111" s="26" t="str">
        <f t="array" ref="O111">IF($B111="","",IF(IFERROR(INDEX('Danh mục thiết bị'!$J$6:$J$65,MATCH($C111,'Danh mục thiết bị'!$B$6:$B$65,0)),"")="Ngừng sử dụng","Thiết bị ngừng sử dụng",IF($J111="","Chưa chọn chu kỳ",IF($M111="","Chưa có ngày áp dụng",IF($M111&lt;'Tổng quan'!$B$11,"Quá hạn "&amp;('Tổng quan'!$B$11-$M111)&amp;" ngày",IF($M111='Tổng quan'!$B$11,"Đến hạn hôm nay",IF($M111-'Tổng quan'!$B$11&lt;='Cài đặt'!$B$102,"Sắp đến hạn ("&amp;($M111-'Tổng quan'!$B$11)&amp;" ngày)","Còn "&amp;($M111-'Tổng quan'!$B$11)&amp;" ngày")))))))</f>
        <v/>
      </c>
      <c r="P111" s="34"/>
      <c r="Q111" s="31"/>
      <c r="R111" s="29"/>
      <c r="S111" s="35"/>
      <c r="T111" s="26" t="str">
        <f t="shared" si="3"/>
        <v/>
      </c>
      <c r="U111" s="36" t="str">
        <f t="shared" si="4"/>
        <v/>
      </c>
      <c r="V111" s="29"/>
      <c r="W111" s="37">
        <f t="shared" si="5"/>
        <v>99999</v>
      </c>
      <c r="X111" s="37">
        <f t="shared" si="6"/>
        <v>99999</v>
      </c>
      <c r="Y111" s="38" t="str">
        <f t="shared" si="7"/>
        <v/>
      </c>
    </row>
    <row r="112" ht="30.0" customHeight="1">
      <c r="A112" s="10" t="str">
        <f t="shared" si="1"/>
        <v/>
      </c>
      <c r="B112" s="11"/>
      <c r="C112" s="11"/>
      <c r="D112" s="14" t="str">
        <f t="array" ref="D112">IF($C112="","",IFERROR(INDEX('Danh mục thiết bị'!$C$6:$C$65,MATCH($C112,'Danh mục thiết bị'!$B$6:$B$65,0)),"Mã TB không tồn tại"))</f>
        <v/>
      </c>
      <c r="E112" s="14" t="str">
        <f t="array" ref="E112">IF($C112="","",IFERROR(INDEX('Danh mục thiết bị'!$D$6:$D$65,MATCH($C112,'Danh mục thiết bị'!$B$6:$B$65,0)),""))</f>
        <v/>
      </c>
      <c r="F112" s="15"/>
      <c r="G112" s="11"/>
      <c r="H112" s="11"/>
      <c r="I112" s="11"/>
      <c r="J112" s="10" t="str">
        <f t="array" ref="J112">IF($B112="","",IF($I112&lt;&gt;"",$I112,IFERROR(INDEX('Cài đặt'!$B$47:$B$56,MATCH($H112,'Cài đặt'!$A$47:$A$56,0)),"")))</f>
        <v/>
      </c>
      <c r="K112" s="13"/>
      <c r="L112" s="17" t="str">
        <f>IF($B112="","",IF(SUMPRODUCT(MAX(('Nhật ký bảo trì'!$D$6:$D$405=$B112)*('Nhật ký bảo trì'!$Q$6:$Q$405="Hoàn thành")*'Nhật ký bảo trì'!$B$6:$B$405))=0,"",SUMPRODUCT(MAX(('Nhật ký bảo trì'!$D$6:$D$405=$B112)*('Nhật ký bảo trì'!$Q$6:$Q$405="Hoàn thành")*'Nhật ký bảo trì'!$B$6:$B$405))))</f>
        <v/>
      </c>
      <c r="M112" s="17" t="str">
        <f t="shared" si="2"/>
        <v/>
      </c>
      <c r="N112" s="10" t="str">
        <f>IF($M112="","",$M112-'Tổng quan'!$B$11)</f>
        <v/>
      </c>
      <c r="O112" s="10" t="str">
        <f t="array" ref="O112">IF($B112="","",IF(IFERROR(INDEX('Danh mục thiết bị'!$J$6:$J$65,MATCH($C112,'Danh mục thiết bị'!$B$6:$B$65,0)),"")="Ngừng sử dụng","Thiết bị ngừng sử dụng",IF($J112="","Chưa chọn chu kỳ",IF($M112="","Chưa có ngày áp dụng",IF($M112&lt;'Tổng quan'!$B$11,"Quá hạn "&amp;('Tổng quan'!$B$11-$M112)&amp;" ngày",IF($M112='Tổng quan'!$B$11,"Đến hạn hôm nay",IF($M112-'Tổng quan'!$B$11&lt;='Cài đặt'!$B$102,"Sắp đến hạn ("&amp;($M112-'Tổng quan'!$B$11)&amp;" ngày)","Còn "&amp;($M112-'Tổng quan'!$B$11)&amp;" ngày")))))))</f>
        <v/>
      </c>
      <c r="P112" s="19"/>
      <c r="Q112" s="12"/>
      <c r="R112" s="15"/>
      <c r="S112" s="20"/>
      <c r="T112" s="10" t="str">
        <f t="shared" si="3"/>
        <v/>
      </c>
      <c r="U112" s="21" t="str">
        <f t="shared" si="4"/>
        <v/>
      </c>
      <c r="V112" s="15"/>
      <c r="W112" s="23">
        <f t="shared" si="5"/>
        <v>99999</v>
      </c>
      <c r="X112" s="23">
        <f t="shared" si="6"/>
        <v>99999</v>
      </c>
      <c r="Y112" s="25" t="str">
        <f t="shared" si="7"/>
        <v/>
      </c>
    </row>
    <row r="113" ht="30.0" customHeight="1">
      <c r="A113" s="26" t="str">
        <f t="shared" si="1"/>
        <v/>
      </c>
      <c r="B113" s="27"/>
      <c r="C113" s="27"/>
      <c r="D113" s="28" t="str">
        <f t="array" ref="D113">IF($C113="","",IFERROR(INDEX('Danh mục thiết bị'!$C$6:$C$65,MATCH($C113,'Danh mục thiết bị'!$B$6:$B$65,0)),"Mã TB không tồn tại"))</f>
        <v/>
      </c>
      <c r="E113" s="28" t="str">
        <f t="array" ref="E113">IF($C113="","",IFERROR(INDEX('Danh mục thiết bị'!$D$6:$D$65,MATCH($C113,'Danh mục thiết bị'!$B$6:$B$65,0)),""))</f>
        <v/>
      </c>
      <c r="F113" s="29"/>
      <c r="G113" s="27"/>
      <c r="H113" s="27"/>
      <c r="I113" s="27"/>
      <c r="J113" s="26" t="str">
        <f t="array" ref="J113">IF($B113="","",IF($I113&lt;&gt;"",$I113,IFERROR(INDEX('Cài đặt'!$B$47:$B$56,MATCH($H113,'Cài đặt'!$A$47:$A$56,0)),"")))</f>
        <v/>
      </c>
      <c r="K113" s="32"/>
      <c r="L113" s="33" t="str">
        <f>IF($B113="","",IF(SUMPRODUCT(MAX(('Nhật ký bảo trì'!$D$6:$D$405=$B113)*('Nhật ký bảo trì'!$Q$6:$Q$405="Hoàn thành")*'Nhật ký bảo trì'!$B$6:$B$405))=0,"",SUMPRODUCT(MAX(('Nhật ký bảo trì'!$D$6:$D$405=$B113)*('Nhật ký bảo trì'!$Q$6:$Q$405="Hoàn thành")*'Nhật ký bảo trì'!$B$6:$B$405))))</f>
        <v/>
      </c>
      <c r="M113" s="33" t="str">
        <f t="shared" si="2"/>
        <v/>
      </c>
      <c r="N113" s="26" t="str">
        <f>IF($M113="","",$M113-'Tổng quan'!$B$11)</f>
        <v/>
      </c>
      <c r="O113" s="26" t="str">
        <f t="array" ref="O113">IF($B113="","",IF(IFERROR(INDEX('Danh mục thiết bị'!$J$6:$J$65,MATCH($C113,'Danh mục thiết bị'!$B$6:$B$65,0)),"")="Ngừng sử dụng","Thiết bị ngừng sử dụng",IF($J113="","Chưa chọn chu kỳ",IF($M113="","Chưa có ngày áp dụng",IF($M113&lt;'Tổng quan'!$B$11,"Quá hạn "&amp;('Tổng quan'!$B$11-$M113)&amp;" ngày",IF($M113='Tổng quan'!$B$11,"Đến hạn hôm nay",IF($M113-'Tổng quan'!$B$11&lt;='Cài đặt'!$B$102,"Sắp đến hạn ("&amp;($M113-'Tổng quan'!$B$11)&amp;" ngày)","Còn "&amp;($M113-'Tổng quan'!$B$11)&amp;" ngày")))))))</f>
        <v/>
      </c>
      <c r="P113" s="34"/>
      <c r="Q113" s="31"/>
      <c r="R113" s="29"/>
      <c r="S113" s="35"/>
      <c r="T113" s="26" t="str">
        <f t="shared" si="3"/>
        <v/>
      </c>
      <c r="U113" s="36" t="str">
        <f t="shared" si="4"/>
        <v/>
      </c>
      <c r="V113" s="29"/>
      <c r="W113" s="37">
        <f t="shared" si="5"/>
        <v>99999</v>
      </c>
      <c r="X113" s="37">
        <f t="shared" si="6"/>
        <v>99999</v>
      </c>
      <c r="Y113" s="38" t="str">
        <f t="shared" si="7"/>
        <v/>
      </c>
    </row>
    <row r="114" ht="30.0" customHeight="1">
      <c r="A114" s="10" t="str">
        <f t="shared" si="1"/>
        <v/>
      </c>
      <c r="B114" s="11"/>
      <c r="C114" s="11"/>
      <c r="D114" s="14" t="str">
        <f t="array" ref="D114">IF($C114="","",IFERROR(INDEX('Danh mục thiết bị'!$C$6:$C$65,MATCH($C114,'Danh mục thiết bị'!$B$6:$B$65,0)),"Mã TB không tồn tại"))</f>
        <v/>
      </c>
      <c r="E114" s="14" t="str">
        <f t="array" ref="E114">IF($C114="","",IFERROR(INDEX('Danh mục thiết bị'!$D$6:$D$65,MATCH($C114,'Danh mục thiết bị'!$B$6:$B$65,0)),""))</f>
        <v/>
      </c>
      <c r="F114" s="15"/>
      <c r="G114" s="11"/>
      <c r="H114" s="11"/>
      <c r="I114" s="11"/>
      <c r="J114" s="10" t="str">
        <f t="array" ref="J114">IF($B114="","",IF($I114&lt;&gt;"",$I114,IFERROR(INDEX('Cài đặt'!$B$47:$B$56,MATCH($H114,'Cài đặt'!$A$47:$A$56,0)),"")))</f>
        <v/>
      </c>
      <c r="K114" s="13"/>
      <c r="L114" s="17" t="str">
        <f>IF($B114="","",IF(SUMPRODUCT(MAX(('Nhật ký bảo trì'!$D$6:$D$405=$B114)*('Nhật ký bảo trì'!$Q$6:$Q$405="Hoàn thành")*'Nhật ký bảo trì'!$B$6:$B$405))=0,"",SUMPRODUCT(MAX(('Nhật ký bảo trì'!$D$6:$D$405=$B114)*('Nhật ký bảo trì'!$Q$6:$Q$405="Hoàn thành")*'Nhật ký bảo trì'!$B$6:$B$405))))</f>
        <v/>
      </c>
      <c r="M114" s="17" t="str">
        <f t="shared" si="2"/>
        <v/>
      </c>
      <c r="N114" s="10" t="str">
        <f>IF($M114="","",$M114-'Tổng quan'!$B$11)</f>
        <v/>
      </c>
      <c r="O114" s="10" t="str">
        <f t="array" ref="O114">IF($B114="","",IF(IFERROR(INDEX('Danh mục thiết bị'!$J$6:$J$65,MATCH($C114,'Danh mục thiết bị'!$B$6:$B$65,0)),"")="Ngừng sử dụng","Thiết bị ngừng sử dụng",IF($J114="","Chưa chọn chu kỳ",IF($M114="","Chưa có ngày áp dụng",IF($M114&lt;'Tổng quan'!$B$11,"Quá hạn "&amp;('Tổng quan'!$B$11-$M114)&amp;" ngày",IF($M114='Tổng quan'!$B$11,"Đến hạn hôm nay",IF($M114-'Tổng quan'!$B$11&lt;='Cài đặt'!$B$102,"Sắp đến hạn ("&amp;($M114-'Tổng quan'!$B$11)&amp;" ngày)","Còn "&amp;($M114-'Tổng quan'!$B$11)&amp;" ngày")))))))</f>
        <v/>
      </c>
      <c r="P114" s="19"/>
      <c r="Q114" s="12"/>
      <c r="R114" s="15"/>
      <c r="S114" s="20"/>
      <c r="T114" s="10" t="str">
        <f t="shared" si="3"/>
        <v/>
      </c>
      <c r="U114" s="21" t="str">
        <f t="shared" si="4"/>
        <v/>
      </c>
      <c r="V114" s="15"/>
      <c r="W114" s="23">
        <f t="shared" si="5"/>
        <v>99999</v>
      </c>
      <c r="X114" s="23">
        <f t="shared" si="6"/>
        <v>99999</v>
      </c>
      <c r="Y114" s="25" t="str">
        <f t="shared" si="7"/>
        <v/>
      </c>
    </row>
    <row r="115" ht="30.0" customHeight="1">
      <c r="A115" s="26" t="str">
        <f t="shared" si="1"/>
        <v/>
      </c>
      <c r="B115" s="27"/>
      <c r="C115" s="27"/>
      <c r="D115" s="28" t="str">
        <f t="array" ref="D115">IF($C115="","",IFERROR(INDEX('Danh mục thiết bị'!$C$6:$C$65,MATCH($C115,'Danh mục thiết bị'!$B$6:$B$65,0)),"Mã TB không tồn tại"))</f>
        <v/>
      </c>
      <c r="E115" s="28" t="str">
        <f t="array" ref="E115">IF($C115="","",IFERROR(INDEX('Danh mục thiết bị'!$D$6:$D$65,MATCH($C115,'Danh mục thiết bị'!$B$6:$B$65,0)),""))</f>
        <v/>
      </c>
      <c r="F115" s="29"/>
      <c r="G115" s="27"/>
      <c r="H115" s="27"/>
      <c r="I115" s="27"/>
      <c r="J115" s="26" t="str">
        <f t="array" ref="J115">IF($B115="","",IF($I115&lt;&gt;"",$I115,IFERROR(INDEX('Cài đặt'!$B$47:$B$56,MATCH($H115,'Cài đặt'!$A$47:$A$56,0)),"")))</f>
        <v/>
      </c>
      <c r="K115" s="32"/>
      <c r="L115" s="33" t="str">
        <f>IF($B115="","",IF(SUMPRODUCT(MAX(('Nhật ký bảo trì'!$D$6:$D$405=$B115)*('Nhật ký bảo trì'!$Q$6:$Q$405="Hoàn thành")*'Nhật ký bảo trì'!$B$6:$B$405))=0,"",SUMPRODUCT(MAX(('Nhật ký bảo trì'!$D$6:$D$405=$B115)*('Nhật ký bảo trì'!$Q$6:$Q$405="Hoàn thành")*'Nhật ký bảo trì'!$B$6:$B$405))))</f>
        <v/>
      </c>
      <c r="M115" s="33" t="str">
        <f t="shared" si="2"/>
        <v/>
      </c>
      <c r="N115" s="26" t="str">
        <f>IF($M115="","",$M115-'Tổng quan'!$B$11)</f>
        <v/>
      </c>
      <c r="O115" s="26" t="str">
        <f t="array" ref="O115">IF($B115="","",IF(IFERROR(INDEX('Danh mục thiết bị'!$J$6:$J$65,MATCH($C115,'Danh mục thiết bị'!$B$6:$B$65,0)),"")="Ngừng sử dụng","Thiết bị ngừng sử dụng",IF($J115="","Chưa chọn chu kỳ",IF($M115="","Chưa có ngày áp dụng",IF($M115&lt;'Tổng quan'!$B$11,"Quá hạn "&amp;('Tổng quan'!$B$11-$M115)&amp;" ngày",IF($M115='Tổng quan'!$B$11,"Đến hạn hôm nay",IF($M115-'Tổng quan'!$B$11&lt;='Cài đặt'!$B$102,"Sắp đến hạn ("&amp;($M115-'Tổng quan'!$B$11)&amp;" ngày)","Còn "&amp;($M115-'Tổng quan'!$B$11)&amp;" ngày")))))))</f>
        <v/>
      </c>
      <c r="P115" s="34"/>
      <c r="Q115" s="31"/>
      <c r="R115" s="29"/>
      <c r="S115" s="35"/>
      <c r="T115" s="26" t="str">
        <f t="shared" si="3"/>
        <v/>
      </c>
      <c r="U115" s="36" t="str">
        <f t="shared" si="4"/>
        <v/>
      </c>
      <c r="V115" s="29"/>
      <c r="W115" s="37">
        <f t="shared" si="5"/>
        <v>99999</v>
      </c>
      <c r="X115" s="37">
        <f t="shared" si="6"/>
        <v>99999</v>
      </c>
      <c r="Y115" s="38" t="str">
        <f t="shared" si="7"/>
        <v/>
      </c>
    </row>
    <row r="116" ht="30.0" customHeight="1">
      <c r="A116" s="10" t="str">
        <f t="shared" si="1"/>
        <v/>
      </c>
      <c r="B116" s="11"/>
      <c r="C116" s="11"/>
      <c r="D116" s="14" t="str">
        <f t="array" ref="D116">IF($C116="","",IFERROR(INDEX('Danh mục thiết bị'!$C$6:$C$65,MATCH($C116,'Danh mục thiết bị'!$B$6:$B$65,0)),"Mã TB không tồn tại"))</f>
        <v/>
      </c>
      <c r="E116" s="14" t="str">
        <f t="array" ref="E116">IF($C116="","",IFERROR(INDEX('Danh mục thiết bị'!$D$6:$D$65,MATCH($C116,'Danh mục thiết bị'!$B$6:$B$65,0)),""))</f>
        <v/>
      </c>
      <c r="F116" s="15"/>
      <c r="G116" s="11"/>
      <c r="H116" s="11"/>
      <c r="I116" s="11"/>
      <c r="J116" s="10" t="str">
        <f t="array" ref="J116">IF($B116="","",IF($I116&lt;&gt;"",$I116,IFERROR(INDEX('Cài đặt'!$B$47:$B$56,MATCH($H116,'Cài đặt'!$A$47:$A$56,0)),"")))</f>
        <v/>
      </c>
      <c r="K116" s="13"/>
      <c r="L116" s="17" t="str">
        <f>IF($B116="","",IF(SUMPRODUCT(MAX(('Nhật ký bảo trì'!$D$6:$D$405=$B116)*('Nhật ký bảo trì'!$Q$6:$Q$405="Hoàn thành")*'Nhật ký bảo trì'!$B$6:$B$405))=0,"",SUMPRODUCT(MAX(('Nhật ký bảo trì'!$D$6:$D$405=$B116)*('Nhật ký bảo trì'!$Q$6:$Q$405="Hoàn thành")*'Nhật ký bảo trì'!$B$6:$B$405))))</f>
        <v/>
      </c>
      <c r="M116" s="17" t="str">
        <f t="shared" si="2"/>
        <v/>
      </c>
      <c r="N116" s="10" t="str">
        <f>IF($M116="","",$M116-'Tổng quan'!$B$11)</f>
        <v/>
      </c>
      <c r="O116" s="10" t="str">
        <f t="array" ref="O116">IF($B116="","",IF(IFERROR(INDEX('Danh mục thiết bị'!$J$6:$J$65,MATCH($C116,'Danh mục thiết bị'!$B$6:$B$65,0)),"")="Ngừng sử dụng","Thiết bị ngừng sử dụng",IF($J116="","Chưa chọn chu kỳ",IF($M116="","Chưa có ngày áp dụng",IF($M116&lt;'Tổng quan'!$B$11,"Quá hạn "&amp;('Tổng quan'!$B$11-$M116)&amp;" ngày",IF($M116='Tổng quan'!$B$11,"Đến hạn hôm nay",IF($M116-'Tổng quan'!$B$11&lt;='Cài đặt'!$B$102,"Sắp đến hạn ("&amp;($M116-'Tổng quan'!$B$11)&amp;" ngày)","Còn "&amp;($M116-'Tổng quan'!$B$11)&amp;" ngày")))))))</f>
        <v/>
      </c>
      <c r="P116" s="19"/>
      <c r="Q116" s="12"/>
      <c r="R116" s="15"/>
      <c r="S116" s="20"/>
      <c r="T116" s="10" t="str">
        <f t="shared" si="3"/>
        <v/>
      </c>
      <c r="U116" s="21" t="str">
        <f t="shared" si="4"/>
        <v/>
      </c>
      <c r="V116" s="15"/>
      <c r="W116" s="23">
        <f t="shared" si="5"/>
        <v>99999</v>
      </c>
      <c r="X116" s="23">
        <f t="shared" si="6"/>
        <v>99999</v>
      </c>
      <c r="Y116" s="25" t="str">
        <f t="shared" si="7"/>
        <v/>
      </c>
    </row>
    <row r="117" ht="30.0" customHeight="1">
      <c r="A117" s="26" t="str">
        <f t="shared" si="1"/>
        <v/>
      </c>
      <c r="B117" s="27"/>
      <c r="C117" s="27"/>
      <c r="D117" s="28" t="str">
        <f t="array" ref="D117">IF($C117="","",IFERROR(INDEX('Danh mục thiết bị'!$C$6:$C$65,MATCH($C117,'Danh mục thiết bị'!$B$6:$B$65,0)),"Mã TB không tồn tại"))</f>
        <v/>
      </c>
      <c r="E117" s="28" t="str">
        <f t="array" ref="E117">IF($C117="","",IFERROR(INDEX('Danh mục thiết bị'!$D$6:$D$65,MATCH($C117,'Danh mục thiết bị'!$B$6:$B$65,0)),""))</f>
        <v/>
      </c>
      <c r="F117" s="29"/>
      <c r="G117" s="27"/>
      <c r="H117" s="27"/>
      <c r="I117" s="27"/>
      <c r="J117" s="26" t="str">
        <f t="array" ref="J117">IF($B117="","",IF($I117&lt;&gt;"",$I117,IFERROR(INDEX('Cài đặt'!$B$47:$B$56,MATCH($H117,'Cài đặt'!$A$47:$A$56,0)),"")))</f>
        <v/>
      </c>
      <c r="K117" s="32"/>
      <c r="L117" s="33" t="str">
        <f>IF($B117="","",IF(SUMPRODUCT(MAX(('Nhật ký bảo trì'!$D$6:$D$405=$B117)*('Nhật ký bảo trì'!$Q$6:$Q$405="Hoàn thành")*'Nhật ký bảo trì'!$B$6:$B$405))=0,"",SUMPRODUCT(MAX(('Nhật ký bảo trì'!$D$6:$D$405=$B117)*('Nhật ký bảo trì'!$Q$6:$Q$405="Hoàn thành")*'Nhật ký bảo trì'!$B$6:$B$405))))</f>
        <v/>
      </c>
      <c r="M117" s="33" t="str">
        <f t="shared" si="2"/>
        <v/>
      </c>
      <c r="N117" s="26" t="str">
        <f>IF($M117="","",$M117-'Tổng quan'!$B$11)</f>
        <v/>
      </c>
      <c r="O117" s="26" t="str">
        <f t="array" ref="O117">IF($B117="","",IF(IFERROR(INDEX('Danh mục thiết bị'!$J$6:$J$65,MATCH($C117,'Danh mục thiết bị'!$B$6:$B$65,0)),"")="Ngừng sử dụng","Thiết bị ngừng sử dụng",IF($J117="","Chưa chọn chu kỳ",IF($M117="","Chưa có ngày áp dụng",IF($M117&lt;'Tổng quan'!$B$11,"Quá hạn "&amp;('Tổng quan'!$B$11-$M117)&amp;" ngày",IF($M117='Tổng quan'!$B$11,"Đến hạn hôm nay",IF($M117-'Tổng quan'!$B$11&lt;='Cài đặt'!$B$102,"Sắp đến hạn ("&amp;($M117-'Tổng quan'!$B$11)&amp;" ngày)","Còn "&amp;($M117-'Tổng quan'!$B$11)&amp;" ngày")))))))</f>
        <v/>
      </c>
      <c r="P117" s="34"/>
      <c r="Q117" s="31"/>
      <c r="R117" s="29"/>
      <c r="S117" s="35"/>
      <c r="T117" s="26" t="str">
        <f t="shared" si="3"/>
        <v/>
      </c>
      <c r="U117" s="36" t="str">
        <f t="shared" si="4"/>
        <v/>
      </c>
      <c r="V117" s="29"/>
      <c r="W117" s="37">
        <f t="shared" si="5"/>
        <v>99999</v>
      </c>
      <c r="X117" s="37">
        <f t="shared" si="6"/>
        <v>99999</v>
      </c>
      <c r="Y117" s="38" t="str">
        <f t="shared" si="7"/>
        <v/>
      </c>
    </row>
    <row r="118" ht="30.0" customHeight="1">
      <c r="A118" s="10" t="str">
        <f t="shared" si="1"/>
        <v/>
      </c>
      <c r="B118" s="11"/>
      <c r="C118" s="11"/>
      <c r="D118" s="14" t="str">
        <f t="array" ref="D118">IF($C118="","",IFERROR(INDEX('Danh mục thiết bị'!$C$6:$C$65,MATCH($C118,'Danh mục thiết bị'!$B$6:$B$65,0)),"Mã TB không tồn tại"))</f>
        <v/>
      </c>
      <c r="E118" s="14" t="str">
        <f t="array" ref="E118">IF($C118="","",IFERROR(INDEX('Danh mục thiết bị'!$D$6:$D$65,MATCH($C118,'Danh mục thiết bị'!$B$6:$B$65,0)),""))</f>
        <v/>
      </c>
      <c r="F118" s="15"/>
      <c r="G118" s="11"/>
      <c r="H118" s="11"/>
      <c r="I118" s="11"/>
      <c r="J118" s="10" t="str">
        <f t="array" ref="J118">IF($B118="","",IF($I118&lt;&gt;"",$I118,IFERROR(INDEX('Cài đặt'!$B$47:$B$56,MATCH($H118,'Cài đặt'!$A$47:$A$56,0)),"")))</f>
        <v/>
      </c>
      <c r="K118" s="13"/>
      <c r="L118" s="17" t="str">
        <f>IF($B118="","",IF(SUMPRODUCT(MAX(('Nhật ký bảo trì'!$D$6:$D$405=$B118)*('Nhật ký bảo trì'!$Q$6:$Q$405="Hoàn thành")*'Nhật ký bảo trì'!$B$6:$B$405))=0,"",SUMPRODUCT(MAX(('Nhật ký bảo trì'!$D$6:$D$405=$B118)*('Nhật ký bảo trì'!$Q$6:$Q$405="Hoàn thành")*'Nhật ký bảo trì'!$B$6:$B$405))))</f>
        <v/>
      </c>
      <c r="M118" s="17" t="str">
        <f t="shared" si="2"/>
        <v/>
      </c>
      <c r="N118" s="10" t="str">
        <f>IF($M118="","",$M118-'Tổng quan'!$B$11)</f>
        <v/>
      </c>
      <c r="O118" s="10" t="str">
        <f t="array" ref="O118">IF($B118="","",IF(IFERROR(INDEX('Danh mục thiết bị'!$J$6:$J$65,MATCH($C118,'Danh mục thiết bị'!$B$6:$B$65,0)),"")="Ngừng sử dụng","Thiết bị ngừng sử dụng",IF($J118="","Chưa chọn chu kỳ",IF($M118="","Chưa có ngày áp dụng",IF($M118&lt;'Tổng quan'!$B$11,"Quá hạn "&amp;('Tổng quan'!$B$11-$M118)&amp;" ngày",IF($M118='Tổng quan'!$B$11,"Đến hạn hôm nay",IF($M118-'Tổng quan'!$B$11&lt;='Cài đặt'!$B$102,"Sắp đến hạn ("&amp;($M118-'Tổng quan'!$B$11)&amp;" ngày)","Còn "&amp;($M118-'Tổng quan'!$B$11)&amp;" ngày")))))))</f>
        <v/>
      </c>
      <c r="P118" s="19"/>
      <c r="Q118" s="12"/>
      <c r="R118" s="15"/>
      <c r="S118" s="20"/>
      <c r="T118" s="10" t="str">
        <f t="shared" si="3"/>
        <v/>
      </c>
      <c r="U118" s="21" t="str">
        <f t="shared" si="4"/>
        <v/>
      </c>
      <c r="V118" s="15"/>
      <c r="W118" s="23">
        <f t="shared" si="5"/>
        <v>99999</v>
      </c>
      <c r="X118" s="23">
        <f t="shared" si="6"/>
        <v>99999</v>
      </c>
      <c r="Y118" s="25" t="str">
        <f t="shared" si="7"/>
        <v/>
      </c>
    </row>
    <row r="119" ht="30.0" customHeight="1">
      <c r="A119" s="26" t="str">
        <f t="shared" si="1"/>
        <v/>
      </c>
      <c r="B119" s="27"/>
      <c r="C119" s="27"/>
      <c r="D119" s="28" t="str">
        <f t="array" ref="D119">IF($C119="","",IFERROR(INDEX('Danh mục thiết bị'!$C$6:$C$65,MATCH($C119,'Danh mục thiết bị'!$B$6:$B$65,0)),"Mã TB không tồn tại"))</f>
        <v/>
      </c>
      <c r="E119" s="28" t="str">
        <f t="array" ref="E119">IF($C119="","",IFERROR(INDEX('Danh mục thiết bị'!$D$6:$D$65,MATCH($C119,'Danh mục thiết bị'!$B$6:$B$65,0)),""))</f>
        <v/>
      </c>
      <c r="F119" s="29"/>
      <c r="G119" s="27"/>
      <c r="H119" s="27"/>
      <c r="I119" s="27"/>
      <c r="J119" s="26" t="str">
        <f t="array" ref="J119">IF($B119="","",IF($I119&lt;&gt;"",$I119,IFERROR(INDEX('Cài đặt'!$B$47:$B$56,MATCH($H119,'Cài đặt'!$A$47:$A$56,0)),"")))</f>
        <v/>
      </c>
      <c r="K119" s="32"/>
      <c r="L119" s="33" t="str">
        <f>IF($B119="","",IF(SUMPRODUCT(MAX(('Nhật ký bảo trì'!$D$6:$D$405=$B119)*('Nhật ký bảo trì'!$Q$6:$Q$405="Hoàn thành")*'Nhật ký bảo trì'!$B$6:$B$405))=0,"",SUMPRODUCT(MAX(('Nhật ký bảo trì'!$D$6:$D$405=$B119)*('Nhật ký bảo trì'!$Q$6:$Q$405="Hoàn thành")*'Nhật ký bảo trì'!$B$6:$B$405))))</f>
        <v/>
      </c>
      <c r="M119" s="33" t="str">
        <f t="shared" si="2"/>
        <v/>
      </c>
      <c r="N119" s="26" t="str">
        <f>IF($M119="","",$M119-'Tổng quan'!$B$11)</f>
        <v/>
      </c>
      <c r="O119" s="26" t="str">
        <f t="array" ref="O119">IF($B119="","",IF(IFERROR(INDEX('Danh mục thiết bị'!$J$6:$J$65,MATCH($C119,'Danh mục thiết bị'!$B$6:$B$65,0)),"")="Ngừng sử dụng","Thiết bị ngừng sử dụng",IF($J119="","Chưa chọn chu kỳ",IF($M119="","Chưa có ngày áp dụng",IF($M119&lt;'Tổng quan'!$B$11,"Quá hạn "&amp;('Tổng quan'!$B$11-$M119)&amp;" ngày",IF($M119='Tổng quan'!$B$11,"Đến hạn hôm nay",IF($M119-'Tổng quan'!$B$11&lt;='Cài đặt'!$B$102,"Sắp đến hạn ("&amp;($M119-'Tổng quan'!$B$11)&amp;" ngày)","Còn "&amp;($M119-'Tổng quan'!$B$11)&amp;" ngày")))))))</f>
        <v/>
      </c>
      <c r="P119" s="34"/>
      <c r="Q119" s="31"/>
      <c r="R119" s="29"/>
      <c r="S119" s="35"/>
      <c r="T119" s="26" t="str">
        <f t="shared" si="3"/>
        <v/>
      </c>
      <c r="U119" s="36" t="str">
        <f t="shared" si="4"/>
        <v/>
      </c>
      <c r="V119" s="29"/>
      <c r="W119" s="37">
        <f t="shared" si="5"/>
        <v>99999</v>
      </c>
      <c r="X119" s="37">
        <f t="shared" si="6"/>
        <v>99999</v>
      </c>
      <c r="Y119" s="38" t="str">
        <f t="shared" si="7"/>
        <v/>
      </c>
    </row>
    <row r="120" ht="30.0" customHeight="1">
      <c r="A120" s="10" t="str">
        <f t="shared" si="1"/>
        <v/>
      </c>
      <c r="B120" s="11"/>
      <c r="C120" s="11"/>
      <c r="D120" s="14" t="str">
        <f t="array" ref="D120">IF($C120="","",IFERROR(INDEX('Danh mục thiết bị'!$C$6:$C$65,MATCH($C120,'Danh mục thiết bị'!$B$6:$B$65,0)),"Mã TB không tồn tại"))</f>
        <v/>
      </c>
      <c r="E120" s="14" t="str">
        <f t="array" ref="E120">IF($C120="","",IFERROR(INDEX('Danh mục thiết bị'!$D$6:$D$65,MATCH($C120,'Danh mục thiết bị'!$B$6:$B$65,0)),""))</f>
        <v/>
      </c>
      <c r="F120" s="15"/>
      <c r="G120" s="11"/>
      <c r="H120" s="11"/>
      <c r="I120" s="11"/>
      <c r="J120" s="10" t="str">
        <f t="array" ref="J120">IF($B120="","",IF($I120&lt;&gt;"",$I120,IFERROR(INDEX('Cài đặt'!$B$47:$B$56,MATCH($H120,'Cài đặt'!$A$47:$A$56,0)),"")))</f>
        <v/>
      </c>
      <c r="K120" s="13"/>
      <c r="L120" s="17" t="str">
        <f>IF($B120="","",IF(SUMPRODUCT(MAX(('Nhật ký bảo trì'!$D$6:$D$405=$B120)*('Nhật ký bảo trì'!$Q$6:$Q$405="Hoàn thành")*'Nhật ký bảo trì'!$B$6:$B$405))=0,"",SUMPRODUCT(MAX(('Nhật ký bảo trì'!$D$6:$D$405=$B120)*('Nhật ký bảo trì'!$Q$6:$Q$405="Hoàn thành")*'Nhật ký bảo trì'!$B$6:$B$405))))</f>
        <v/>
      </c>
      <c r="M120" s="17" t="str">
        <f t="shared" si="2"/>
        <v/>
      </c>
      <c r="N120" s="10" t="str">
        <f>IF($M120="","",$M120-'Tổng quan'!$B$11)</f>
        <v/>
      </c>
      <c r="O120" s="10" t="str">
        <f t="array" ref="O120">IF($B120="","",IF(IFERROR(INDEX('Danh mục thiết bị'!$J$6:$J$65,MATCH($C120,'Danh mục thiết bị'!$B$6:$B$65,0)),"")="Ngừng sử dụng","Thiết bị ngừng sử dụng",IF($J120="","Chưa chọn chu kỳ",IF($M120="","Chưa có ngày áp dụng",IF($M120&lt;'Tổng quan'!$B$11,"Quá hạn "&amp;('Tổng quan'!$B$11-$M120)&amp;" ngày",IF($M120='Tổng quan'!$B$11,"Đến hạn hôm nay",IF($M120-'Tổng quan'!$B$11&lt;='Cài đặt'!$B$102,"Sắp đến hạn ("&amp;($M120-'Tổng quan'!$B$11)&amp;" ngày)","Còn "&amp;($M120-'Tổng quan'!$B$11)&amp;" ngày")))))))</f>
        <v/>
      </c>
      <c r="P120" s="19"/>
      <c r="Q120" s="12"/>
      <c r="R120" s="15"/>
      <c r="S120" s="20"/>
      <c r="T120" s="10" t="str">
        <f t="shared" si="3"/>
        <v/>
      </c>
      <c r="U120" s="21" t="str">
        <f t="shared" si="4"/>
        <v/>
      </c>
      <c r="V120" s="15"/>
      <c r="W120" s="23">
        <f t="shared" si="5"/>
        <v>99999</v>
      </c>
      <c r="X120" s="23">
        <f t="shared" si="6"/>
        <v>99999</v>
      </c>
      <c r="Y120" s="25" t="str">
        <f t="shared" si="7"/>
        <v/>
      </c>
    </row>
    <row r="121" ht="30.0" customHeight="1">
      <c r="A121" s="26" t="str">
        <f t="shared" si="1"/>
        <v/>
      </c>
      <c r="B121" s="27"/>
      <c r="C121" s="27"/>
      <c r="D121" s="28" t="str">
        <f t="array" ref="D121">IF($C121="","",IFERROR(INDEX('Danh mục thiết bị'!$C$6:$C$65,MATCH($C121,'Danh mục thiết bị'!$B$6:$B$65,0)),"Mã TB không tồn tại"))</f>
        <v/>
      </c>
      <c r="E121" s="28" t="str">
        <f t="array" ref="E121">IF($C121="","",IFERROR(INDEX('Danh mục thiết bị'!$D$6:$D$65,MATCH($C121,'Danh mục thiết bị'!$B$6:$B$65,0)),""))</f>
        <v/>
      </c>
      <c r="F121" s="29"/>
      <c r="G121" s="27"/>
      <c r="H121" s="27"/>
      <c r="I121" s="27"/>
      <c r="J121" s="26" t="str">
        <f t="array" ref="J121">IF($B121="","",IF($I121&lt;&gt;"",$I121,IFERROR(INDEX('Cài đặt'!$B$47:$B$56,MATCH($H121,'Cài đặt'!$A$47:$A$56,0)),"")))</f>
        <v/>
      </c>
      <c r="K121" s="32"/>
      <c r="L121" s="33" t="str">
        <f>IF($B121="","",IF(SUMPRODUCT(MAX(('Nhật ký bảo trì'!$D$6:$D$405=$B121)*('Nhật ký bảo trì'!$Q$6:$Q$405="Hoàn thành")*'Nhật ký bảo trì'!$B$6:$B$405))=0,"",SUMPRODUCT(MAX(('Nhật ký bảo trì'!$D$6:$D$405=$B121)*('Nhật ký bảo trì'!$Q$6:$Q$405="Hoàn thành")*'Nhật ký bảo trì'!$B$6:$B$405))))</f>
        <v/>
      </c>
      <c r="M121" s="33" t="str">
        <f t="shared" si="2"/>
        <v/>
      </c>
      <c r="N121" s="26" t="str">
        <f>IF($M121="","",$M121-'Tổng quan'!$B$11)</f>
        <v/>
      </c>
      <c r="O121" s="26" t="str">
        <f t="array" ref="O121">IF($B121="","",IF(IFERROR(INDEX('Danh mục thiết bị'!$J$6:$J$65,MATCH($C121,'Danh mục thiết bị'!$B$6:$B$65,0)),"")="Ngừng sử dụng","Thiết bị ngừng sử dụng",IF($J121="","Chưa chọn chu kỳ",IF($M121="","Chưa có ngày áp dụng",IF($M121&lt;'Tổng quan'!$B$11,"Quá hạn "&amp;('Tổng quan'!$B$11-$M121)&amp;" ngày",IF($M121='Tổng quan'!$B$11,"Đến hạn hôm nay",IF($M121-'Tổng quan'!$B$11&lt;='Cài đặt'!$B$102,"Sắp đến hạn ("&amp;($M121-'Tổng quan'!$B$11)&amp;" ngày)","Còn "&amp;($M121-'Tổng quan'!$B$11)&amp;" ngày")))))))</f>
        <v/>
      </c>
      <c r="P121" s="34"/>
      <c r="Q121" s="31"/>
      <c r="R121" s="29"/>
      <c r="S121" s="35"/>
      <c r="T121" s="26" t="str">
        <f t="shared" si="3"/>
        <v/>
      </c>
      <c r="U121" s="36" t="str">
        <f t="shared" si="4"/>
        <v/>
      </c>
      <c r="V121" s="29"/>
      <c r="W121" s="37">
        <f t="shared" si="5"/>
        <v>99999</v>
      </c>
      <c r="X121" s="37">
        <f t="shared" si="6"/>
        <v>99999</v>
      </c>
      <c r="Y121" s="38" t="str">
        <f t="shared" si="7"/>
        <v/>
      </c>
    </row>
    <row r="122" ht="30.0" customHeight="1">
      <c r="A122" s="10" t="str">
        <f t="shared" si="1"/>
        <v/>
      </c>
      <c r="B122" s="11"/>
      <c r="C122" s="11"/>
      <c r="D122" s="14" t="str">
        <f t="array" ref="D122">IF($C122="","",IFERROR(INDEX('Danh mục thiết bị'!$C$6:$C$65,MATCH($C122,'Danh mục thiết bị'!$B$6:$B$65,0)),"Mã TB không tồn tại"))</f>
        <v/>
      </c>
      <c r="E122" s="14" t="str">
        <f t="array" ref="E122">IF($C122="","",IFERROR(INDEX('Danh mục thiết bị'!$D$6:$D$65,MATCH($C122,'Danh mục thiết bị'!$B$6:$B$65,0)),""))</f>
        <v/>
      </c>
      <c r="F122" s="15"/>
      <c r="G122" s="11"/>
      <c r="H122" s="11"/>
      <c r="I122" s="11"/>
      <c r="J122" s="10" t="str">
        <f t="array" ref="J122">IF($B122="","",IF($I122&lt;&gt;"",$I122,IFERROR(INDEX('Cài đặt'!$B$47:$B$56,MATCH($H122,'Cài đặt'!$A$47:$A$56,0)),"")))</f>
        <v/>
      </c>
      <c r="K122" s="13"/>
      <c r="L122" s="17" t="str">
        <f>IF($B122="","",IF(SUMPRODUCT(MAX(('Nhật ký bảo trì'!$D$6:$D$405=$B122)*('Nhật ký bảo trì'!$Q$6:$Q$405="Hoàn thành")*'Nhật ký bảo trì'!$B$6:$B$405))=0,"",SUMPRODUCT(MAX(('Nhật ký bảo trì'!$D$6:$D$405=$B122)*('Nhật ký bảo trì'!$Q$6:$Q$405="Hoàn thành")*'Nhật ký bảo trì'!$B$6:$B$405))))</f>
        <v/>
      </c>
      <c r="M122" s="17" t="str">
        <f t="shared" si="2"/>
        <v/>
      </c>
      <c r="N122" s="10" t="str">
        <f>IF($M122="","",$M122-'Tổng quan'!$B$11)</f>
        <v/>
      </c>
      <c r="O122" s="10" t="str">
        <f t="array" ref="O122">IF($B122="","",IF(IFERROR(INDEX('Danh mục thiết bị'!$J$6:$J$65,MATCH($C122,'Danh mục thiết bị'!$B$6:$B$65,0)),"")="Ngừng sử dụng","Thiết bị ngừng sử dụng",IF($J122="","Chưa chọn chu kỳ",IF($M122="","Chưa có ngày áp dụng",IF($M122&lt;'Tổng quan'!$B$11,"Quá hạn "&amp;('Tổng quan'!$B$11-$M122)&amp;" ngày",IF($M122='Tổng quan'!$B$11,"Đến hạn hôm nay",IF($M122-'Tổng quan'!$B$11&lt;='Cài đặt'!$B$102,"Sắp đến hạn ("&amp;($M122-'Tổng quan'!$B$11)&amp;" ngày)","Còn "&amp;($M122-'Tổng quan'!$B$11)&amp;" ngày")))))))</f>
        <v/>
      </c>
      <c r="P122" s="19"/>
      <c r="Q122" s="12"/>
      <c r="R122" s="15"/>
      <c r="S122" s="20"/>
      <c r="T122" s="10" t="str">
        <f t="shared" si="3"/>
        <v/>
      </c>
      <c r="U122" s="21" t="str">
        <f t="shared" si="4"/>
        <v/>
      </c>
      <c r="V122" s="15"/>
      <c r="W122" s="23">
        <f t="shared" si="5"/>
        <v>99999</v>
      </c>
      <c r="X122" s="23">
        <f t="shared" si="6"/>
        <v>99999</v>
      </c>
      <c r="Y122" s="25" t="str">
        <f t="shared" si="7"/>
        <v/>
      </c>
    </row>
    <row r="123" ht="30.0" customHeight="1">
      <c r="A123" s="26" t="str">
        <f t="shared" si="1"/>
        <v/>
      </c>
      <c r="B123" s="27"/>
      <c r="C123" s="27"/>
      <c r="D123" s="28" t="str">
        <f t="array" ref="D123">IF($C123="","",IFERROR(INDEX('Danh mục thiết bị'!$C$6:$C$65,MATCH($C123,'Danh mục thiết bị'!$B$6:$B$65,0)),"Mã TB không tồn tại"))</f>
        <v/>
      </c>
      <c r="E123" s="28" t="str">
        <f t="array" ref="E123">IF($C123="","",IFERROR(INDEX('Danh mục thiết bị'!$D$6:$D$65,MATCH($C123,'Danh mục thiết bị'!$B$6:$B$65,0)),""))</f>
        <v/>
      </c>
      <c r="F123" s="29"/>
      <c r="G123" s="27"/>
      <c r="H123" s="27"/>
      <c r="I123" s="27"/>
      <c r="J123" s="26" t="str">
        <f t="array" ref="J123">IF($B123="","",IF($I123&lt;&gt;"",$I123,IFERROR(INDEX('Cài đặt'!$B$47:$B$56,MATCH($H123,'Cài đặt'!$A$47:$A$56,0)),"")))</f>
        <v/>
      </c>
      <c r="K123" s="32"/>
      <c r="L123" s="33" t="str">
        <f>IF($B123="","",IF(SUMPRODUCT(MAX(('Nhật ký bảo trì'!$D$6:$D$405=$B123)*('Nhật ký bảo trì'!$Q$6:$Q$405="Hoàn thành")*'Nhật ký bảo trì'!$B$6:$B$405))=0,"",SUMPRODUCT(MAX(('Nhật ký bảo trì'!$D$6:$D$405=$B123)*('Nhật ký bảo trì'!$Q$6:$Q$405="Hoàn thành")*'Nhật ký bảo trì'!$B$6:$B$405))))</f>
        <v/>
      </c>
      <c r="M123" s="33" t="str">
        <f t="shared" si="2"/>
        <v/>
      </c>
      <c r="N123" s="26" t="str">
        <f>IF($M123="","",$M123-'Tổng quan'!$B$11)</f>
        <v/>
      </c>
      <c r="O123" s="26" t="str">
        <f t="array" ref="O123">IF($B123="","",IF(IFERROR(INDEX('Danh mục thiết bị'!$J$6:$J$65,MATCH($C123,'Danh mục thiết bị'!$B$6:$B$65,0)),"")="Ngừng sử dụng","Thiết bị ngừng sử dụng",IF($J123="","Chưa chọn chu kỳ",IF($M123="","Chưa có ngày áp dụng",IF($M123&lt;'Tổng quan'!$B$11,"Quá hạn "&amp;('Tổng quan'!$B$11-$M123)&amp;" ngày",IF($M123='Tổng quan'!$B$11,"Đến hạn hôm nay",IF($M123-'Tổng quan'!$B$11&lt;='Cài đặt'!$B$102,"Sắp đến hạn ("&amp;($M123-'Tổng quan'!$B$11)&amp;" ngày)","Còn "&amp;($M123-'Tổng quan'!$B$11)&amp;" ngày")))))))</f>
        <v/>
      </c>
      <c r="P123" s="34"/>
      <c r="Q123" s="31"/>
      <c r="R123" s="29"/>
      <c r="S123" s="35"/>
      <c r="T123" s="26" t="str">
        <f t="shared" si="3"/>
        <v/>
      </c>
      <c r="U123" s="36" t="str">
        <f t="shared" si="4"/>
        <v/>
      </c>
      <c r="V123" s="29"/>
      <c r="W123" s="37">
        <f t="shared" si="5"/>
        <v>99999</v>
      </c>
      <c r="X123" s="37">
        <f t="shared" si="6"/>
        <v>99999</v>
      </c>
      <c r="Y123" s="38" t="str">
        <f t="shared" si="7"/>
        <v/>
      </c>
    </row>
    <row r="124" ht="30.0" customHeight="1">
      <c r="A124" s="10" t="str">
        <f t="shared" si="1"/>
        <v/>
      </c>
      <c r="B124" s="11"/>
      <c r="C124" s="11"/>
      <c r="D124" s="14" t="str">
        <f t="array" ref="D124">IF($C124="","",IFERROR(INDEX('Danh mục thiết bị'!$C$6:$C$65,MATCH($C124,'Danh mục thiết bị'!$B$6:$B$65,0)),"Mã TB không tồn tại"))</f>
        <v/>
      </c>
      <c r="E124" s="14" t="str">
        <f t="array" ref="E124">IF($C124="","",IFERROR(INDEX('Danh mục thiết bị'!$D$6:$D$65,MATCH($C124,'Danh mục thiết bị'!$B$6:$B$65,0)),""))</f>
        <v/>
      </c>
      <c r="F124" s="15"/>
      <c r="G124" s="11"/>
      <c r="H124" s="11"/>
      <c r="I124" s="11"/>
      <c r="J124" s="10" t="str">
        <f t="array" ref="J124">IF($B124="","",IF($I124&lt;&gt;"",$I124,IFERROR(INDEX('Cài đặt'!$B$47:$B$56,MATCH($H124,'Cài đặt'!$A$47:$A$56,0)),"")))</f>
        <v/>
      </c>
      <c r="K124" s="13"/>
      <c r="L124" s="17" t="str">
        <f>IF($B124="","",IF(SUMPRODUCT(MAX(('Nhật ký bảo trì'!$D$6:$D$405=$B124)*('Nhật ký bảo trì'!$Q$6:$Q$405="Hoàn thành")*'Nhật ký bảo trì'!$B$6:$B$405))=0,"",SUMPRODUCT(MAX(('Nhật ký bảo trì'!$D$6:$D$405=$B124)*('Nhật ký bảo trì'!$Q$6:$Q$405="Hoàn thành")*'Nhật ký bảo trì'!$B$6:$B$405))))</f>
        <v/>
      </c>
      <c r="M124" s="17" t="str">
        <f t="shared" si="2"/>
        <v/>
      </c>
      <c r="N124" s="10" t="str">
        <f>IF($M124="","",$M124-'Tổng quan'!$B$11)</f>
        <v/>
      </c>
      <c r="O124" s="10" t="str">
        <f t="array" ref="O124">IF($B124="","",IF(IFERROR(INDEX('Danh mục thiết bị'!$J$6:$J$65,MATCH($C124,'Danh mục thiết bị'!$B$6:$B$65,0)),"")="Ngừng sử dụng","Thiết bị ngừng sử dụng",IF($J124="","Chưa chọn chu kỳ",IF($M124="","Chưa có ngày áp dụng",IF($M124&lt;'Tổng quan'!$B$11,"Quá hạn "&amp;('Tổng quan'!$B$11-$M124)&amp;" ngày",IF($M124='Tổng quan'!$B$11,"Đến hạn hôm nay",IF($M124-'Tổng quan'!$B$11&lt;='Cài đặt'!$B$102,"Sắp đến hạn ("&amp;($M124-'Tổng quan'!$B$11)&amp;" ngày)","Còn "&amp;($M124-'Tổng quan'!$B$11)&amp;" ngày")))))))</f>
        <v/>
      </c>
      <c r="P124" s="19"/>
      <c r="Q124" s="12"/>
      <c r="R124" s="15"/>
      <c r="S124" s="20"/>
      <c r="T124" s="10" t="str">
        <f t="shared" si="3"/>
        <v/>
      </c>
      <c r="U124" s="21" t="str">
        <f t="shared" si="4"/>
        <v/>
      </c>
      <c r="V124" s="15"/>
      <c r="W124" s="23">
        <f t="shared" si="5"/>
        <v>99999</v>
      </c>
      <c r="X124" s="23">
        <f t="shared" si="6"/>
        <v>99999</v>
      </c>
      <c r="Y124" s="25" t="str">
        <f t="shared" si="7"/>
        <v/>
      </c>
    </row>
    <row r="125" ht="30.0" customHeight="1">
      <c r="A125" s="26" t="str">
        <f t="shared" si="1"/>
        <v/>
      </c>
      <c r="B125" s="27"/>
      <c r="C125" s="27"/>
      <c r="D125" s="28" t="str">
        <f t="array" ref="D125">IF($C125="","",IFERROR(INDEX('Danh mục thiết bị'!$C$6:$C$65,MATCH($C125,'Danh mục thiết bị'!$B$6:$B$65,0)),"Mã TB không tồn tại"))</f>
        <v/>
      </c>
      <c r="E125" s="28" t="str">
        <f t="array" ref="E125">IF($C125="","",IFERROR(INDEX('Danh mục thiết bị'!$D$6:$D$65,MATCH($C125,'Danh mục thiết bị'!$B$6:$B$65,0)),""))</f>
        <v/>
      </c>
      <c r="F125" s="29"/>
      <c r="G125" s="27"/>
      <c r="H125" s="27"/>
      <c r="I125" s="27"/>
      <c r="J125" s="26" t="str">
        <f t="array" ref="J125">IF($B125="","",IF($I125&lt;&gt;"",$I125,IFERROR(INDEX('Cài đặt'!$B$47:$B$56,MATCH($H125,'Cài đặt'!$A$47:$A$56,0)),"")))</f>
        <v/>
      </c>
      <c r="K125" s="32"/>
      <c r="L125" s="33" t="str">
        <f>IF($B125="","",IF(SUMPRODUCT(MAX(('Nhật ký bảo trì'!$D$6:$D$405=$B125)*('Nhật ký bảo trì'!$Q$6:$Q$405="Hoàn thành")*'Nhật ký bảo trì'!$B$6:$B$405))=0,"",SUMPRODUCT(MAX(('Nhật ký bảo trì'!$D$6:$D$405=$B125)*('Nhật ký bảo trì'!$Q$6:$Q$405="Hoàn thành")*'Nhật ký bảo trì'!$B$6:$B$405))))</f>
        <v/>
      </c>
      <c r="M125" s="33" t="str">
        <f t="shared" si="2"/>
        <v/>
      </c>
      <c r="N125" s="26" t="str">
        <f>IF($M125="","",$M125-'Tổng quan'!$B$11)</f>
        <v/>
      </c>
      <c r="O125" s="26" t="str">
        <f t="array" ref="O125">IF($B125="","",IF(IFERROR(INDEX('Danh mục thiết bị'!$J$6:$J$65,MATCH($C125,'Danh mục thiết bị'!$B$6:$B$65,0)),"")="Ngừng sử dụng","Thiết bị ngừng sử dụng",IF($J125="","Chưa chọn chu kỳ",IF($M125="","Chưa có ngày áp dụng",IF($M125&lt;'Tổng quan'!$B$11,"Quá hạn "&amp;('Tổng quan'!$B$11-$M125)&amp;" ngày",IF($M125='Tổng quan'!$B$11,"Đến hạn hôm nay",IF($M125-'Tổng quan'!$B$11&lt;='Cài đặt'!$B$102,"Sắp đến hạn ("&amp;($M125-'Tổng quan'!$B$11)&amp;" ngày)","Còn "&amp;($M125-'Tổng quan'!$B$11)&amp;" ngày")))))))</f>
        <v/>
      </c>
      <c r="P125" s="34"/>
      <c r="Q125" s="31"/>
      <c r="R125" s="29"/>
      <c r="S125" s="35"/>
      <c r="T125" s="26" t="str">
        <f t="shared" si="3"/>
        <v/>
      </c>
      <c r="U125" s="36" t="str">
        <f t="shared" si="4"/>
        <v/>
      </c>
      <c r="V125" s="29"/>
      <c r="W125" s="37">
        <f t="shared" si="5"/>
        <v>99999</v>
      </c>
      <c r="X125" s="37">
        <f t="shared" si="6"/>
        <v>99999</v>
      </c>
      <c r="Y125" s="38" t="str">
        <f t="shared" si="7"/>
        <v/>
      </c>
    </row>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Y1"/>
    <mergeCell ref="A2:Y2"/>
    <mergeCell ref="A4:G4"/>
    <mergeCell ref="H4:O4"/>
    <mergeCell ref="P4:U4"/>
    <mergeCell ref="V4:Y4"/>
  </mergeCells>
  <conditionalFormatting sqref="O6:O125">
    <cfRule type="expression" dxfId="0" priority="1">
      <formula>LEFT($O6,7)="Quá hạn"</formula>
    </cfRule>
  </conditionalFormatting>
  <conditionalFormatting sqref="O6:O125">
    <cfRule type="expression" dxfId="1" priority="2">
      <formula>OR($O6="Đến hạn hôm nay",LEFT($O6,8)="Sắp đến")</formula>
    </cfRule>
  </conditionalFormatting>
  <conditionalFormatting sqref="O6:O125">
    <cfRule type="expression" dxfId="3" priority="3">
      <formula>OR($O6="Thiết bị ngừng sử dụng",LEFT($O6,5)="Chưa ")</formula>
    </cfRule>
  </conditionalFormatting>
  <dataValidations>
    <dataValidation type="list" allowBlank="1" sqref="G6:G125">
      <formula1>'Cài đặt'!$A$60:$A$66</formula1>
    </dataValidation>
    <dataValidation type="list" allowBlank="1" sqref="Q6:Q125">
      <formula1>'Cài đặt'!$A$85:$A$99</formula1>
    </dataValidation>
    <dataValidation type="date" operator="greaterThan" allowBlank="1" sqref="K6:K125">
      <formula1>36526.0</formula1>
    </dataValidation>
    <dataValidation type="decimal" operator="greaterThan" allowBlank="1" sqref="I6:I125">
      <formula1>0.0</formula1>
    </dataValidation>
    <dataValidation type="list" allowBlank="1" sqref="H6:H125">
      <formula1>'Cài đặt'!$A$47:$A$56</formula1>
    </dataValidation>
    <dataValidation type="list" allowBlank="1" sqref="C6:C125">
      <formula1>'Danh mục thiết bị'!$B$6:$B$65</formula1>
    </dataValidation>
  </dataValidations>
  <printOptions/>
  <pageMargins bottom="1.0" footer="0.0" header="0.0" left="0.75" right="0.75" top="1.0"/>
  <pageSetup fitToHeight="0" paperSize="8"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F3F46"/>
    <pageSetUpPr fitToPage="1"/>
  </sheetPr>
  <sheetViews>
    <sheetView showGridLines="0"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4.43" defaultRowHeight="15.0"/>
  <cols>
    <col customWidth="1" min="1" max="1" width="11.0"/>
    <col customWidth="1" min="2" max="2" width="30.0"/>
    <col customWidth="1" min="3" max="3" width="40.0"/>
    <col customWidth="1" min="4" max="4" width="13.0"/>
    <col customWidth="1" min="5" max="16" width="7.0"/>
    <col customWidth="1" min="17" max="18" width="10.0"/>
    <col customWidth="1" min="19" max="26" width="8.71"/>
  </cols>
  <sheetData>
    <row r="1" ht="42.0" customHeight="1">
      <c r="A1" s="1" t="s">
        <v>1</v>
      </c>
      <c r="B1" s="2"/>
      <c r="C1" s="2"/>
      <c r="D1" s="2"/>
      <c r="E1" s="2"/>
      <c r="F1" s="2"/>
      <c r="G1" s="2"/>
      <c r="H1" s="2"/>
      <c r="I1" s="2"/>
      <c r="J1" s="2"/>
      <c r="K1" s="2"/>
      <c r="L1" s="2"/>
      <c r="M1" s="2"/>
      <c r="N1" s="2"/>
      <c r="O1" s="2"/>
      <c r="P1" s="2"/>
      <c r="Q1" s="2"/>
      <c r="R1" s="3"/>
    </row>
    <row r="2" ht="19.5" customHeight="1">
      <c r="A2" s="4" t="str">
        <f>"Năm "&amp;'Tổng quan'!$B$6&amp;"  |  "&amp;'Tổng quan'!B4&amp;"  |  ✔ đã thực hiện   ○ kế hoạch sắp tới   ✖ đến hạn nhưng chưa thực hiện"</f>
        <v>Năm 2026  |  Công ty TNHH ABC  |  ✔ đã thực hiện   ○ kế hoạch sắp tới   ✖ đến hạn nhưng chưa thực hiện</v>
      </c>
    </row>
    <row r="5" ht="36.0" customHeight="1">
      <c r="A5" s="8" t="s">
        <v>14</v>
      </c>
      <c r="B5" s="8" t="s">
        <v>21</v>
      </c>
      <c r="C5" s="8" t="s">
        <v>23</v>
      </c>
      <c r="D5" s="8" t="s">
        <v>26</v>
      </c>
      <c r="E5" s="9">
        <f>DATE('Tổng quan'!$B$6,1,1)</f>
        <v>46023</v>
      </c>
      <c r="F5" s="9">
        <f>DATE('Tổng quan'!$B$6,2,1)</f>
        <v>46054</v>
      </c>
      <c r="G5" s="9">
        <f>DATE('Tổng quan'!$B$6,3,1)</f>
        <v>46082</v>
      </c>
      <c r="H5" s="9">
        <f>DATE('Tổng quan'!$B$6,4,1)</f>
        <v>46113</v>
      </c>
      <c r="I5" s="9">
        <f>DATE('Tổng quan'!$B$6,5,1)</f>
        <v>46143</v>
      </c>
      <c r="J5" s="9">
        <f>DATE('Tổng quan'!$B$6,6,1)</f>
        <v>46174</v>
      </c>
      <c r="K5" s="9">
        <f>DATE('Tổng quan'!$B$6,7,1)</f>
        <v>46204</v>
      </c>
      <c r="L5" s="9">
        <f>DATE('Tổng quan'!$B$6,8,1)</f>
        <v>46235</v>
      </c>
      <c r="M5" s="9">
        <f>DATE('Tổng quan'!$B$6,9,1)</f>
        <v>46266</v>
      </c>
      <c r="N5" s="9">
        <f>DATE('Tổng quan'!$B$6,10,1)</f>
        <v>46296</v>
      </c>
      <c r="O5" s="9">
        <f>DATE('Tổng quan'!$B$6,11,1)</f>
        <v>46327</v>
      </c>
      <c r="P5" s="9">
        <f>DATE('Tổng quan'!$B$6,12,1)</f>
        <v>46357</v>
      </c>
      <c r="Q5" s="8" t="s">
        <v>72</v>
      </c>
      <c r="R5" s="8" t="s">
        <v>73</v>
      </c>
    </row>
    <row r="6" ht="24.0" customHeight="1">
      <c r="A6" s="10" t="str">
        <f>IF('Kế hoạch định kỳ'!$B6="","",'Kế hoạch định kỳ'!$B6)</f>
        <v>KH001</v>
      </c>
      <c r="B6" s="14" t="str">
        <f>IF('Kế hoạch định kỳ'!$B6="","",'Kế hoạch định kỳ'!$D6)</f>
        <v>Máy in Flexo 6 màu</v>
      </c>
      <c r="C6" s="18" t="str">
        <f>IF('Kế hoạch định kỳ'!$B6="","",'Kế hoạch định kỳ'!$F6)</f>
        <v>Vệ sinh, bôi trơn trục in và con lăn</v>
      </c>
      <c r="D6" s="10" t="str">
        <f>IF('Kế hoạch định kỳ'!$B6="","",IF('Kế hoạch định kỳ'!$I6&lt;&gt;"",'Kế hoạch định kỳ'!$I6&amp;" ngày",'Kế hoạch định kỳ'!$H6))</f>
        <v>Hằng tháng</v>
      </c>
      <c r="E6" s="24" t="str">
        <f>IF($A6="","",IF(COUNTIFS('Nhật ký bảo trì'!$D$6:$D$405,$A6,'Nhật ký bảo trì'!$Q$6:$Q$405,"Hoàn thành",'Nhật ký bảo trì'!$B$6:$B$405,"&gt;="&amp;E$5,'Nhật ký bảo trì'!$B$6:$B$405,"&lt;="&amp;EOMONTH(E$5,0))&gt;0,"✔",IF(((EOMONTH(E$5,0)&gt;='Kế hoạch định kỳ'!$W6)*(INT((EOMONTH(E$5,0)-'Kế hoạch định kỳ'!$W6)/'Kế hoạch định kỳ'!$X6)+1)-(E$5-1&gt;='Kế hoạch định kỳ'!$W6)*(INT((E$5-1-'Kế hoạch định kỳ'!$W6)/'Kế hoạch định kỳ'!$X6)+1))&gt;0,IF(EOMONTH(E$5,0)&lt;'Tổng quan'!$B$11,"✖","○"),"")))</f>
        <v/>
      </c>
      <c r="F6" s="24" t="str">
        <f>IF($A6="","",IF(COUNTIFS('Nhật ký bảo trì'!$D$6:$D$405,$A6,'Nhật ký bảo trì'!$Q$6:$Q$405,"Hoàn thành",'Nhật ký bảo trì'!$B$6:$B$405,"&gt;="&amp;F$5,'Nhật ký bảo trì'!$B$6:$B$405,"&lt;="&amp;EOMONTH(F$5,0))&gt;0,"✔",IF(((EOMONTH(F$5,0)&gt;='Kế hoạch định kỳ'!$W6)*(INT((EOMONTH(F$5,0)-'Kế hoạch định kỳ'!$W6)/'Kế hoạch định kỳ'!$X6)+1)-(F$5-1&gt;='Kế hoạch định kỳ'!$W6)*(INT((F$5-1-'Kế hoạch định kỳ'!$W6)/'Kế hoạch định kỳ'!$X6)+1))&gt;0,IF(EOMONTH(F$5,0)&lt;'Tổng quan'!$B$11,"✖","○"),"")))</f>
        <v/>
      </c>
      <c r="G6" s="24" t="str">
        <f>IF($A6="","",IF(COUNTIFS('Nhật ký bảo trì'!$D$6:$D$405,$A6,'Nhật ký bảo trì'!$Q$6:$Q$405,"Hoàn thành",'Nhật ký bảo trì'!$B$6:$B$405,"&gt;="&amp;G$5,'Nhật ký bảo trì'!$B$6:$B$405,"&lt;="&amp;EOMONTH(G$5,0))&gt;0,"✔",IF(((EOMONTH(G$5,0)&gt;='Kế hoạch định kỳ'!$W6)*(INT((EOMONTH(G$5,0)-'Kế hoạch định kỳ'!$W6)/'Kế hoạch định kỳ'!$X6)+1)-(G$5-1&gt;='Kế hoạch định kỳ'!$W6)*(INT((G$5-1-'Kế hoạch định kỳ'!$W6)/'Kế hoạch định kỳ'!$X6)+1))&gt;0,IF(EOMONTH(G$5,0)&lt;'Tổng quan'!$B$11,"✖","○"),"")))</f>
        <v/>
      </c>
      <c r="H6" s="24" t="str">
        <f>IF($A6="","",IF(COUNTIFS('Nhật ký bảo trì'!$D$6:$D$405,$A6,'Nhật ký bảo trì'!$Q$6:$Q$405,"Hoàn thành",'Nhật ký bảo trì'!$B$6:$B$405,"&gt;="&amp;H$5,'Nhật ký bảo trì'!$B$6:$B$405,"&lt;="&amp;EOMONTH(H$5,0))&gt;0,"✔",IF(((EOMONTH(H$5,0)&gt;='Kế hoạch định kỳ'!$W6)*(INT((EOMONTH(H$5,0)-'Kế hoạch định kỳ'!$W6)/'Kế hoạch định kỳ'!$X6)+1)-(H$5-1&gt;='Kế hoạch định kỳ'!$W6)*(INT((H$5-1-'Kế hoạch định kỳ'!$W6)/'Kế hoạch định kỳ'!$X6)+1))&gt;0,IF(EOMONTH(H$5,0)&lt;'Tổng quan'!$B$11,"✖","○"),"")))</f>
        <v/>
      </c>
      <c r="I6" s="24" t="str">
        <f>IF($A6="","",IF(COUNTIFS('Nhật ký bảo trì'!$D$6:$D$405,$A6,'Nhật ký bảo trì'!$Q$6:$Q$405,"Hoàn thành",'Nhật ký bảo trì'!$B$6:$B$405,"&gt;="&amp;I$5,'Nhật ký bảo trì'!$B$6:$B$405,"&lt;="&amp;EOMONTH(I$5,0))&gt;0,"✔",IF(((EOMONTH(I$5,0)&gt;='Kế hoạch định kỳ'!$W6)*(INT((EOMONTH(I$5,0)-'Kế hoạch định kỳ'!$W6)/'Kế hoạch định kỳ'!$X6)+1)-(I$5-1&gt;='Kế hoạch định kỳ'!$W6)*(INT((I$5-1-'Kế hoạch định kỳ'!$W6)/'Kế hoạch định kỳ'!$X6)+1))&gt;0,IF(EOMONTH(I$5,0)&lt;'Tổng quan'!$B$11,"✖","○"),"")))</f>
        <v/>
      </c>
      <c r="J6" s="24" t="str">
        <f>IF($A6="","",IF(COUNTIFS('Nhật ký bảo trì'!$D$6:$D$405,$A6,'Nhật ký bảo trì'!$Q$6:$Q$405,"Hoàn thành",'Nhật ký bảo trì'!$B$6:$B$405,"&gt;="&amp;J$5,'Nhật ký bảo trì'!$B$6:$B$405,"&lt;="&amp;EOMONTH(J$5,0))&gt;0,"✔",IF(((EOMONTH(J$5,0)&gt;='Kế hoạch định kỳ'!$W6)*(INT((EOMONTH(J$5,0)-'Kế hoạch định kỳ'!$W6)/'Kế hoạch định kỳ'!$X6)+1)-(J$5-1&gt;='Kế hoạch định kỳ'!$W6)*(INT((J$5-1-'Kế hoạch định kỳ'!$W6)/'Kế hoạch định kỳ'!$X6)+1))&gt;0,IF(EOMONTH(J$5,0)&lt;'Tổng quan'!$B$11,"✖","○"),"")))</f>
        <v/>
      </c>
      <c r="K6" s="24" t="str">
        <f>IF($A6="","",IF(COUNTIFS('Nhật ký bảo trì'!$D$6:$D$405,$A6,'Nhật ký bảo trì'!$Q$6:$Q$405,"Hoàn thành",'Nhật ký bảo trì'!$B$6:$B$405,"&gt;="&amp;K$5,'Nhật ký bảo trì'!$B$6:$B$405,"&lt;="&amp;EOMONTH(K$5,0))&gt;0,"✔",IF(((EOMONTH(K$5,0)&gt;='Kế hoạch định kỳ'!$W6)*(INT((EOMONTH(K$5,0)-'Kế hoạch định kỳ'!$W6)/'Kế hoạch định kỳ'!$X6)+1)-(K$5-1&gt;='Kế hoạch định kỳ'!$W6)*(INT((K$5-1-'Kế hoạch định kỳ'!$W6)/'Kế hoạch định kỳ'!$X6)+1))&gt;0,IF(EOMONTH(K$5,0)&lt;'Tổng quan'!$B$11,"✖","○"),"")))</f>
        <v>✔</v>
      </c>
      <c r="L6" s="24" t="str">
        <f>IF($A6="","",IF(COUNTIFS('Nhật ký bảo trì'!$D$6:$D$405,$A6,'Nhật ký bảo trì'!$Q$6:$Q$405,"Hoàn thành",'Nhật ký bảo trì'!$B$6:$B$405,"&gt;="&amp;L$5,'Nhật ký bảo trì'!$B$6:$B$405,"&lt;="&amp;EOMONTH(L$5,0))&gt;0,"✔",IF(((EOMONTH(L$5,0)&gt;='Kế hoạch định kỳ'!$W6)*(INT((EOMONTH(L$5,0)-'Kế hoạch định kỳ'!$W6)/'Kế hoạch định kỳ'!$X6)+1)-(L$5-1&gt;='Kế hoạch định kỳ'!$W6)*(INT((L$5-1-'Kế hoạch định kỳ'!$W6)/'Kế hoạch định kỳ'!$X6)+1))&gt;0,IF(EOMONTH(L$5,0)&lt;'Tổng quan'!$B$11,"✖","○"),"")))</f>
        <v>✔</v>
      </c>
      <c r="M6" s="24" t="str">
        <f>IF($A6="","",IF(COUNTIFS('Nhật ký bảo trì'!$D$6:$D$405,$A6,'Nhật ký bảo trì'!$Q$6:$Q$405,"Hoàn thành",'Nhật ký bảo trì'!$B$6:$B$405,"&gt;="&amp;M$5,'Nhật ký bảo trì'!$B$6:$B$405,"&lt;="&amp;EOMONTH(M$5,0))&gt;0,"✔",IF(((EOMONTH(M$5,0)&gt;='Kế hoạch định kỳ'!$W6)*(INT((EOMONTH(M$5,0)-'Kế hoạch định kỳ'!$W6)/'Kế hoạch định kỳ'!$X6)+1)-(M$5-1&gt;='Kế hoạch định kỳ'!$W6)*(INT((M$5-1-'Kế hoạch định kỳ'!$W6)/'Kế hoạch định kỳ'!$X6)+1))&gt;0,IF(EOMONTH(M$5,0)&lt;'Tổng quan'!$B$11,"✖","○"),"")))</f>
        <v>✔</v>
      </c>
      <c r="N6" s="24" t="str">
        <f>IF($A6="","",IF(COUNTIFS('Nhật ký bảo trì'!$D$6:$D$405,$A6,'Nhật ký bảo trì'!$Q$6:$Q$405,"Hoàn thành",'Nhật ký bảo trì'!$B$6:$B$405,"&gt;="&amp;N$5,'Nhật ký bảo trì'!$B$6:$B$405,"&lt;="&amp;EOMONTH(N$5,0))&gt;0,"✔",IF(((EOMONTH(N$5,0)&gt;='Kế hoạch định kỳ'!$W6)*(INT((EOMONTH(N$5,0)-'Kế hoạch định kỳ'!$W6)/'Kế hoạch định kỳ'!$X6)+1)-(N$5-1&gt;='Kế hoạch định kỳ'!$W6)*(INT((N$5-1-'Kế hoạch định kỳ'!$W6)/'Kế hoạch định kỳ'!$X6)+1))&gt;0,IF(EOMONTH(N$5,0)&lt;'Tổng quan'!$B$11,"✖","○"),"")))</f>
        <v>✔</v>
      </c>
      <c r="O6" s="24" t="str">
        <f>IF($A6="","",IF(COUNTIFS('Nhật ký bảo trì'!$D$6:$D$405,$A6,'Nhật ký bảo trì'!$Q$6:$Q$405,"Hoàn thành",'Nhật ký bảo trì'!$B$6:$B$405,"&gt;="&amp;O$5,'Nhật ký bảo trì'!$B$6:$B$405,"&lt;="&amp;EOMONTH(O$5,0))&gt;0,"✔",IF(((EOMONTH(O$5,0)&gt;='Kế hoạch định kỳ'!$W6)*(INT((EOMONTH(O$5,0)-'Kế hoạch định kỳ'!$W6)/'Kế hoạch định kỳ'!$X6)+1)-(O$5-1&gt;='Kế hoạch định kỳ'!$W6)*(INT((O$5-1-'Kế hoạch định kỳ'!$W6)/'Kế hoạch định kỳ'!$X6)+1))&gt;0,IF(EOMONTH(O$5,0)&lt;'Tổng quan'!$B$11,"✖","○"),"")))</f>
        <v>○</v>
      </c>
      <c r="P6" s="24" t="str">
        <f>IF($A6="","",IF(COUNTIFS('Nhật ký bảo trì'!$D$6:$D$405,$A6,'Nhật ký bảo trì'!$Q$6:$Q$405,"Hoàn thành",'Nhật ký bảo trì'!$B$6:$B$405,"&gt;="&amp;P$5,'Nhật ký bảo trì'!$B$6:$B$405,"&lt;="&amp;EOMONTH(P$5,0))&gt;0,"✔",IF(((EOMONTH(P$5,0)&gt;='Kế hoạch định kỳ'!$W6)*(INT((EOMONTH(P$5,0)-'Kế hoạch định kỳ'!$W6)/'Kế hoạch định kỳ'!$X6)+1)-(P$5-1&gt;='Kế hoạch định kỳ'!$W6)*(INT((P$5-1-'Kế hoạch định kỳ'!$W6)/'Kế hoạch định kỳ'!$X6)+1))&gt;0,IF(EOMONTH(P$5,0)&lt;'Tổng quan'!$B$11,"✖","○"),"")))</f>
        <v>○</v>
      </c>
      <c r="Q6" s="16">
        <f>IF($A6="","",COUNTIFS('Nhật ký bảo trì'!$D$6:$D$405,$A6,'Nhật ký bảo trì'!$Q$6:$Q$405,"Hoàn thành",'Nhật ký bảo trì'!$B$6:$B$405,"&gt;="&amp;DATE('Tổng quan'!$B$6,1,1),'Nhật ký bảo trì'!$B$6:$B$405,"&lt;="&amp;DATE('Tổng quan'!$B$6,12,31)))</f>
        <v>4</v>
      </c>
      <c r="R6" s="16">
        <f t="shared" ref="R6:R125" si="1">IF($A6="","",COUNTIF(E6:P6,"○")+COUNTIF(E6:P6,"✖"))</f>
        <v>2</v>
      </c>
    </row>
    <row r="7" ht="24.0" customHeight="1">
      <c r="A7" s="26" t="str">
        <f>IF('Kế hoạch định kỳ'!$B7="","",'Kế hoạch định kỳ'!$B7)</f>
        <v>KH002</v>
      </c>
      <c r="B7" s="28" t="str">
        <f>IF('Kế hoạch định kỳ'!$B7="","",'Kế hoạch định kỳ'!$D7)</f>
        <v>Máy in Flexo 6 màu</v>
      </c>
      <c r="C7" s="56" t="str">
        <f>IF('Kế hoạch định kỳ'!$B7="","",'Kế hoạch định kỳ'!$F7)</f>
        <v>Kiểm tra dao gạt mực, thay nếu mòn</v>
      </c>
      <c r="D7" s="26" t="str">
        <f>IF('Kế hoạch định kỳ'!$B7="","",IF('Kế hoạch định kỳ'!$I7&lt;&gt;"",'Kế hoạch định kỳ'!$I7&amp;" ngày",'Kế hoạch định kỳ'!$H7))</f>
        <v>Hằng quý</v>
      </c>
      <c r="E7" s="61" t="str">
        <f>IF($A7="","",IF(COUNTIFS('Nhật ký bảo trì'!$D$6:$D$405,$A7,'Nhật ký bảo trì'!$Q$6:$Q$405,"Hoàn thành",'Nhật ký bảo trì'!$B$6:$B$405,"&gt;="&amp;E$5,'Nhật ký bảo trì'!$B$6:$B$405,"&lt;="&amp;EOMONTH(E$5,0))&gt;0,"✔",IF(((EOMONTH(E$5,0)&gt;='Kế hoạch định kỳ'!$W7)*(INT((EOMONTH(E$5,0)-'Kế hoạch định kỳ'!$W7)/'Kế hoạch định kỳ'!$X7)+1)-(E$5-1&gt;='Kế hoạch định kỳ'!$W7)*(INT((E$5-1-'Kế hoạch định kỳ'!$W7)/'Kế hoạch định kỳ'!$X7)+1))&gt;0,IF(EOMONTH(E$5,0)&lt;'Tổng quan'!$B$11,"✖","○"),"")))</f>
        <v/>
      </c>
      <c r="F7" s="61" t="str">
        <f>IF($A7="","",IF(COUNTIFS('Nhật ký bảo trì'!$D$6:$D$405,$A7,'Nhật ký bảo trì'!$Q$6:$Q$405,"Hoàn thành",'Nhật ký bảo trì'!$B$6:$B$405,"&gt;="&amp;F$5,'Nhật ký bảo trì'!$B$6:$B$405,"&lt;="&amp;EOMONTH(F$5,0))&gt;0,"✔",IF(((EOMONTH(F$5,0)&gt;='Kế hoạch định kỳ'!$W7)*(INT((EOMONTH(F$5,0)-'Kế hoạch định kỳ'!$W7)/'Kế hoạch định kỳ'!$X7)+1)-(F$5-1&gt;='Kế hoạch định kỳ'!$W7)*(INT((F$5-1-'Kế hoạch định kỳ'!$W7)/'Kế hoạch định kỳ'!$X7)+1))&gt;0,IF(EOMONTH(F$5,0)&lt;'Tổng quan'!$B$11,"✖","○"),"")))</f>
        <v>✔</v>
      </c>
      <c r="G7" s="61" t="str">
        <f>IF($A7="","",IF(COUNTIFS('Nhật ký bảo trì'!$D$6:$D$405,$A7,'Nhật ký bảo trì'!$Q$6:$Q$405,"Hoàn thành",'Nhật ký bảo trì'!$B$6:$B$405,"&gt;="&amp;G$5,'Nhật ký bảo trì'!$B$6:$B$405,"&lt;="&amp;EOMONTH(G$5,0))&gt;0,"✔",IF(((EOMONTH(G$5,0)&gt;='Kế hoạch định kỳ'!$W7)*(INT((EOMONTH(G$5,0)-'Kế hoạch định kỳ'!$W7)/'Kế hoạch định kỳ'!$X7)+1)-(G$5-1&gt;='Kế hoạch định kỳ'!$W7)*(INT((G$5-1-'Kế hoạch định kỳ'!$W7)/'Kế hoạch định kỳ'!$X7)+1))&gt;0,IF(EOMONTH(G$5,0)&lt;'Tổng quan'!$B$11,"✖","○"),"")))</f>
        <v/>
      </c>
      <c r="H7" s="61" t="str">
        <f>IF($A7="","",IF(COUNTIFS('Nhật ký bảo trì'!$D$6:$D$405,$A7,'Nhật ký bảo trì'!$Q$6:$Q$405,"Hoàn thành",'Nhật ký bảo trì'!$B$6:$B$405,"&gt;="&amp;H$5,'Nhật ký bảo trì'!$B$6:$B$405,"&lt;="&amp;EOMONTH(H$5,0))&gt;0,"✔",IF(((EOMONTH(H$5,0)&gt;='Kế hoạch định kỳ'!$W7)*(INT((EOMONTH(H$5,0)-'Kế hoạch định kỳ'!$W7)/'Kế hoạch định kỳ'!$X7)+1)-(H$5-1&gt;='Kế hoạch định kỳ'!$W7)*(INT((H$5-1-'Kế hoạch định kỳ'!$W7)/'Kế hoạch định kỳ'!$X7)+1))&gt;0,IF(EOMONTH(H$5,0)&lt;'Tổng quan'!$B$11,"✖","○"),"")))</f>
        <v/>
      </c>
      <c r="I7" s="61" t="str">
        <f>IF($A7="","",IF(COUNTIFS('Nhật ký bảo trì'!$D$6:$D$405,$A7,'Nhật ký bảo trì'!$Q$6:$Q$405,"Hoàn thành",'Nhật ký bảo trì'!$B$6:$B$405,"&gt;="&amp;I$5,'Nhật ký bảo trì'!$B$6:$B$405,"&lt;="&amp;EOMONTH(I$5,0))&gt;0,"✔",IF(((EOMONTH(I$5,0)&gt;='Kế hoạch định kỳ'!$W7)*(INT((EOMONTH(I$5,0)-'Kế hoạch định kỳ'!$W7)/'Kế hoạch định kỳ'!$X7)+1)-(I$5-1&gt;='Kế hoạch định kỳ'!$W7)*(INT((I$5-1-'Kế hoạch định kỳ'!$W7)/'Kế hoạch định kỳ'!$X7)+1))&gt;0,IF(EOMONTH(I$5,0)&lt;'Tổng quan'!$B$11,"✖","○"),"")))</f>
        <v>✔</v>
      </c>
      <c r="J7" s="61" t="str">
        <f>IF($A7="","",IF(COUNTIFS('Nhật ký bảo trì'!$D$6:$D$405,$A7,'Nhật ký bảo trì'!$Q$6:$Q$405,"Hoàn thành",'Nhật ký bảo trì'!$B$6:$B$405,"&gt;="&amp;J$5,'Nhật ký bảo trì'!$B$6:$B$405,"&lt;="&amp;EOMONTH(J$5,0))&gt;0,"✔",IF(((EOMONTH(J$5,0)&gt;='Kế hoạch định kỳ'!$W7)*(INT((EOMONTH(J$5,0)-'Kế hoạch định kỳ'!$W7)/'Kế hoạch định kỳ'!$X7)+1)-(J$5-1&gt;='Kế hoạch định kỳ'!$W7)*(INT((J$5-1-'Kế hoạch định kỳ'!$W7)/'Kế hoạch định kỳ'!$X7)+1))&gt;0,IF(EOMONTH(J$5,0)&lt;'Tổng quan'!$B$11,"✖","○"),"")))</f>
        <v/>
      </c>
      <c r="K7" s="61" t="str">
        <f>IF($A7="","",IF(COUNTIFS('Nhật ký bảo trì'!$D$6:$D$405,$A7,'Nhật ký bảo trì'!$Q$6:$Q$405,"Hoàn thành",'Nhật ký bảo trì'!$B$6:$B$405,"&gt;="&amp;K$5,'Nhật ký bảo trì'!$B$6:$B$405,"&lt;="&amp;EOMONTH(K$5,0))&gt;0,"✔",IF(((EOMONTH(K$5,0)&gt;='Kế hoạch định kỳ'!$W7)*(INT((EOMONTH(K$5,0)-'Kế hoạch định kỳ'!$W7)/'Kế hoạch định kỳ'!$X7)+1)-(K$5-1&gt;='Kế hoạch định kỳ'!$W7)*(INT((K$5-1-'Kế hoạch định kỳ'!$W7)/'Kế hoạch định kỳ'!$X7)+1))&gt;0,IF(EOMONTH(K$5,0)&lt;'Tổng quan'!$B$11,"✖","○"),"")))</f>
        <v/>
      </c>
      <c r="L7" s="61" t="str">
        <f>IF($A7="","",IF(COUNTIFS('Nhật ký bảo trì'!$D$6:$D$405,$A7,'Nhật ký bảo trì'!$Q$6:$Q$405,"Hoàn thành",'Nhật ký bảo trì'!$B$6:$B$405,"&gt;="&amp;L$5,'Nhật ký bảo trì'!$B$6:$B$405,"&lt;="&amp;EOMONTH(L$5,0))&gt;0,"✔",IF(((EOMONTH(L$5,0)&gt;='Kế hoạch định kỳ'!$W7)*(INT((EOMONTH(L$5,0)-'Kế hoạch định kỳ'!$W7)/'Kế hoạch định kỳ'!$X7)+1)-(L$5-1&gt;='Kế hoạch định kỳ'!$W7)*(INT((L$5-1-'Kế hoạch định kỳ'!$W7)/'Kế hoạch định kỳ'!$X7)+1))&gt;0,IF(EOMONTH(L$5,0)&lt;'Tổng quan'!$B$11,"✖","○"),"")))</f>
        <v>✔</v>
      </c>
      <c r="M7" s="61" t="str">
        <f>IF($A7="","",IF(COUNTIFS('Nhật ký bảo trì'!$D$6:$D$405,$A7,'Nhật ký bảo trì'!$Q$6:$Q$405,"Hoàn thành",'Nhật ký bảo trì'!$B$6:$B$405,"&gt;="&amp;M$5,'Nhật ký bảo trì'!$B$6:$B$405,"&lt;="&amp;EOMONTH(M$5,0))&gt;0,"✔",IF(((EOMONTH(M$5,0)&gt;='Kế hoạch định kỳ'!$W7)*(INT((EOMONTH(M$5,0)-'Kế hoạch định kỳ'!$W7)/'Kế hoạch định kỳ'!$X7)+1)-(M$5-1&gt;='Kế hoạch định kỳ'!$W7)*(INT((M$5-1-'Kế hoạch định kỳ'!$W7)/'Kế hoạch định kỳ'!$X7)+1))&gt;0,IF(EOMONTH(M$5,0)&lt;'Tổng quan'!$B$11,"✖","○"),"")))</f>
        <v/>
      </c>
      <c r="N7" s="61" t="str">
        <f>IF($A7="","",IF(COUNTIFS('Nhật ký bảo trì'!$D$6:$D$405,$A7,'Nhật ký bảo trì'!$Q$6:$Q$405,"Hoàn thành",'Nhật ký bảo trì'!$B$6:$B$405,"&gt;="&amp;N$5,'Nhật ký bảo trì'!$B$6:$B$405,"&lt;="&amp;EOMONTH(N$5,0))&gt;0,"✔",IF(((EOMONTH(N$5,0)&gt;='Kế hoạch định kỳ'!$W7)*(INT((EOMONTH(N$5,0)-'Kế hoạch định kỳ'!$W7)/'Kế hoạch định kỳ'!$X7)+1)-(N$5-1&gt;='Kế hoạch định kỳ'!$W7)*(INT((N$5-1-'Kế hoạch định kỳ'!$W7)/'Kế hoạch định kỳ'!$X7)+1))&gt;0,IF(EOMONTH(N$5,0)&lt;'Tổng quan'!$B$11,"✖","○"),"")))</f>
        <v/>
      </c>
      <c r="O7" s="61" t="str">
        <f>IF($A7="","",IF(COUNTIFS('Nhật ký bảo trì'!$D$6:$D$405,$A7,'Nhật ký bảo trì'!$Q$6:$Q$405,"Hoàn thành",'Nhật ký bảo trì'!$B$6:$B$405,"&gt;="&amp;O$5,'Nhật ký bảo trì'!$B$6:$B$405,"&lt;="&amp;EOMONTH(O$5,0))&gt;0,"✔",IF(((EOMONTH(O$5,0)&gt;='Kế hoạch định kỳ'!$W7)*(INT((EOMONTH(O$5,0)-'Kế hoạch định kỳ'!$W7)/'Kế hoạch định kỳ'!$X7)+1)-(O$5-1&gt;='Kế hoạch định kỳ'!$W7)*(INT((O$5-1-'Kế hoạch định kỳ'!$W7)/'Kế hoạch định kỳ'!$X7)+1))&gt;0,IF(EOMONTH(O$5,0)&lt;'Tổng quan'!$B$11,"✖","○"),"")))</f>
        <v>○</v>
      </c>
      <c r="P7" s="61" t="str">
        <f>IF($A7="","",IF(COUNTIFS('Nhật ký bảo trì'!$D$6:$D$405,$A7,'Nhật ký bảo trì'!$Q$6:$Q$405,"Hoàn thành",'Nhật ký bảo trì'!$B$6:$B$405,"&gt;="&amp;P$5,'Nhật ký bảo trì'!$B$6:$B$405,"&lt;="&amp;EOMONTH(P$5,0))&gt;0,"✔",IF(((EOMONTH(P$5,0)&gt;='Kế hoạch định kỳ'!$W7)*(INT((EOMONTH(P$5,0)-'Kế hoạch định kỳ'!$W7)/'Kế hoạch định kỳ'!$X7)+1)-(P$5-1&gt;='Kế hoạch định kỳ'!$W7)*(INT((P$5-1-'Kế hoạch định kỳ'!$W7)/'Kế hoạch định kỳ'!$X7)+1))&gt;0,IF(EOMONTH(P$5,0)&lt;'Tổng quan'!$B$11,"✖","○"),"")))</f>
        <v/>
      </c>
      <c r="Q7" s="30">
        <f>IF($A7="","",COUNTIFS('Nhật ký bảo trì'!$D$6:$D$405,$A7,'Nhật ký bảo trì'!$Q$6:$Q$405,"Hoàn thành",'Nhật ký bảo trì'!$B$6:$B$405,"&gt;="&amp;DATE('Tổng quan'!$B$6,1,1),'Nhật ký bảo trì'!$B$6:$B$405,"&lt;="&amp;DATE('Tổng quan'!$B$6,12,31)))</f>
        <v>3</v>
      </c>
      <c r="R7" s="30">
        <f t="shared" si="1"/>
        <v>1</v>
      </c>
    </row>
    <row r="8" ht="24.0" customHeight="1">
      <c r="A8" s="10" t="str">
        <f>IF('Kế hoạch định kỳ'!$B8="","",'Kế hoạch định kỳ'!$B8)</f>
        <v>KH003</v>
      </c>
      <c r="B8" s="14" t="str">
        <f>IF('Kế hoạch định kỳ'!$B8="","",'Kế hoạch định kỳ'!$D8)</f>
        <v>Máy in Flexo 6 màu</v>
      </c>
      <c r="C8" s="18" t="str">
        <f>IF('Kế hoạch định kỳ'!$B8="","",'Kế hoạch định kỳ'!$F8)</f>
        <v>Bảo dưỡng tổng thể máy in Flexo</v>
      </c>
      <c r="D8" s="10" t="str">
        <f>IF('Kế hoạch định kỳ'!$B8="","",IF('Kế hoạch định kỳ'!$I8&lt;&gt;"",'Kế hoạch định kỳ'!$I8&amp;" ngày",'Kế hoạch định kỳ'!$H8))</f>
        <v>Hằng năm</v>
      </c>
      <c r="E8" s="24" t="str">
        <f>IF($A8="","",IF(COUNTIFS('Nhật ký bảo trì'!$D$6:$D$405,$A8,'Nhật ký bảo trì'!$Q$6:$Q$405,"Hoàn thành",'Nhật ký bảo trì'!$B$6:$B$405,"&gt;="&amp;E$5,'Nhật ký bảo trì'!$B$6:$B$405,"&lt;="&amp;EOMONTH(E$5,0))&gt;0,"✔",IF(((EOMONTH(E$5,0)&gt;='Kế hoạch định kỳ'!$W8)*(INT((EOMONTH(E$5,0)-'Kế hoạch định kỳ'!$W8)/'Kế hoạch định kỳ'!$X8)+1)-(E$5-1&gt;='Kế hoạch định kỳ'!$W8)*(INT((E$5-1-'Kế hoạch định kỳ'!$W8)/'Kế hoạch định kỳ'!$X8)+1))&gt;0,IF(EOMONTH(E$5,0)&lt;'Tổng quan'!$B$11,"✖","○"),"")))</f>
        <v/>
      </c>
      <c r="F8" s="24" t="str">
        <f>IF($A8="","",IF(COUNTIFS('Nhật ký bảo trì'!$D$6:$D$405,$A8,'Nhật ký bảo trì'!$Q$6:$Q$405,"Hoàn thành",'Nhật ký bảo trì'!$B$6:$B$405,"&gt;="&amp;F$5,'Nhật ký bảo trì'!$B$6:$B$405,"&lt;="&amp;EOMONTH(F$5,0))&gt;0,"✔",IF(((EOMONTH(F$5,0)&gt;='Kế hoạch định kỳ'!$W8)*(INT((EOMONTH(F$5,0)-'Kế hoạch định kỳ'!$W8)/'Kế hoạch định kỳ'!$X8)+1)-(F$5-1&gt;='Kế hoạch định kỳ'!$W8)*(INT((F$5-1-'Kế hoạch định kỳ'!$W8)/'Kế hoạch định kỳ'!$X8)+1))&gt;0,IF(EOMONTH(F$5,0)&lt;'Tổng quan'!$B$11,"✖","○"),"")))</f>
        <v/>
      </c>
      <c r="G8" s="24" t="str">
        <f>IF($A8="","",IF(COUNTIFS('Nhật ký bảo trì'!$D$6:$D$405,$A8,'Nhật ký bảo trì'!$Q$6:$Q$405,"Hoàn thành",'Nhật ký bảo trì'!$B$6:$B$405,"&gt;="&amp;G$5,'Nhật ký bảo trì'!$B$6:$B$405,"&lt;="&amp;EOMONTH(G$5,0))&gt;0,"✔",IF(((EOMONTH(G$5,0)&gt;='Kế hoạch định kỳ'!$W8)*(INT((EOMONTH(G$5,0)-'Kế hoạch định kỳ'!$W8)/'Kế hoạch định kỳ'!$X8)+1)-(G$5-1&gt;='Kế hoạch định kỳ'!$W8)*(INT((G$5-1-'Kế hoạch định kỳ'!$W8)/'Kế hoạch định kỳ'!$X8)+1))&gt;0,IF(EOMONTH(G$5,0)&lt;'Tổng quan'!$B$11,"✖","○"),"")))</f>
        <v>✔</v>
      </c>
      <c r="H8" s="24" t="str">
        <f>IF($A8="","",IF(COUNTIFS('Nhật ký bảo trì'!$D$6:$D$405,$A8,'Nhật ký bảo trì'!$Q$6:$Q$405,"Hoàn thành",'Nhật ký bảo trì'!$B$6:$B$405,"&gt;="&amp;H$5,'Nhật ký bảo trì'!$B$6:$B$405,"&lt;="&amp;EOMONTH(H$5,0))&gt;0,"✔",IF(((EOMONTH(H$5,0)&gt;='Kế hoạch định kỳ'!$W8)*(INT((EOMONTH(H$5,0)-'Kế hoạch định kỳ'!$W8)/'Kế hoạch định kỳ'!$X8)+1)-(H$5-1&gt;='Kế hoạch định kỳ'!$W8)*(INT((H$5-1-'Kế hoạch định kỳ'!$W8)/'Kế hoạch định kỳ'!$X8)+1))&gt;0,IF(EOMONTH(H$5,0)&lt;'Tổng quan'!$B$11,"✖","○"),"")))</f>
        <v/>
      </c>
      <c r="I8" s="24" t="str">
        <f>IF($A8="","",IF(COUNTIFS('Nhật ký bảo trì'!$D$6:$D$405,$A8,'Nhật ký bảo trì'!$Q$6:$Q$405,"Hoàn thành",'Nhật ký bảo trì'!$B$6:$B$405,"&gt;="&amp;I$5,'Nhật ký bảo trì'!$B$6:$B$405,"&lt;="&amp;EOMONTH(I$5,0))&gt;0,"✔",IF(((EOMONTH(I$5,0)&gt;='Kế hoạch định kỳ'!$W8)*(INT((EOMONTH(I$5,0)-'Kế hoạch định kỳ'!$W8)/'Kế hoạch định kỳ'!$X8)+1)-(I$5-1&gt;='Kế hoạch định kỳ'!$W8)*(INT((I$5-1-'Kế hoạch định kỳ'!$W8)/'Kế hoạch định kỳ'!$X8)+1))&gt;0,IF(EOMONTH(I$5,0)&lt;'Tổng quan'!$B$11,"✖","○"),"")))</f>
        <v/>
      </c>
      <c r="J8" s="24" t="str">
        <f>IF($A8="","",IF(COUNTIFS('Nhật ký bảo trì'!$D$6:$D$405,$A8,'Nhật ký bảo trì'!$Q$6:$Q$405,"Hoàn thành",'Nhật ký bảo trì'!$B$6:$B$405,"&gt;="&amp;J$5,'Nhật ký bảo trì'!$B$6:$B$405,"&lt;="&amp;EOMONTH(J$5,0))&gt;0,"✔",IF(((EOMONTH(J$5,0)&gt;='Kế hoạch định kỳ'!$W8)*(INT((EOMONTH(J$5,0)-'Kế hoạch định kỳ'!$W8)/'Kế hoạch định kỳ'!$X8)+1)-(J$5-1&gt;='Kế hoạch định kỳ'!$W8)*(INT((J$5-1-'Kế hoạch định kỳ'!$W8)/'Kế hoạch định kỳ'!$X8)+1))&gt;0,IF(EOMONTH(J$5,0)&lt;'Tổng quan'!$B$11,"✖","○"),"")))</f>
        <v/>
      </c>
      <c r="K8" s="24" t="str">
        <f>IF($A8="","",IF(COUNTIFS('Nhật ký bảo trì'!$D$6:$D$405,$A8,'Nhật ký bảo trì'!$Q$6:$Q$405,"Hoàn thành",'Nhật ký bảo trì'!$B$6:$B$405,"&gt;="&amp;K$5,'Nhật ký bảo trì'!$B$6:$B$405,"&lt;="&amp;EOMONTH(K$5,0))&gt;0,"✔",IF(((EOMONTH(K$5,0)&gt;='Kế hoạch định kỳ'!$W8)*(INT((EOMONTH(K$5,0)-'Kế hoạch định kỳ'!$W8)/'Kế hoạch định kỳ'!$X8)+1)-(K$5-1&gt;='Kế hoạch định kỳ'!$W8)*(INT((K$5-1-'Kế hoạch định kỳ'!$W8)/'Kế hoạch định kỳ'!$X8)+1))&gt;0,IF(EOMONTH(K$5,0)&lt;'Tổng quan'!$B$11,"✖","○"),"")))</f>
        <v/>
      </c>
      <c r="L8" s="24" t="str">
        <f>IF($A8="","",IF(COUNTIFS('Nhật ký bảo trì'!$D$6:$D$405,$A8,'Nhật ký bảo trì'!$Q$6:$Q$405,"Hoàn thành",'Nhật ký bảo trì'!$B$6:$B$405,"&gt;="&amp;L$5,'Nhật ký bảo trì'!$B$6:$B$405,"&lt;="&amp;EOMONTH(L$5,0))&gt;0,"✔",IF(((EOMONTH(L$5,0)&gt;='Kế hoạch định kỳ'!$W8)*(INT((EOMONTH(L$5,0)-'Kế hoạch định kỳ'!$W8)/'Kế hoạch định kỳ'!$X8)+1)-(L$5-1&gt;='Kế hoạch định kỳ'!$W8)*(INT((L$5-1-'Kế hoạch định kỳ'!$W8)/'Kế hoạch định kỳ'!$X8)+1))&gt;0,IF(EOMONTH(L$5,0)&lt;'Tổng quan'!$B$11,"✖","○"),"")))</f>
        <v/>
      </c>
      <c r="M8" s="24" t="str">
        <f>IF($A8="","",IF(COUNTIFS('Nhật ký bảo trì'!$D$6:$D$405,$A8,'Nhật ký bảo trì'!$Q$6:$Q$405,"Hoàn thành",'Nhật ký bảo trì'!$B$6:$B$405,"&gt;="&amp;M$5,'Nhật ký bảo trì'!$B$6:$B$405,"&lt;="&amp;EOMONTH(M$5,0))&gt;0,"✔",IF(((EOMONTH(M$5,0)&gt;='Kế hoạch định kỳ'!$W8)*(INT((EOMONTH(M$5,0)-'Kế hoạch định kỳ'!$W8)/'Kế hoạch định kỳ'!$X8)+1)-(M$5-1&gt;='Kế hoạch định kỳ'!$W8)*(INT((M$5-1-'Kế hoạch định kỳ'!$W8)/'Kế hoạch định kỳ'!$X8)+1))&gt;0,IF(EOMONTH(M$5,0)&lt;'Tổng quan'!$B$11,"✖","○"),"")))</f>
        <v/>
      </c>
      <c r="N8" s="24" t="str">
        <f>IF($A8="","",IF(COUNTIFS('Nhật ký bảo trì'!$D$6:$D$405,$A8,'Nhật ký bảo trì'!$Q$6:$Q$405,"Hoàn thành",'Nhật ký bảo trì'!$B$6:$B$405,"&gt;="&amp;N$5,'Nhật ký bảo trì'!$B$6:$B$405,"&lt;="&amp;EOMONTH(N$5,0))&gt;0,"✔",IF(((EOMONTH(N$5,0)&gt;='Kế hoạch định kỳ'!$W8)*(INT((EOMONTH(N$5,0)-'Kế hoạch định kỳ'!$W8)/'Kế hoạch định kỳ'!$X8)+1)-(N$5-1&gt;='Kế hoạch định kỳ'!$W8)*(INT((N$5-1-'Kế hoạch định kỳ'!$W8)/'Kế hoạch định kỳ'!$X8)+1))&gt;0,IF(EOMONTH(N$5,0)&lt;'Tổng quan'!$B$11,"✖","○"),"")))</f>
        <v/>
      </c>
      <c r="O8" s="24" t="str">
        <f>IF($A8="","",IF(COUNTIFS('Nhật ký bảo trì'!$D$6:$D$405,$A8,'Nhật ký bảo trì'!$Q$6:$Q$405,"Hoàn thành",'Nhật ký bảo trì'!$B$6:$B$405,"&gt;="&amp;O$5,'Nhật ký bảo trì'!$B$6:$B$405,"&lt;="&amp;EOMONTH(O$5,0))&gt;0,"✔",IF(((EOMONTH(O$5,0)&gt;='Kế hoạch định kỳ'!$W8)*(INT((EOMONTH(O$5,0)-'Kế hoạch định kỳ'!$W8)/'Kế hoạch định kỳ'!$X8)+1)-(O$5-1&gt;='Kế hoạch định kỳ'!$W8)*(INT((O$5-1-'Kế hoạch định kỳ'!$W8)/'Kế hoạch định kỳ'!$X8)+1))&gt;0,IF(EOMONTH(O$5,0)&lt;'Tổng quan'!$B$11,"✖","○"),"")))</f>
        <v/>
      </c>
      <c r="P8" s="24" t="str">
        <f>IF($A8="","",IF(COUNTIFS('Nhật ký bảo trì'!$D$6:$D$405,$A8,'Nhật ký bảo trì'!$Q$6:$Q$405,"Hoàn thành",'Nhật ký bảo trì'!$B$6:$B$405,"&gt;="&amp;P$5,'Nhật ký bảo trì'!$B$6:$B$405,"&lt;="&amp;EOMONTH(P$5,0))&gt;0,"✔",IF(((EOMONTH(P$5,0)&gt;='Kế hoạch định kỳ'!$W8)*(INT((EOMONTH(P$5,0)-'Kế hoạch định kỳ'!$W8)/'Kế hoạch định kỳ'!$X8)+1)-(P$5-1&gt;='Kế hoạch định kỳ'!$W8)*(INT((P$5-1-'Kế hoạch định kỳ'!$W8)/'Kế hoạch định kỳ'!$X8)+1))&gt;0,IF(EOMONTH(P$5,0)&lt;'Tổng quan'!$B$11,"✖","○"),"")))</f>
        <v/>
      </c>
      <c r="Q8" s="16">
        <f>IF($A8="","",COUNTIFS('Nhật ký bảo trì'!$D$6:$D$405,$A8,'Nhật ký bảo trì'!$Q$6:$Q$405,"Hoàn thành",'Nhật ký bảo trì'!$B$6:$B$405,"&gt;="&amp;DATE('Tổng quan'!$B$6,1,1),'Nhật ký bảo trì'!$B$6:$B$405,"&lt;="&amp;DATE('Tổng quan'!$B$6,12,31)))</f>
        <v>1</v>
      </c>
      <c r="R8" s="16">
        <f t="shared" si="1"/>
        <v>0</v>
      </c>
    </row>
    <row r="9" ht="24.0" customHeight="1">
      <c r="A9" s="26" t="str">
        <f>IF('Kế hoạch định kỳ'!$B9="","",'Kế hoạch định kỳ'!$B9)</f>
        <v>KH004</v>
      </c>
      <c r="B9" s="28" t="str">
        <f>IF('Kế hoạch định kỳ'!$B9="","",'Kế hoạch định kỳ'!$D9)</f>
        <v>Máy cắt thành phẩm tự động</v>
      </c>
      <c r="C9" s="56" t="str">
        <f>IF('Kế hoạch định kỳ'!$B9="","",'Kế hoạch định kỳ'!$F9)</f>
        <v>Mài hoặc thay lưỡi cắt</v>
      </c>
      <c r="D9" s="26" t="str">
        <f>IF('Kế hoạch định kỳ'!$B9="","",IF('Kế hoạch định kỳ'!$I9&lt;&gt;"",'Kế hoạch định kỳ'!$I9&amp;" ngày",'Kế hoạch định kỳ'!$H9))</f>
        <v>2 tháng/lần</v>
      </c>
      <c r="E9" s="61" t="str">
        <f>IF($A9="","",IF(COUNTIFS('Nhật ký bảo trì'!$D$6:$D$405,$A9,'Nhật ký bảo trì'!$Q$6:$Q$405,"Hoàn thành",'Nhật ký bảo trì'!$B$6:$B$405,"&gt;="&amp;E$5,'Nhật ký bảo trì'!$B$6:$B$405,"&lt;="&amp;EOMONTH(E$5,0))&gt;0,"✔",IF(((EOMONTH(E$5,0)&gt;='Kế hoạch định kỳ'!$W9)*(INT((EOMONTH(E$5,0)-'Kế hoạch định kỳ'!$W9)/'Kế hoạch định kỳ'!$X9)+1)-(E$5-1&gt;='Kế hoạch định kỳ'!$W9)*(INT((E$5-1-'Kế hoạch định kỳ'!$W9)/'Kế hoạch định kỳ'!$X9)+1))&gt;0,IF(EOMONTH(E$5,0)&lt;'Tổng quan'!$B$11,"✖","○"),"")))</f>
        <v/>
      </c>
      <c r="F9" s="61" t="str">
        <f>IF($A9="","",IF(COUNTIFS('Nhật ký bảo trì'!$D$6:$D$405,$A9,'Nhật ký bảo trì'!$Q$6:$Q$405,"Hoàn thành",'Nhật ký bảo trì'!$B$6:$B$405,"&gt;="&amp;F$5,'Nhật ký bảo trì'!$B$6:$B$405,"&lt;="&amp;EOMONTH(F$5,0))&gt;0,"✔",IF(((EOMONTH(F$5,0)&gt;='Kế hoạch định kỳ'!$W9)*(INT((EOMONTH(F$5,0)-'Kế hoạch định kỳ'!$W9)/'Kế hoạch định kỳ'!$X9)+1)-(F$5-1&gt;='Kế hoạch định kỳ'!$W9)*(INT((F$5-1-'Kế hoạch định kỳ'!$W9)/'Kế hoạch định kỳ'!$X9)+1))&gt;0,IF(EOMONTH(F$5,0)&lt;'Tổng quan'!$B$11,"✖","○"),"")))</f>
        <v/>
      </c>
      <c r="G9" s="61" t="str">
        <f>IF($A9="","",IF(COUNTIFS('Nhật ký bảo trì'!$D$6:$D$405,$A9,'Nhật ký bảo trì'!$Q$6:$Q$405,"Hoàn thành",'Nhật ký bảo trì'!$B$6:$B$405,"&gt;="&amp;G$5,'Nhật ký bảo trì'!$B$6:$B$405,"&lt;="&amp;EOMONTH(G$5,0))&gt;0,"✔",IF(((EOMONTH(G$5,0)&gt;='Kế hoạch định kỳ'!$W9)*(INT((EOMONTH(G$5,0)-'Kế hoạch định kỳ'!$W9)/'Kế hoạch định kỳ'!$X9)+1)-(G$5-1&gt;='Kế hoạch định kỳ'!$W9)*(INT((G$5-1-'Kế hoạch định kỳ'!$W9)/'Kế hoạch định kỳ'!$X9)+1))&gt;0,IF(EOMONTH(G$5,0)&lt;'Tổng quan'!$B$11,"✖","○"),"")))</f>
        <v>✔</v>
      </c>
      <c r="H9" s="61" t="str">
        <f>IF($A9="","",IF(COUNTIFS('Nhật ký bảo trì'!$D$6:$D$405,$A9,'Nhật ký bảo trì'!$Q$6:$Q$405,"Hoàn thành",'Nhật ký bảo trì'!$B$6:$B$405,"&gt;="&amp;H$5,'Nhật ký bảo trì'!$B$6:$B$405,"&lt;="&amp;EOMONTH(H$5,0))&gt;0,"✔",IF(((EOMONTH(H$5,0)&gt;='Kế hoạch định kỳ'!$W9)*(INT((EOMONTH(H$5,0)-'Kế hoạch định kỳ'!$W9)/'Kế hoạch định kỳ'!$X9)+1)-(H$5-1&gt;='Kế hoạch định kỳ'!$W9)*(INT((H$5-1-'Kế hoạch định kỳ'!$W9)/'Kế hoạch định kỳ'!$X9)+1))&gt;0,IF(EOMONTH(H$5,0)&lt;'Tổng quan'!$B$11,"✖","○"),"")))</f>
        <v/>
      </c>
      <c r="I9" s="61" t="str">
        <f>IF($A9="","",IF(COUNTIFS('Nhật ký bảo trì'!$D$6:$D$405,$A9,'Nhật ký bảo trì'!$Q$6:$Q$405,"Hoàn thành",'Nhật ký bảo trì'!$B$6:$B$405,"&gt;="&amp;I$5,'Nhật ký bảo trì'!$B$6:$B$405,"&lt;="&amp;EOMONTH(I$5,0))&gt;0,"✔",IF(((EOMONTH(I$5,0)&gt;='Kế hoạch định kỳ'!$W9)*(INT((EOMONTH(I$5,0)-'Kế hoạch định kỳ'!$W9)/'Kế hoạch định kỳ'!$X9)+1)-(I$5-1&gt;='Kế hoạch định kỳ'!$W9)*(INT((I$5-1-'Kế hoạch định kỳ'!$W9)/'Kế hoạch định kỳ'!$X9)+1))&gt;0,IF(EOMONTH(I$5,0)&lt;'Tổng quan'!$B$11,"✖","○"),"")))</f>
        <v>✔</v>
      </c>
      <c r="J9" s="61" t="str">
        <f>IF($A9="","",IF(COUNTIFS('Nhật ký bảo trì'!$D$6:$D$405,$A9,'Nhật ký bảo trì'!$Q$6:$Q$405,"Hoàn thành",'Nhật ký bảo trì'!$B$6:$B$405,"&gt;="&amp;J$5,'Nhật ký bảo trì'!$B$6:$B$405,"&lt;="&amp;EOMONTH(J$5,0))&gt;0,"✔",IF(((EOMONTH(J$5,0)&gt;='Kế hoạch định kỳ'!$W9)*(INT((EOMONTH(J$5,0)-'Kế hoạch định kỳ'!$W9)/'Kế hoạch định kỳ'!$X9)+1)-(J$5-1&gt;='Kế hoạch định kỳ'!$W9)*(INT((J$5-1-'Kế hoạch định kỳ'!$W9)/'Kế hoạch định kỳ'!$X9)+1))&gt;0,IF(EOMONTH(J$5,0)&lt;'Tổng quan'!$B$11,"✖","○"),"")))</f>
        <v/>
      </c>
      <c r="K9" s="61" t="str">
        <f>IF($A9="","",IF(COUNTIFS('Nhật ký bảo trì'!$D$6:$D$405,$A9,'Nhật ký bảo trì'!$Q$6:$Q$405,"Hoàn thành",'Nhật ký bảo trì'!$B$6:$B$405,"&gt;="&amp;K$5,'Nhật ký bảo trì'!$B$6:$B$405,"&lt;="&amp;EOMONTH(K$5,0))&gt;0,"✔",IF(((EOMONTH(K$5,0)&gt;='Kế hoạch định kỳ'!$W9)*(INT((EOMONTH(K$5,0)-'Kế hoạch định kỳ'!$W9)/'Kế hoạch định kỳ'!$X9)+1)-(K$5-1&gt;='Kế hoạch định kỳ'!$W9)*(INT((K$5-1-'Kế hoạch định kỳ'!$W9)/'Kế hoạch định kỳ'!$X9)+1))&gt;0,IF(EOMONTH(K$5,0)&lt;'Tổng quan'!$B$11,"✖","○"),"")))</f>
        <v>✔</v>
      </c>
      <c r="L9" s="61" t="str">
        <f>IF($A9="","",IF(COUNTIFS('Nhật ký bảo trì'!$D$6:$D$405,$A9,'Nhật ký bảo trì'!$Q$6:$Q$405,"Hoàn thành",'Nhật ký bảo trì'!$B$6:$B$405,"&gt;="&amp;L$5,'Nhật ký bảo trì'!$B$6:$B$405,"&lt;="&amp;EOMONTH(L$5,0))&gt;0,"✔",IF(((EOMONTH(L$5,0)&gt;='Kế hoạch định kỳ'!$W9)*(INT((EOMONTH(L$5,0)-'Kế hoạch định kỳ'!$W9)/'Kế hoạch định kỳ'!$X9)+1)-(L$5-1&gt;='Kế hoạch định kỳ'!$W9)*(INT((L$5-1-'Kế hoạch định kỳ'!$W9)/'Kế hoạch định kỳ'!$X9)+1))&gt;0,IF(EOMONTH(L$5,0)&lt;'Tổng quan'!$B$11,"✖","○"),"")))</f>
        <v/>
      </c>
      <c r="M9" s="61" t="str">
        <f>IF($A9="","",IF(COUNTIFS('Nhật ký bảo trì'!$D$6:$D$405,$A9,'Nhật ký bảo trì'!$Q$6:$Q$405,"Hoàn thành",'Nhật ký bảo trì'!$B$6:$B$405,"&gt;="&amp;M$5,'Nhật ký bảo trì'!$B$6:$B$405,"&lt;="&amp;EOMONTH(M$5,0))&gt;0,"✔",IF(((EOMONTH(M$5,0)&gt;='Kế hoạch định kỳ'!$W9)*(INT((EOMONTH(M$5,0)-'Kế hoạch định kỳ'!$W9)/'Kế hoạch định kỳ'!$X9)+1)-(M$5-1&gt;='Kế hoạch định kỳ'!$W9)*(INT((M$5-1-'Kế hoạch định kỳ'!$W9)/'Kế hoạch định kỳ'!$X9)+1))&gt;0,IF(EOMONTH(M$5,0)&lt;'Tổng quan'!$B$11,"✖","○"),"")))</f>
        <v>✔</v>
      </c>
      <c r="N9" s="61" t="str">
        <f>IF($A9="","",IF(COUNTIFS('Nhật ký bảo trì'!$D$6:$D$405,$A9,'Nhật ký bảo trì'!$Q$6:$Q$405,"Hoàn thành",'Nhật ký bảo trì'!$B$6:$B$405,"&gt;="&amp;N$5,'Nhật ký bảo trì'!$B$6:$B$405,"&lt;="&amp;EOMONTH(N$5,0))&gt;0,"✔",IF(((EOMONTH(N$5,0)&gt;='Kế hoạch định kỳ'!$W9)*(INT((EOMONTH(N$5,0)-'Kế hoạch định kỳ'!$W9)/'Kế hoạch định kỳ'!$X9)+1)-(N$5-1&gt;='Kế hoạch định kỳ'!$W9)*(INT((N$5-1-'Kế hoạch định kỳ'!$W9)/'Kế hoạch định kỳ'!$X9)+1))&gt;0,IF(EOMONTH(N$5,0)&lt;'Tổng quan'!$B$11,"✖","○"),"")))</f>
        <v/>
      </c>
      <c r="O9" s="61" t="str">
        <f>IF($A9="","",IF(COUNTIFS('Nhật ký bảo trì'!$D$6:$D$405,$A9,'Nhật ký bảo trì'!$Q$6:$Q$405,"Hoàn thành",'Nhật ký bảo trì'!$B$6:$B$405,"&gt;="&amp;O$5,'Nhật ký bảo trì'!$B$6:$B$405,"&lt;="&amp;EOMONTH(O$5,0))&gt;0,"✔",IF(((EOMONTH(O$5,0)&gt;='Kế hoạch định kỳ'!$W9)*(INT((EOMONTH(O$5,0)-'Kế hoạch định kỳ'!$W9)/'Kế hoạch định kỳ'!$X9)+1)-(O$5-1&gt;='Kế hoạch định kỳ'!$W9)*(INT((O$5-1-'Kế hoạch định kỳ'!$W9)/'Kế hoạch định kỳ'!$X9)+1))&gt;0,IF(EOMONTH(O$5,0)&lt;'Tổng quan'!$B$11,"✖","○"),"")))</f>
        <v>○</v>
      </c>
      <c r="P9" s="61" t="str">
        <f>IF($A9="","",IF(COUNTIFS('Nhật ký bảo trì'!$D$6:$D$405,$A9,'Nhật ký bảo trì'!$Q$6:$Q$405,"Hoàn thành",'Nhật ký bảo trì'!$B$6:$B$405,"&gt;="&amp;P$5,'Nhật ký bảo trì'!$B$6:$B$405,"&lt;="&amp;EOMONTH(P$5,0))&gt;0,"✔",IF(((EOMONTH(P$5,0)&gt;='Kế hoạch định kỳ'!$W9)*(INT((EOMONTH(P$5,0)-'Kế hoạch định kỳ'!$W9)/'Kế hoạch định kỳ'!$X9)+1)-(P$5-1&gt;='Kế hoạch định kỳ'!$W9)*(INT((P$5-1-'Kế hoạch định kỳ'!$W9)/'Kế hoạch định kỳ'!$X9)+1))&gt;0,IF(EOMONTH(P$5,0)&lt;'Tổng quan'!$B$11,"✖","○"),"")))</f>
        <v/>
      </c>
      <c r="Q9" s="30">
        <f>IF($A9="","",COUNTIFS('Nhật ký bảo trì'!$D$6:$D$405,$A9,'Nhật ký bảo trì'!$Q$6:$Q$405,"Hoàn thành",'Nhật ký bảo trì'!$B$6:$B$405,"&gt;="&amp;DATE('Tổng quan'!$B$6,1,1),'Nhật ký bảo trì'!$B$6:$B$405,"&lt;="&amp;DATE('Tổng quan'!$B$6,12,31)))</f>
        <v>4</v>
      </c>
      <c r="R9" s="30">
        <f t="shared" si="1"/>
        <v>1</v>
      </c>
    </row>
    <row r="10" ht="24.0" customHeight="1">
      <c r="A10" s="10" t="str">
        <f>IF('Kế hoạch định kỳ'!$B10="","",'Kế hoạch định kỳ'!$B10)</f>
        <v>KH005</v>
      </c>
      <c r="B10" s="14" t="str">
        <f>IF('Kế hoạch định kỳ'!$B10="","",'Kế hoạch định kỳ'!$D10)</f>
        <v>Máy cắt thành phẩm tự động</v>
      </c>
      <c r="C10" s="18" t="str">
        <f>IF('Kế hoạch định kỳ'!$B10="","",'Kế hoạch định kỳ'!$F10)</f>
        <v>Kiểm tra cảm biến an toàn, bôi trơn ray dẫn</v>
      </c>
      <c r="D10" s="10" t="str">
        <f>IF('Kế hoạch định kỳ'!$B10="","",IF('Kế hoạch định kỳ'!$I10&lt;&gt;"",'Kế hoạch định kỳ'!$I10&amp;" ngày",'Kế hoạch định kỳ'!$H10))</f>
        <v>Hằng tháng</v>
      </c>
      <c r="E10" s="24" t="str">
        <f>IF($A10="","",IF(COUNTIFS('Nhật ký bảo trì'!$D$6:$D$405,$A10,'Nhật ký bảo trì'!$Q$6:$Q$405,"Hoàn thành",'Nhật ký bảo trì'!$B$6:$B$405,"&gt;="&amp;E$5,'Nhật ký bảo trì'!$B$6:$B$405,"&lt;="&amp;EOMONTH(E$5,0))&gt;0,"✔",IF(((EOMONTH(E$5,0)&gt;='Kế hoạch định kỳ'!$W10)*(INT((EOMONTH(E$5,0)-'Kế hoạch định kỳ'!$W10)/'Kế hoạch định kỳ'!$X10)+1)-(E$5-1&gt;='Kế hoạch định kỳ'!$W10)*(INT((E$5-1-'Kế hoạch định kỳ'!$W10)/'Kế hoạch định kỳ'!$X10)+1))&gt;0,IF(EOMONTH(E$5,0)&lt;'Tổng quan'!$B$11,"✖","○"),"")))</f>
        <v/>
      </c>
      <c r="F10" s="24" t="str">
        <f>IF($A10="","",IF(COUNTIFS('Nhật ký bảo trì'!$D$6:$D$405,$A10,'Nhật ký bảo trì'!$Q$6:$Q$405,"Hoàn thành",'Nhật ký bảo trì'!$B$6:$B$405,"&gt;="&amp;F$5,'Nhật ký bảo trì'!$B$6:$B$405,"&lt;="&amp;EOMONTH(F$5,0))&gt;0,"✔",IF(((EOMONTH(F$5,0)&gt;='Kế hoạch định kỳ'!$W10)*(INT((EOMONTH(F$5,0)-'Kế hoạch định kỳ'!$W10)/'Kế hoạch định kỳ'!$X10)+1)-(F$5-1&gt;='Kế hoạch định kỳ'!$W10)*(INT((F$5-1-'Kế hoạch định kỳ'!$W10)/'Kế hoạch định kỳ'!$X10)+1))&gt;0,IF(EOMONTH(F$5,0)&lt;'Tổng quan'!$B$11,"✖","○"),"")))</f>
        <v/>
      </c>
      <c r="G10" s="24" t="str">
        <f>IF($A10="","",IF(COUNTIFS('Nhật ký bảo trì'!$D$6:$D$405,$A10,'Nhật ký bảo trì'!$Q$6:$Q$405,"Hoàn thành",'Nhật ký bảo trì'!$B$6:$B$405,"&gt;="&amp;G$5,'Nhật ký bảo trì'!$B$6:$B$405,"&lt;="&amp;EOMONTH(G$5,0))&gt;0,"✔",IF(((EOMONTH(G$5,0)&gt;='Kế hoạch định kỳ'!$W10)*(INT((EOMONTH(G$5,0)-'Kế hoạch định kỳ'!$W10)/'Kế hoạch định kỳ'!$X10)+1)-(G$5-1&gt;='Kế hoạch định kỳ'!$W10)*(INT((G$5-1-'Kế hoạch định kỳ'!$W10)/'Kế hoạch định kỳ'!$X10)+1))&gt;0,IF(EOMONTH(G$5,0)&lt;'Tổng quan'!$B$11,"✖","○"),"")))</f>
        <v/>
      </c>
      <c r="H10" s="24" t="str">
        <f>IF($A10="","",IF(COUNTIFS('Nhật ký bảo trì'!$D$6:$D$405,$A10,'Nhật ký bảo trì'!$Q$6:$Q$405,"Hoàn thành",'Nhật ký bảo trì'!$B$6:$B$405,"&gt;="&amp;H$5,'Nhật ký bảo trì'!$B$6:$B$405,"&lt;="&amp;EOMONTH(H$5,0))&gt;0,"✔",IF(((EOMONTH(H$5,0)&gt;='Kế hoạch định kỳ'!$W10)*(INT((EOMONTH(H$5,0)-'Kế hoạch định kỳ'!$W10)/'Kế hoạch định kỳ'!$X10)+1)-(H$5-1&gt;='Kế hoạch định kỳ'!$W10)*(INT((H$5-1-'Kế hoạch định kỳ'!$W10)/'Kế hoạch định kỳ'!$X10)+1))&gt;0,IF(EOMONTH(H$5,0)&lt;'Tổng quan'!$B$11,"✖","○"),"")))</f>
        <v/>
      </c>
      <c r="I10" s="24" t="str">
        <f>IF($A10="","",IF(COUNTIFS('Nhật ký bảo trì'!$D$6:$D$405,$A10,'Nhật ký bảo trì'!$Q$6:$Q$405,"Hoàn thành",'Nhật ký bảo trì'!$B$6:$B$405,"&gt;="&amp;I$5,'Nhật ký bảo trì'!$B$6:$B$405,"&lt;="&amp;EOMONTH(I$5,0))&gt;0,"✔",IF(((EOMONTH(I$5,0)&gt;='Kế hoạch định kỳ'!$W10)*(INT((EOMONTH(I$5,0)-'Kế hoạch định kỳ'!$W10)/'Kế hoạch định kỳ'!$X10)+1)-(I$5-1&gt;='Kế hoạch định kỳ'!$W10)*(INT((I$5-1-'Kế hoạch định kỳ'!$W10)/'Kế hoạch định kỳ'!$X10)+1))&gt;0,IF(EOMONTH(I$5,0)&lt;'Tổng quan'!$B$11,"✖","○"),"")))</f>
        <v/>
      </c>
      <c r="J10" s="24" t="str">
        <f>IF($A10="","",IF(COUNTIFS('Nhật ký bảo trì'!$D$6:$D$405,$A10,'Nhật ký bảo trì'!$Q$6:$Q$405,"Hoàn thành",'Nhật ký bảo trì'!$B$6:$B$405,"&gt;="&amp;J$5,'Nhật ký bảo trì'!$B$6:$B$405,"&lt;="&amp;EOMONTH(J$5,0))&gt;0,"✔",IF(((EOMONTH(J$5,0)&gt;='Kế hoạch định kỳ'!$W10)*(INT((EOMONTH(J$5,0)-'Kế hoạch định kỳ'!$W10)/'Kế hoạch định kỳ'!$X10)+1)-(J$5-1&gt;='Kế hoạch định kỳ'!$W10)*(INT((J$5-1-'Kế hoạch định kỳ'!$W10)/'Kế hoạch định kỳ'!$X10)+1))&gt;0,IF(EOMONTH(J$5,0)&lt;'Tổng quan'!$B$11,"✖","○"),"")))</f>
        <v>✔</v>
      </c>
      <c r="K10" s="24" t="str">
        <f>IF($A10="","",IF(COUNTIFS('Nhật ký bảo trì'!$D$6:$D$405,$A10,'Nhật ký bảo trì'!$Q$6:$Q$405,"Hoàn thành",'Nhật ký bảo trì'!$B$6:$B$405,"&gt;="&amp;K$5,'Nhật ký bảo trì'!$B$6:$B$405,"&lt;="&amp;EOMONTH(K$5,0))&gt;0,"✔",IF(((EOMONTH(K$5,0)&gt;='Kế hoạch định kỳ'!$W10)*(INT((EOMONTH(K$5,0)-'Kế hoạch định kỳ'!$W10)/'Kế hoạch định kỳ'!$X10)+1)-(K$5-1&gt;='Kế hoạch định kỳ'!$W10)*(INT((K$5-1-'Kế hoạch định kỳ'!$W10)/'Kế hoạch định kỳ'!$X10)+1))&gt;0,IF(EOMONTH(K$5,0)&lt;'Tổng quan'!$B$11,"✖","○"),"")))</f>
        <v>✔</v>
      </c>
      <c r="L10" s="24" t="str">
        <f>IF($A10="","",IF(COUNTIFS('Nhật ký bảo trì'!$D$6:$D$405,$A10,'Nhật ký bảo trì'!$Q$6:$Q$405,"Hoàn thành",'Nhật ký bảo trì'!$B$6:$B$405,"&gt;="&amp;L$5,'Nhật ký bảo trì'!$B$6:$B$405,"&lt;="&amp;EOMONTH(L$5,0))&gt;0,"✔",IF(((EOMONTH(L$5,0)&gt;='Kế hoạch định kỳ'!$W10)*(INT((EOMONTH(L$5,0)-'Kế hoạch định kỳ'!$W10)/'Kế hoạch định kỳ'!$X10)+1)-(L$5-1&gt;='Kế hoạch định kỳ'!$W10)*(INT((L$5-1-'Kế hoạch định kỳ'!$W10)/'Kế hoạch định kỳ'!$X10)+1))&gt;0,IF(EOMONTH(L$5,0)&lt;'Tổng quan'!$B$11,"✖","○"),"")))</f>
        <v>✔</v>
      </c>
      <c r="M10" s="24" t="str">
        <f>IF($A10="","",IF(COUNTIFS('Nhật ký bảo trì'!$D$6:$D$405,$A10,'Nhật ký bảo trì'!$Q$6:$Q$405,"Hoàn thành",'Nhật ký bảo trì'!$B$6:$B$405,"&gt;="&amp;M$5,'Nhật ký bảo trì'!$B$6:$B$405,"&lt;="&amp;EOMONTH(M$5,0))&gt;0,"✔",IF(((EOMONTH(M$5,0)&gt;='Kế hoạch định kỳ'!$W10)*(INT((EOMONTH(M$5,0)-'Kế hoạch định kỳ'!$W10)/'Kế hoạch định kỳ'!$X10)+1)-(M$5-1&gt;='Kế hoạch định kỳ'!$W10)*(INT((M$5-1-'Kế hoạch định kỳ'!$W10)/'Kế hoạch định kỳ'!$X10)+1))&gt;0,IF(EOMONTH(M$5,0)&lt;'Tổng quan'!$B$11,"✖","○"),"")))</f>
        <v>✔</v>
      </c>
      <c r="N10" s="24" t="str">
        <f>IF($A10="","",IF(COUNTIFS('Nhật ký bảo trì'!$D$6:$D$405,$A10,'Nhật ký bảo trì'!$Q$6:$Q$405,"Hoàn thành",'Nhật ký bảo trì'!$B$6:$B$405,"&gt;="&amp;N$5,'Nhật ký bảo trì'!$B$6:$B$405,"&lt;="&amp;EOMONTH(N$5,0))&gt;0,"✔",IF(((EOMONTH(N$5,0)&gt;='Kế hoạch định kỳ'!$W10)*(INT((EOMONTH(N$5,0)-'Kế hoạch định kỳ'!$W10)/'Kế hoạch định kỳ'!$X10)+1)-(N$5-1&gt;='Kế hoạch định kỳ'!$W10)*(INT((N$5-1-'Kế hoạch định kỳ'!$W10)/'Kế hoạch định kỳ'!$X10)+1))&gt;0,IF(EOMONTH(N$5,0)&lt;'Tổng quan'!$B$11,"✖","○"),"")))</f>
        <v>○</v>
      </c>
      <c r="O10" s="24" t="str">
        <f>IF($A10="","",IF(COUNTIFS('Nhật ký bảo trì'!$D$6:$D$405,$A10,'Nhật ký bảo trì'!$Q$6:$Q$405,"Hoàn thành",'Nhật ký bảo trì'!$B$6:$B$405,"&gt;="&amp;O$5,'Nhật ký bảo trì'!$B$6:$B$405,"&lt;="&amp;EOMONTH(O$5,0))&gt;0,"✔",IF(((EOMONTH(O$5,0)&gt;='Kế hoạch định kỳ'!$W10)*(INT((EOMONTH(O$5,0)-'Kế hoạch định kỳ'!$W10)/'Kế hoạch định kỳ'!$X10)+1)-(O$5-1&gt;='Kế hoạch định kỳ'!$W10)*(INT((O$5-1-'Kế hoạch định kỳ'!$W10)/'Kế hoạch định kỳ'!$X10)+1))&gt;0,IF(EOMONTH(O$5,0)&lt;'Tổng quan'!$B$11,"✖","○"),"")))</f>
        <v>○</v>
      </c>
      <c r="P10" s="24" t="str">
        <f>IF($A10="","",IF(COUNTIFS('Nhật ký bảo trì'!$D$6:$D$405,$A10,'Nhật ký bảo trì'!$Q$6:$Q$405,"Hoàn thành",'Nhật ký bảo trì'!$B$6:$B$405,"&gt;="&amp;P$5,'Nhật ký bảo trì'!$B$6:$B$405,"&lt;="&amp;EOMONTH(P$5,0))&gt;0,"✔",IF(((EOMONTH(P$5,0)&gt;='Kế hoạch định kỳ'!$W10)*(INT((EOMONTH(P$5,0)-'Kế hoạch định kỳ'!$W10)/'Kế hoạch định kỳ'!$X10)+1)-(P$5-1&gt;='Kế hoạch định kỳ'!$W10)*(INT((P$5-1-'Kế hoạch định kỳ'!$W10)/'Kế hoạch định kỳ'!$X10)+1))&gt;0,IF(EOMONTH(P$5,0)&lt;'Tổng quan'!$B$11,"✖","○"),"")))</f>
        <v>○</v>
      </c>
      <c r="Q10" s="16">
        <f>IF($A10="","",COUNTIFS('Nhật ký bảo trì'!$D$6:$D$405,$A10,'Nhật ký bảo trì'!$Q$6:$Q$405,"Hoàn thành",'Nhật ký bảo trì'!$B$6:$B$405,"&gt;="&amp;DATE('Tổng quan'!$B$6,1,1),'Nhật ký bảo trì'!$B$6:$B$405,"&lt;="&amp;DATE('Tổng quan'!$B$6,12,31)))</f>
        <v>4</v>
      </c>
      <c r="R10" s="16">
        <f t="shared" si="1"/>
        <v>3</v>
      </c>
    </row>
    <row r="11" ht="24.0" customHeight="1">
      <c r="A11" s="26" t="str">
        <f>IF('Kế hoạch định kỳ'!$B11="","",'Kế hoạch định kỳ'!$B11)</f>
        <v>KH006</v>
      </c>
      <c r="B11" s="28" t="str">
        <f>IF('Kế hoạch định kỳ'!$B11="","",'Kế hoạch định kỳ'!$D11)</f>
        <v>Máy nén khí trục vít 75kW</v>
      </c>
      <c r="C11" s="56" t="str">
        <f>IF('Kế hoạch định kỳ'!$B11="","",'Kế hoạch định kỳ'!$F11)</f>
        <v>Xả nước ngưng, kiểm tra lọc gió</v>
      </c>
      <c r="D11" s="26" t="str">
        <f>IF('Kế hoạch định kỳ'!$B11="","",IF('Kế hoạch định kỳ'!$I11&lt;&gt;"",'Kế hoạch định kỳ'!$I11&amp;" ngày",'Kế hoạch định kỳ'!$H11))</f>
        <v>2 tuần/lần</v>
      </c>
      <c r="E11" s="61" t="str">
        <f>IF($A11="","",IF(COUNTIFS('Nhật ký bảo trì'!$D$6:$D$405,$A11,'Nhật ký bảo trì'!$Q$6:$Q$405,"Hoàn thành",'Nhật ký bảo trì'!$B$6:$B$405,"&gt;="&amp;E$5,'Nhật ký bảo trì'!$B$6:$B$405,"&lt;="&amp;EOMONTH(E$5,0))&gt;0,"✔",IF(((EOMONTH(E$5,0)&gt;='Kế hoạch định kỳ'!$W11)*(INT((EOMONTH(E$5,0)-'Kế hoạch định kỳ'!$W11)/'Kế hoạch định kỳ'!$X11)+1)-(E$5-1&gt;='Kế hoạch định kỳ'!$W11)*(INT((E$5-1-'Kế hoạch định kỳ'!$W11)/'Kế hoạch định kỳ'!$X11)+1))&gt;0,IF(EOMONTH(E$5,0)&lt;'Tổng quan'!$B$11,"✖","○"),"")))</f>
        <v/>
      </c>
      <c r="F11" s="61" t="str">
        <f>IF($A11="","",IF(COUNTIFS('Nhật ký bảo trì'!$D$6:$D$405,$A11,'Nhật ký bảo trì'!$Q$6:$Q$405,"Hoàn thành",'Nhật ký bảo trì'!$B$6:$B$405,"&gt;="&amp;F$5,'Nhật ký bảo trì'!$B$6:$B$405,"&lt;="&amp;EOMONTH(F$5,0))&gt;0,"✔",IF(((EOMONTH(F$5,0)&gt;='Kế hoạch định kỳ'!$W11)*(INT((EOMONTH(F$5,0)-'Kế hoạch định kỳ'!$W11)/'Kế hoạch định kỳ'!$X11)+1)-(F$5-1&gt;='Kế hoạch định kỳ'!$W11)*(INT((F$5-1-'Kế hoạch định kỳ'!$W11)/'Kế hoạch định kỳ'!$X11)+1))&gt;0,IF(EOMONTH(F$5,0)&lt;'Tổng quan'!$B$11,"✖","○"),"")))</f>
        <v/>
      </c>
      <c r="G11" s="61" t="str">
        <f>IF($A11="","",IF(COUNTIFS('Nhật ký bảo trì'!$D$6:$D$405,$A11,'Nhật ký bảo trì'!$Q$6:$Q$405,"Hoàn thành",'Nhật ký bảo trì'!$B$6:$B$405,"&gt;="&amp;G$5,'Nhật ký bảo trì'!$B$6:$B$405,"&lt;="&amp;EOMONTH(G$5,0))&gt;0,"✔",IF(((EOMONTH(G$5,0)&gt;='Kế hoạch định kỳ'!$W11)*(INT((EOMONTH(G$5,0)-'Kế hoạch định kỳ'!$W11)/'Kế hoạch định kỳ'!$X11)+1)-(G$5-1&gt;='Kế hoạch định kỳ'!$W11)*(INT((G$5-1-'Kế hoạch định kỳ'!$W11)/'Kế hoạch định kỳ'!$X11)+1))&gt;0,IF(EOMONTH(G$5,0)&lt;'Tổng quan'!$B$11,"✖","○"),"")))</f>
        <v/>
      </c>
      <c r="H11" s="61" t="str">
        <f>IF($A11="","",IF(COUNTIFS('Nhật ký bảo trì'!$D$6:$D$405,$A11,'Nhật ký bảo trì'!$Q$6:$Q$405,"Hoàn thành",'Nhật ký bảo trì'!$B$6:$B$405,"&gt;="&amp;H$5,'Nhật ký bảo trì'!$B$6:$B$405,"&lt;="&amp;EOMONTH(H$5,0))&gt;0,"✔",IF(((EOMONTH(H$5,0)&gt;='Kế hoạch định kỳ'!$W11)*(INT((EOMONTH(H$5,0)-'Kế hoạch định kỳ'!$W11)/'Kế hoạch định kỳ'!$X11)+1)-(H$5-1&gt;='Kế hoạch định kỳ'!$W11)*(INT((H$5-1-'Kế hoạch định kỳ'!$W11)/'Kế hoạch định kỳ'!$X11)+1))&gt;0,IF(EOMONTH(H$5,0)&lt;'Tổng quan'!$B$11,"✖","○"),"")))</f>
        <v/>
      </c>
      <c r="I11" s="61" t="str">
        <f>IF($A11="","",IF(COUNTIFS('Nhật ký bảo trì'!$D$6:$D$405,$A11,'Nhật ký bảo trì'!$Q$6:$Q$405,"Hoàn thành",'Nhật ký bảo trì'!$B$6:$B$405,"&gt;="&amp;I$5,'Nhật ký bảo trì'!$B$6:$B$405,"&lt;="&amp;EOMONTH(I$5,0))&gt;0,"✔",IF(((EOMONTH(I$5,0)&gt;='Kế hoạch định kỳ'!$W11)*(INT((EOMONTH(I$5,0)-'Kế hoạch định kỳ'!$W11)/'Kế hoạch định kỳ'!$X11)+1)-(I$5-1&gt;='Kế hoạch định kỳ'!$W11)*(INT((I$5-1-'Kế hoạch định kỳ'!$W11)/'Kế hoạch định kỳ'!$X11)+1))&gt;0,IF(EOMONTH(I$5,0)&lt;'Tổng quan'!$B$11,"✖","○"),"")))</f>
        <v/>
      </c>
      <c r="J11" s="61" t="str">
        <f>IF($A11="","",IF(COUNTIFS('Nhật ký bảo trì'!$D$6:$D$405,$A11,'Nhật ký bảo trì'!$Q$6:$Q$405,"Hoàn thành",'Nhật ký bảo trì'!$B$6:$B$405,"&gt;="&amp;J$5,'Nhật ký bảo trì'!$B$6:$B$405,"&lt;="&amp;EOMONTH(J$5,0))&gt;0,"✔",IF(((EOMONTH(J$5,0)&gt;='Kế hoạch định kỳ'!$W11)*(INT((EOMONTH(J$5,0)-'Kế hoạch định kỳ'!$W11)/'Kế hoạch định kỳ'!$X11)+1)-(J$5-1&gt;='Kế hoạch định kỳ'!$W11)*(INT((J$5-1-'Kế hoạch định kỳ'!$W11)/'Kế hoạch định kỳ'!$X11)+1))&gt;0,IF(EOMONTH(J$5,0)&lt;'Tổng quan'!$B$11,"✖","○"),"")))</f>
        <v/>
      </c>
      <c r="K11" s="61" t="str">
        <f>IF($A11="","",IF(COUNTIFS('Nhật ký bảo trì'!$D$6:$D$405,$A11,'Nhật ký bảo trì'!$Q$6:$Q$405,"Hoàn thành",'Nhật ký bảo trì'!$B$6:$B$405,"&gt;="&amp;K$5,'Nhật ký bảo trì'!$B$6:$B$405,"&lt;="&amp;EOMONTH(K$5,0))&gt;0,"✔",IF(((EOMONTH(K$5,0)&gt;='Kế hoạch định kỳ'!$W11)*(INT((EOMONTH(K$5,0)-'Kế hoạch định kỳ'!$W11)/'Kế hoạch định kỳ'!$X11)+1)-(K$5-1&gt;='Kế hoạch định kỳ'!$W11)*(INT((K$5-1-'Kế hoạch định kỳ'!$W11)/'Kế hoạch định kỳ'!$X11)+1))&gt;0,IF(EOMONTH(K$5,0)&lt;'Tổng quan'!$B$11,"✖","○"),"")))</f>
        <v/>
      </c>
      <c r="L11" s="61" t="str">
        <f>IF($A11="","",IF(COUNTIFS('Nhật ký bảo trì'!$D$6:$D$405,$A11,'Nhật ký bảo trì'!$Q$6:$Q$405,"Hoàn thành",'Nhật ký bảo trì'!$B$6:$B$405,"&gt;="&amp;L$5,'Nhật ký bảo trì'!$B$6:$B$405,"&lt;="&amp;EOMONTH(L$5,0))&gt;0,"✔",IF(((EOMONTH(L$5,0)&gt;='Kế hoạch định kỳ'!$W11)*(INT((EOMONTH(L$5,0)-'Kế hoạch định kỳ'!$W11)/'Kế hoạch định kỳ'!$X11)+1)-(L$5-1&gt;='Kế hoạch định kỳ'!$W11)*(INT((L$5-1-'Kế hoạch định kỳ'!$W11)/'Kế hoạch định kỳ'!$X11)+1))&gt;0,IF(EOMONTH(L$5,0)&lt;'Tổng quan'!$B$11,"✖","○"),"")))</f>
        <v/>
      </c>
      <c r="M11" s="61" t="str">
        <f>IF($A11="","",IF(COUNTIFS('Nhật ký bảo trì'!$D$6:$D$405,$A11,'Nhật ký bảo trì'!$Q$6:$Q$405,"Hoàn thành",'Nhật ký bảo trì'!$B$6:$B$405,"&gt;="&amp;M$5,'Nhật ký bảo trì'!$B$6:$B$405,"&lt;="&amp;EOMONTH(M$5,0))&gt;0,"✔",IF(((EOMONTH(M$5,0)&gt;='Kế hoạch định kỳ'!$W11)*(INT((EOMONTH(M$5,0)-'Kế hoạch định kỳ'!$W11)/'Kế hoạch định kỳ'!$X11)+1)-(M$5-1&gt;='Kế hoạch định kỳ'!$W11)*(INT((M$5-1-'Kế hoạch định kỳ'!$W11)/'Kế hoạch định kỳ'!$X11)+1))&gt;0,IF(EOMONTH(M$5,0)&lt;'Tổng quan'!$B$11,"✖","○"),"")))</f>
        <v>✔</v>
      </c>
      <c r="N11" s="61" t="str">
        <f>IF($A11="","",IF(COUNTIFS('Nhật ký bảo trì'!$D$6:$D$405,$A11,'Nhật ký bảo trì'!$Q$6:$Q$405,"Hoàn thành",'Nhật ký bảo trì'!$B$6:$B$405,"&gt;="&amp;N$5,'Nhật ký bảo trì'!$B$6:$B$405,"&lt;="&amp;EOMONTH(N$5,0))&gt;0,"✔",IF(((EOMONTH(N$5,0)&gt;='Kế hoạch định kỳ'!$W11)*(INT((EOMONTH(N$5,0)-'Kế hoạch định kỳ'!$W11)/'Kế hoạch định kỳ'!$X11)+1)-(N$5-1&gt;='Kế hoạch định kỳ'!$W11)*(INT((N$5-1-'Kế hoạch định kỳ'!$W11)/'Kế hoạch định kỳ'!$X11)+1))&gt;0,IF(EOMONTH(N$5,0)&lt;'Tổng quan'!$B$11,"✖","○"),"")))</f>
        <v>✔</v>
      </c>
      <c r="O11" s="61" t="str">
        <f>IF($A11="","",IF(COUNTIFS('Nhật ký bảo trì'!$D$6:$D$405,$A11,'Nhật ký bảo trì'!$Q$6:$Q$405,"Hoàn thành",'Nhật ký bảo trì'!$B$6:$B$405,"&gt;="&amp;O$5,'Nhật ký bảo trì'!$B$6:$B$405,"&lt;="&amp;EOMONTH(O$5,0))&gt;0,"✔",IF(((EOMONTH(O$5,0)&gt;='Kế hoạch định kỳ'!$W11)*(INT((EOMONTH(O$5,0)-'Kế hoạch định kỳ'!$W11)/'Kế hoạch định kỳ'!$X11)+1)-(O$5-1&gt;='Kế hoạch định kỳ'!$W11)*(INT((O$5-1-'Kế hoạch định kỳ'!$W11)/'Kế hoạch định kỳ'!$X11)+1))&gt;0,IF(EOMONTH(O$5,0)&lt;'Tổng quan'!$B$11,"✖","○"),"")))</f>
        <v>○</v>
      </c>
      <c r="P11" s="61" t="str">
        <f>IF($A11="","",IF(COUNTIFS('Nhật ký bảo trì'!$D$6:$D$405,$A11,'Nhật ký bảo trì'!$Q$6:$Q$405,"Hoàn thành",'Nhật ký bảo trì'!$B$6:$B$405,"&gt;="&amp;P$5,'Nhật ký bảo trì'!$B$6:$B$405,"&lt;="&amp;EOMONTH(P$5,0))&gt;0,"✔",IF(((EOMONTH(P$5,0)&gt;='Kế hoạch định kỳ'!$W11)*(INT((EOMONTH(P$5,0)-'Kế hoạch định kỳ'!$W11)/'Kế hoạch định kỳ'!$X11)+1)-(P$5-1&gt;='Kế hoạch định kỳ'!$W11)*(INT((P$5-1-'Kế hoạch định kỳ'!$W11)/'Kế hoạch định kỳ'!$X11)+1))&gt;0,IF(EOMONTH(P$5,0)&lt;'Tổng quan'!$B$11,"✖","○"),"")))</f>
        <v>○</v>
      </c>
      <c r="Q11" s="30">
        <f>IF($A11="","",COUNTIFS('Nhật ký bảo trì'!$D$6:$D$405,$A11,'Nhật ký bảo trì'!$Q$6:$Q$405,"Hoàn thành",'Nhật ký bảo trì'!$B$6:$B$405,"&gt;="&amp;DATE('Tổng quan'!$B$6,1,1),'Nhật ký bảo trì'!$B$6:$B$405,"&lt;="&amp;DATE('Tổng quan'!$B$6,12,31)))</f>
        <v>4</v>
      </c>
      <c r="R11" s="30">
        <f t="shared" si="1"/>
        <v>2</v>
      </c>
    </row>
    <row r="12" ht="24.0" customHeight="1">
      <c r="A12" s="10" t="str">
        <f>IF('Kế hoạch định kỳ'!$B12="","",'Kế hoạch định kỳ'!$B12)</f>
        <v>KH007</v>
      </c>
      <c r="B12" s="14" t="str">
        <f>IF('Kế hoạch định kỳ'!$B12="","",'Kế hoạch định kỳ'!$D12)</f>
        <v>Máy nén khí trục vít 75kW</v>
      </c>
      <c r="C12" s="18" t="str">
        <f>IF('Kế hoạch định kỳ'!$B12="","",'Kế hoạch định kỳ'!$F12)</f>
        <v>Thay dầu máy nén và lọc dầu</v>
      </c>
      <c r="D12" s="10" t="str">
        <f>IF('Kế hoạch định kỳ'!$B12="","",IF('Kế hoạch định kỳ'!$I12&lt;&gt;"",'Kế hoạch định kỳ'!$I12&amp;" ngày",'Kế hoạch định kỳ'!$H12))</f>
        <v>6 tháng/lần</v>
      </c>
      <c r="E12" s="24" t="str">
        <f>IF($A12="","",IF(COUNTIFS('Nhật ký bảo trì'!$D$6:$D$405,$A12,'Nhật ký bảo trì'!$Q$6:$Q$405,"Hoàn thành",'Nhật ký bảo trì'!$B$6:$B$405,"&gt;="&amp;E$5,'Nhật ký bảo trì'!$B$6:$B$405,"&lt;="&amp;EOMONTH(E$5,0))&gt;0,"✔",IF(((EOMONTH(E$5,0)&gt;='Kế hoạch định kỳ'!$W12)*(INT((EOMONTH(E$5,0)-'Kế hoạch định kỳ'!$W12)/'Kế hoạch định kỳ'!$X12)+1)-(E$5-1&gt;='Kế hoạch định kỳ'!$W12)*(INT((E$5-1-'Kế hoạch định kỳ'!$W12)/'Kế hoạch định kỳ'!$X12)+1))&gt;0,IF(EOMONTH(E$5,0)&lt;'Tổng quan'!$B$11,"✖","○"),"")))</f>
        <v/>
      </c>
      <c r="F12" s="24" t="str">
        <f>IF($A12="","",IF(COUNTIFS('Nhật ký bảo trì'!$D$6:$D$405,$A12,'Nhật ký bảo trì'!$Q$6:$Q$405,"Hoàn thành",'Nhật ký bảo trì'!$B$6:$B$405,"&gt;="&amp;F$5,'Nhật ký bảo trì'!$B$6:$B$405,"&lt;="&amp;EOMONTH(F$5,0))&gt;0,"✔",IF(((EOMONTH(F$5,0)&gt;='Kế hoạch định kỳ'!$W12)*(INT((EOMONTH(F$5,0)-'Kế hoạch định kỳ'!$W12)/'Kế hoạch định kỳ'!$X12)+1)-(F$5-1&gt;='Kế hoạch định kỳ'!$W12)*(INT((F$5-1-'Kế hoạch định kỳ'!$W12)/'Kế hoạch định kỳ'!$X12)+1))&gt;0,IF(EOMONTH(F$5,0)&lt;'Tổng quan'!$B$11,"✖","○"),"")))</f>
        <v/>
      </c>
      <c r="G12" s="24" t="str">
        <f>IF($A12="","",IF(COUNTIFS('Nhật ký bảo trì'!$D$6:$D$405,$A12,'Nhật ký bảo trì'!$Q$6:$Q$405,"Hoàn thành",'Nhật ký bảo trì'!$B$6:$B$405,"&gt;="&amp;G$5,'Nhật ký bảo trì'!$B$6:$B$405,"&lt;="&amp;EOMONTH(G$5,0))&gt;0,"✔",IF(((EOMONTH(G$5,0)&gt;='Kế hoạch định kỳ'!$W12)*(INT((EOMONTH(G$5,0)-'Kế hoạch định kỳ'!$W12)/'Kế hoạch định kỳ'!$X12)+1)-(G$5-1&gt;='Kế hoạch định kỳ'!$W12)*(INT((G$5-1-'Kế hoạch định kỳ'!$W12)/'Kế hoạch định kỳ'!$X12)+1))&gt;0,IF(EOMONTH(G$5,0)&lt;'Tổng quan'!$B$11,"✖","○"),"")))</f>
        <v/>
      </c>
      <c r="H12" s="24" t="str">
        <f>IF($A12="","",IF(COUNTIFS('Nhật ký bảo trì'!$D$6:$D$405,$A12,'Nhật ký bảo trì'!$Q$6:$Q$405,"Hoàn thành",'Nhật ký bảo trì'!$B$6:$B$405,"&gt;="&amp;H$5,'Nhật ký bảo trì'!$B$6:$B$405,"&lt;="&amp;EOMONTH(H$5,0))&gt;0,"✔",IF(((EOMONTH(H$5,0)&gt;='Kế hoạch định kỳ'!$W12)*(INT((EOMONTH(H$5,0)-'Kế hoạch định kỳ'!$W12)/'Kế hoạch định kỳ'!$X12)+1)-(H$5-1&gt;='Kế hoạch định kỳ'!$W12)*(INT((H$5-1-'Kế hoạch định kỳ'!$W12)/'Kế hoạch định kỳ'!$X12)+1))&gt;0,IF(EOMONTH(H$5,0)&lt;'Tổng quan'!$B$11,"✖","○"),"")))</f>
        <v/>
      </c>
      <c r="I12" s="24" t="str">
        <f>IF($A12="","",IF(COUNTIFS('Nhật ký bảo trì'!$D$6:$D$405,$A12,'Nhật ký bảo trì'!$Q$6:$Q$405,"Hoàn thành",'Nhật ký bảo trì'!$B$6:$B$405,"&gt;="&amp;I$5,'Nhật ký bảo trì'!$B$6:$B$405,"&lt;="&amp;EOMONTH(I$5,0))&gt;0,"✔",IF(((EOMONTH(I$5,0)&gt;='Kế hoạch định kỳ'!$W12)*(INT((EOMONTH(I$5,0)-'Kế hoạch định kỳ'!$W12)/'Kế hoạch định kỳ'!$X12)+1)-(I$5-1&gt;='Kế hoạch định kỳ'!$W12)*(INT((I$5-1-'Kế hoạch định kỳ'!$W12)/'Kế hoạch định kỳ'!$X12)+1))&gt;0,IF(EOMONTH(I$5,0)&lt;'Tổng quan'!$B$11,"✖","○"),"")))</f>
        <v/>
      </c>
      <c r="J12" s="24" t="str">
        <f>IF($A12="","",IF(COUNTIFS('Nhật ký bảo trì'!$D$6:$D$405,$A12,'Nhật ký bảo trì'!$Q$6:$Q$405,"Hoàn thành",'Nhật ký bảo trì'!$B$6:$B$405,"&gt;="&amp;J$5,'Nhật ký bảo trì'!$B$6:$B$405,"&lt;="&amp;EOMONTH(J$5,0))&gt;0,"✔",IF(((EOMONTH(J$5,0)&gt;='Kế hoạch định kỳ'!$W12)*(INT((EOMONTH(J$5,0)-'Kế hoạch định kỳ'!$W12)/'Kế hoạch định kỳ'!$X12)+1)-(J$5-1&gt;='Kế hoạch định kỳ'!$W12)*(INT((J$5-1-'Kế hoạch định kỳ'!$W12)/'Kế hoạch định kỳ'!$X12)+1))&gt;0,IF(EOMONTH(J$5,0)&lt;'Tổng quan'!$B$11,"✖","○"),"")))</f>
        <v>✔</v>
      </c>
      <c r="K12" s="24" t="str">
        <f>IF($A12="","",IF(COUNTIFS('Nhật ký bảo trì'!$D$6:$D$405,$A12,'Nhật ký bảo trì'!$Q$6:$Q$405,"Hoàn thành",'Nhật ký bảo trì'!$B$6:$B$405,"&gt;="&amp;K$5,'Nhật ký bảo trì'!$B$6:$B$405,"&lt;="&amp;EOMONTH(K$5,0))&gt;0,"✔",IF(((EOMONTH(K$5,0)&gt;='Kế hoạch định kỳ'!$W12)*(INT((EOMONTH(K$5,0)-'Kế hoạch định kỳ'!$W12)/'Kế hoạch định kỳ'!$X12)+1)-(K$5-1&gt;='Kế hoạch định kỳ'!$W12)*(INT((K$5-1-'Kế hoạch định kỳ'!$W12)/'Kế hoạch định kỳ'!$X12)+1))&gt;0,IF(EOMONTH(K$5,0)&lt;'Tổng quan'!$B$11,"✖","○"),"")))</f>
        <v/>
      </c>
      <c r="L12" s="24" t="str">
        <f>IF($A12="","",IF(COUNTIFS('Nhật ký bảo trì'!$D$6:$D$405,$A12,'Nhật ký bảo trì'!$Q$6:$Q$405,"Hoàn thành",'Nhật ký bảo trì'!$B$6:$B$405,"&gt;="&amp;L$5,'Nhật ký bảo trì'!$B$6:$B$405,"&lt;="&amp;EOMONTH(L$5,0))&gt;0,"✔",IF(((EOMONTH(L$5,0)&gt;='Kế hoạch định kỳ'!$W12)*(INT((EOMONTH(L$5,0)-'Kế hoạch định kỳ'!$W12)/'Kế hoạch định kỳ'!$X12)+1)-(L$5-1&gt;='Kế hoạch định kỳ'!$W12)*(INT((L$5-1-'Kế hoạch định kỳ'!$W12)/'Kế hoạch định kỳ'!$X12)+1))&gt;0,IF(EOMONTH(L$5,0)&lt;'Tổng quan'!$B$11,"✖","○"),"")))</f>
        <v/>
      </c>
      <c r="M12" s="24" t="str">
        <f>IF($A12="","",IF(COUNTIFS('Nhật ký bảo trì'!$D$6:$D$405,$A12,'Nhật ký bảo trì'!$Q$6:$Q$405,"Hoàn thành",'Nhật ký bảo trì'!$B$6:$B$405,"&gt;="&amp;M$5,'Nhật ký bảo trì'!$B$6:$B$405,"&lt;="&amp;EOMONTH(M$5,0))&gt;0,"✔",IF(((EOMONTH(M$5,0)&gt;='Kế hoạch định kỳ'!$W12)*(INT((EOMONTH(M$5,0)-'Kế hoạch định kỳ'!$W12)/'Kế hoạch định kỳ'!$X12)+1)-(M$5-1&gt;='Kế hoạch định kỳ'!$W12)*(INT((M$5-1-'Kế hoạch định kỳ'!$W12)/'Kế hoạch định kỳ'!$X12)+1))&gt;0,IF(EOMONTH(M$5,0)&lt;'Tổng quan'!$B$11,"✖","○"),"")))</f>
        <v/>
      </c>
      <c r="N12" s="24" t="str">
        <f>IF($A12="","",IF(COUNTIFS('Nhật ký bảo trì'!$D$6:$D$405,$A12,'Nhật ký bảo trì'!$Q$6:$Q$405,"Hoàn thành",'Nhật ký bảo trì'!$B$6:$B$405,"&gt;="&amp;N$5,'Nhật ký bảo trì'!$B$6:$B$405,"&lt;="&amp;EOMONTH(N$5,0))&gt;0,"✔",IF(((EOMONTH(N$5,0)&gt;='Kế hoạch định kỳ'!$W12)*(INT((EOMONTH(N$5,0)-'Kế hoạch định kỳ'!$W12)/'Kế hoạch định kỳ'!$X12)+1)-(N$5-1&gt;='Kế hoạch định kỳ'!$W12)*(INT((N$5-1-'Kế hoạch định kỳ'!$W12)/'Kế hoạch định kỳ'!$X12)+1))&gt;0,IF(EOMONTH(N$5,0)&lt;'Tổng quan'!$B$11,"✖","○"),"")))</f>
        <v/>
      </c>
      <c r="O12" s="24" t="str">
        <f>IF($A12="","",IF(COUNTIFS('Nhật ký bảo trì'!$D$6:$D$405,$A12,'Nhật ký bảo trì'!$Q$6:$Q$405,"Hoàn thành",'Nhật ký bảo trì'!$B$6:$B$405,"&gt;="&amp;O$5,'Nhật ký bảo trì'!$B$6:$B$405,"&lt;="&amp;EOMONTH(O$5,0))&gt;0,"✔",IF(((EOMONTH(O$5,0)&gt;='Kế hoạch định kỳ'!$W12)*(INT((EOMONTH(O$5,0)-'Kế hoạch định kỳ'!$W12)/'Kế hoạch định kỳ'!$X12)+1)-(O$5-1&gt;='Kế hoạch định kỳ'!$W12)*(INT((O$5-1-'Kế hoạch định kỳ'!$W12)/'Kế hoạch định kỳ'!$X12)+1))&gt;0,IF(EOMONTH(O$5,0)&lt;'Tổng quan'!$B$11,"✖","○"),"")))</f>
        <v/>
      </c>
      <c r="P12" s="24" t="str">
        <f>IF($A12="","",IF(COUNTIFS('Nhật ký bảo trì'!$D$6:$D$405,$A12,'Nhật ký bảo trì'!$Q$6:$Q$405,"Hoàn thành",'Nhật ký bảo trì'!$B$6:$B$405,"&gt;="&amp;P$5,'Nhật ký bảo trì'!$B$6:$B$405,"&lt;="&amp;EOMONTH(P$5,0))&gt;0,"✔",IF(((EOMONTH(P$5,0)&gt;='Kế hoạch định kỳ'!$W12)*(INT((EOMONTH(P$5,0)-'Kế hoạch định kỳ'!$W12)/'Kế hoạch định kỳ'!$X12)+1)-(P$5-1&gt;='Kế hoạch định kỳ'!$W12)*(INT((P$5-1-'Kế hoạch định kỳ'!$W12)/'Kế hoạch định kỳ'!$X12)+1))&gt;0,IF(EOMONTH(P$5,0)&lt;'Tổng quan'!$B$11,"✖","○"),"")))</f>
        <v>○</v>
      </c>
      <c r="Q12" s="16">
        <f>IF($A12="","",COUNTIFS('Nhật ký bảo trì'!$D$6:$D$405,$A12,'Nhật ký bảo trì'!$Q$6:$Q$405,"Hoàn thành",'Nhật ký bảo trì'!$B$6:$B$405,"&gt;="&amp;DATE('Tổng quan'!$B$6,1,1),'Nhật ký bảo trì'!$B$6:$B$405,"&lt;="&amp;DATE('Tổng quan'!$B$6,12,31)))</f>
        <v>1</v>
      </c>
      <c r="R12" s="16">
        <f t="shared" si="1"/>
        <v>1</v>
      </c>
    </row>
    <row r="13" ht="24.0" customHeight="1">
      <c r="A13" s="26" t="str">
        <f>IF('Kế hoạch định kỳ'!$B13="","",'Kế hoạch định kỳ'!$B13)</f>
        <v>KH008</v>
      </c>
      <c r="B13" s="28" t="str">
        <f>IF('Kế hoạch định kỳ'!$B13="","",'Kế hoạch định kỳ'!$D13)</f>
        <v>Máy nén khí trục vít 75kW</v>
      </c>
      <c r="C13" s="56" t="str">
        <f>IF('Kế hoạch định kỳ'!$B13="","",'Kế hoạch định kỳ'!$F13)</f>
        <v>Kiểm tra van an toàn, hiệu chuẩn đồng hồ áp</v>
      </c>
      <c r="D13" s="26" t="str">
        <f>IF('Kế hoạch định kỳ'!$B13="","",IF('Kế hoạch định kỳ'!$I13&lt;&gt;"",'Kế hoạch định kỳ'!$I13&amp;" ngày",'Kế hoạch định kỳ'!$H13))</f>
        <v>Hằng năm</v>
      </c>
      <c r="E13" s="61" t="str">
        <f>IF($A13="","",IF(COUNTIFS('Nhật ký bảo trì'!$D$6:$D$405,$A13,'Nhật ký bảo trì'!$Q$6:$Q$405,"Hoàn thành",'Nhật ký bảo trì'!$B$6:$B$405,"&gt;="&amp;E$5,'Nhật ký bảo trì'!$B$6:$B$405,"&lt;="&amp;EOMONTH(E$5,0))&gt;0,"✔",IF(((EOMONTH(E$5,0)&gt;='Kế hoạch định kỳ'!$W13)*(INT((EOMONTH(E$5,0)-'Kế hoạch định kỳ'!$W13)/'Kế hoạch định kỳ'!$X13)+1)-(E$5-1&gt;='Kế hoạch định kỳ'!$W13)*(INT((E$5-1-'Kế hoạch định kỳ'!$W13)/'Kế hoạch định kỳ'!$X13)+1))&gt;0,IF(EOMONTH(E$5,0)&lt;'Tổng quan'!$B$11,"✖","○"),"")))</f>
        <v/>
      </c>
      <c r="F13" s="61" t="str">
        <f>IF($A13="","",IF(COUNTIFS('Nhật ký bảo trì'!$D$6:$D$405,$A13,'Nhật ký bảo trì'!$Q$6:$Q$405,"Hoàn thành",'Nhật ký bảo trì'!$B$6:$B$405,"&gt;="&amp;F$5,'Nhật ký bảo trì'!$B$6:$B$405,"&lt;="&amp;EOMONTH(F$5,0))&gt;0,"✔",IF(((EOMONTH(F$5,0)&gt;='Kế hoạch định kỳ'!$W13)*(INT((EOMONTH(F$5,0)-'Kế hoạch định kỳ'!$W13)/'Kế hoạch định kỳ'!$X13)+1)-(F$5-1&gt;='Kế hoạch định kỳ'!$W13)*(INT((F$5-1-'Kế hoạch định kỳ'!$W13)/'Kế hoạch định kỳ'!$X13)+1))&gt;0,IF(EOMONTH(F$5,0)&lt;'Tổng quan'!$B$11,"✖","○"),"")))</f>
        <v/>
      </c>
      <c r="G13" s="61" t="str">
        <f>IF($A13="","",IF(COUNTIFS('Nhật ký bảo trì'!$D$6:$D$405,$A13,'Nhật ký bảo trì'!$Q$6:$Q$405,"Hoàn thành",'Nhật ký bảo trì'!$B$6:$B$405,"&gt;="&amp;G$5,'Nhật ký bảo trì'!$B$6:$B$405,"&lt;="&amp;EOMONTH(G$5,0))&gt;0,"✔",IF(((EOMONTH(G$5,0)&gt;='Kế hoạch định kỳ'!$W13)*(INT((EOMONTH(G$5,0)-'Kế hoạch định kỳ'!$W13)/'Kế hoạch định kỳ'!$X13)+1)-(G$5-1&gt;='Kế hoạch định kỳ'!$W13)*(INT((G$5-1-'Kế hoạch định kỳ'!$W13)/'Kế hoạch định kỳ'!$X13)+1))&gt;0,IF(EOMONTH(G$5,0)&lt;'Tổng quan'!$B$11,"✖","○"),"")))</f>
        <v/>
      </c>
      <c r="H13" s="61" t="str">
        <f>IF($A13="","",IF(COUNTIFS('Nhật ký bảo trì'!$D$6:$D$405,$A13,'Nhật ký bảo trì'!$Q$6:$Q$405,"Hoàn thành",'Nhật ký bảo trì'!$B$6:$B$405,"&gt;="&amp;H$5,'Nhật ký bảo trì'!$B$6:$B$405,"&lt;="&amp;EOMONTH(H$5,0))&gt;0,"✔",IF(((EOMONTH(H$5,0)&gt;='Kế hoạch định kỳ'!$W13)*(INT((EOMONTH(H$5,0)-'Kế hoạch định kỳ'!$W13)/'Kế hoạch định kỳ'!$X13)+1)-(H$5-1&gt;='Kế hoạch định kỳ'!$W13)*(INT((H$5-1-'Kế hoạch định kỳ'!$W13)/'Kế hoạch định kỳ'!$X13)+1))&gt;0,IF(EOMONTH(H$5,0)&lt;'Tổng quan'!$B$11,"✖","○"),"")))</f>
        <v/>
      </c>
      <c r="I13" s="61" t="str">
        <f>IF($A13="","",IF(COUNTIFS('Nhật ký bảo trì'!$D$6:$D$405,$A13,'Nhật ký bảo trì'!$Q$6:$Q$405,"Hoàn thành",'Nhật ký bảo trì'!$B$6:$B$405,"&gt;="&amp;I$5,'Nhật ký bảo trì'!$B$6:$B$405,"&lt;="&amp;EOMONTH(I$5,0))&gt;0,"✔",IF(((EOMONTH(I$5,0)&gt;='Kế hoạch định kỳ'!$W13)*(INT((EOMONTH(I$5,0)-'Kế hoạch định kỳ'!$W13)/'Kế hoạch định kỳ'!$X13)+1)-(I$5-1&gt;='Kế hoạch định kỳ'!$W13)*(INT((I$5-1-'Kế hoạch định kỳ'!$W13)/'Kế hoạch định kỳ'!$X13)+1))&gt;0,IF(EOMONTH(I$5,0)&lt;'Tổng quan'!$B$11,"✖","○"),"")))</f>
        <v>✔</v>
      </c>
      <c r="J13" s="61" t="str">
        <f>IF($A13="","",IF(COUNTIFS('Nhật ký bảo trì'!$D$6:$D$405,$A13,'Nhật ký bảo trì'!$Q$6:$Q$405,"Hoàn thành",'Nhật ký bảo trì'!$B$6:$B$405,"&gt;="&amp;J$5,'Nhật ký bảo trì'!$B$6:$B$405,"&lt;="&amp;EOMONTH(J$5,0))&gt;0,"✔",IF(((EOMONTH(J$5,0)&gt;='Kế hoạch định kỳ'!$W13)*(INT((EOMONTH(J$5,0)-'Kế hoạch định kỳ'!$W13)/'Kế hoạch định kỳ'!$X13)+1)-(J$5-1&gt;='Kế hoạch định kỳ'!$W13)*(INT((J$5-1-'Kế hoạch định kỳ'!$W13)/'Kế hoạch định kỳ'!$X13)+1))&gt;0,IF(EOMONTH(J$5,0)&lt;'Tổng quan'!$B$11,"✖","○"),"")))</f>
        <v/>
      </c>
      <c r="K13" s="61" t="str">
        <f>IF($A13="","",IF(COUNTIFS('Nhật ký bảo trì'!$D$6:$D$405,$A13,'Nhật ký bảo trì'!$Q$6:$Q$405,"Hoàn thành",'Nhật ký bảo trì'!$B$6:$B$405,"&gt;="&amp;K$5,'Nhật ký bảo trì'!$B$6:$B$405,"&lt;="&amp;EOMONTH(K$5,0))&gt;0,"✔",IF(((EOMONTH(K$5,0)&gt;='Kế hoạch định kỳ'!$W13)*(INT((EOMONTH(K$5,0)-'Kế hoạch định kỳ'!$W13)/'Kế hoạch định kỳ'!$X13)+1)-(K$5-1&gt;='Kế hoạch định kỳ'!$W13)*(INT((K$5-1-'Kế hoạch định kỳ'!$W13)/'Kế hoạch định kỳ'!$X13)+1))&gt;0,IF(EOMONTH(K$5,0)&lt;'Tổng quan'!$B$11,"✖","○"),"")))</f>
        <v/>
      </c>
      <c r="L13" s="61" t="str">
        <f>IF($A13="","",IF(COUNTIFS('Nhật ký bảo trì'!$D$6:$D$405,$A13,'Nhật ký bảo trì'!$Q$6:$Q$405,"Hoàn thành",'Nhật ký bảo trì'!$B$6:$B$405,"&gt;="&amp;L$5,'Nhật ký bảo trì'!$B$6:$B$405,"&lt;="&amp;EOMONTH(L$5,0))&gt;0,"✔",IF(((EOMONTH(L$5,0)&gt;='Kế hoạch định kỳ'!$W13)*(INT((EOMONTH(L$5,0)-'Kế hoạch định kỳ'!$W13)/'Kế hoạch định kỳ'!$X13)+1)-(L$5-1&gt;='Kế hoạch định kỳ'!$W13)*(INT((L$5-1-'Kế hoạch định kỳ'!$W13)/'Kế hoạch định kỳ'!$X13)+1))&gt;0,IF(EOMONTH(L$5,0)&lt;'Tổng quan'!$B$11,"✖","○"),"")))</f>
        <v/>
      </c>
      <c r="M13" s="61" t="str">
        <f>IF($A13="","",IF(COUNTIFS('Nhật ký bảo trì'!$D$6:$D$405,$A13,'Nhật ký bảo trì'!$Q$6:$Q$405,"Hoàn thành",'Nhật ký bảo trì'!$B$6:$B$405,"&gt;="&amp;M$5,'Nhật ký bảo trì'!$B$6:$B$405,"&lt;="&amp;EOMONTH(M$5,0))&gt;0,"✔",IF(((EOMONTH(M$5,0)&gt;='Kế hoạch định kỳ'!$W13)*(INT((EOMONTH(M$5,0)-'Kế hoạch định kỳ'!$W13)/'Kế hoạch định kỳ'!$X13)+1)-(M$5-1&gt;='Kế hoạch định kỳ'!$W13)*(INT((M$5-1-'Kế hoạch định kỳ'!$W13)/'Kế hoạch định kỳ'!$X13)+1))&gt;0,IF(EOMONTH(M$5,0)&lt;'Tổng quan'!$B$11,"✖","○"),"")))</f>
        <v/>
      </c>
      <c r="N13" s="61" t="str">
        <f>IF($A13="","",IF(COUNTIFS('Nhật ký bảo trì'!$D$6:$D$405,$A13,'Nhật ký bảo trì'!$Q$6:$Q$405,"Hoàn thành",'Nhật ký bảo trì'!$B$6:$B$405,"&gt;="&amp;N$5,'Nhật ký bảo trì'!$B$6:$B$405,"&lt;="&amp;EOMONTH(N$5,0))&gt;0,"✔",IF(((EOMONTH(N$5,0)&gt;='Kế hoạch định kỳ'!$W13)*(INT((EOMONTH(N$5,0)-'Kế hoạch định kỳ'!$W13)/'Kế hoạch định kỳ'!$X13)+1)-(N$5-1&gt;='Kế hoạch định kỳ'!$W13)*(INT((N$5-1-'Kế hoạch định kỳ'!$W13)/'Kế hoạch định kỳ'!$X13)+1))&gt;0,IF(EOMONTH(N$5,0)&lt;'Tổng quan'!$B$11,"✖","○"),"")))</f>
        <v/>
      </c>
      <c r="O13" s="61" t="str">
        <f>IF($A13="","",IF(COUNTIFS('Nhật ký bảo trì'!$D$6:$D$405,$A13,'Nhật ký bảo trì'!$Q$6:$Q$405,"Hoàn thành",'Nhật ký bảo trì'!$B$6:$B$405,"&gt;="&amp;O$5,'Nhật ký bảo trì'!$B$6:$B$405,"&lt;="&amp;EOMONTH(O$5,0))&gt;0,"✔",IF(((EOMONTH(O$5,0)&gt;='Kế hoạch định kỳ'!$W13)*(INT((EOMONTH(O$5,0)-'Kế hoạch định kỳ'!$W13)/'Kế hoạch định kỳ'!$X13)+1)-(O$5-1&gt;='Kế hoạch định kỳ'!$W13)*(INT((O$5-1-'Kế hoạch định kỳ'!$W13)/'Kế hoạch định kỳ'!$X13)+1))&gt;0,IF(EOMONTH(O$5,0)&lt;'Tổng quan'!$B$11,"✖","○"),"")))</f>
        <v/>
      </c>
      <c r="P13" s="61" t="str">
        <f>IF($A13="","",IF(COUNTIFS('Nhật ký bảo trì'!$D$6:$D$405,$A13,'Nhật ký bảo trì'!$Q$6:$Q$405,"Hoàn thành",'Nhật ký bảo trì'!$B$6:$B$405,"&gt;="&amp;P$5,'Nhật ký bảo trì'!$B$6:$B$405,"&lt;="&amp;EOMONTH(P$5,0))&gt;0,"✔",IF(((EOMONTH(P$5,0)&gt;='Kế hoạch định kỳ'!$W13)*(INT((EOMONTH(P$5,0)-'Kế hoạch định kỳ'!$W13)/'Kế hoạch định kỳ'!$X13)+1)-(P$5-1&gt;='Kế hoạch định kỳ'!$W13)*(INT((P$5-1-'Kế hoạch định kỳ'!$W13)/'Kế hoạch định kỳ'!$X13)+1))&gt;0,IF(EOMONTH(P$5,0)&lt;'Tổng quan'!$B$11,"✖","○"),"")))</f>
        <v/>
      </c>
      <c r="Q13" s="30">
        <f>IF($A13="","",COUNTIFS('Nhật ký bảo trì'!$D$6:$D$405,$A13,'Nhật ký bảo trì'!$Q$6:$Q$405,"Hoàn thành",'Nhật ký bảo trì'!$B$6:$B$405,"&gt;="&amp;DATE('Tổng quan'!$B$6,1,1),'Nhật ký bảo trì'!$B$6:$B$405,"&lt;="&amp;DATE('Tổng quan'!$B$6,12,31)))</f>
        <v>1</v>
      </c>
      <c r="R13" s="30">
        <f t="shared" si="1"/>
        <v>0</v>
      </c>
    </row>
    <row r="14" ht="24.0" customHeight="1">
      <c r="A14" s="10" t="str">
        <f>IF('Kế hoạch định kỳ'!$B14="","",'Kế hoạch định kỳ'!$B14)</f>
        <v>KH009</v>
      </c>
      <c r="B14" s="14" t="str">
        <f>IF('Kế hoạch định kỳ'!$B14="","",'Kế hoạch định kỳ'!$D14)</f>
        <v>Trạm biến áp 1000kVA</v>
      </c>
      <c r="C14" s="18" t="str">
        <f>IF('Kế hoạch định kỳ'!$B14="","",'Kế hoạch định kỳ'!$F14)</f>
        <v>Đo nhiệt độ mối nối, vệ sinh tủ trung thế</v>
      </c>
      <c r="D14" s="10" t="str">
        <f>IF('Kế hoạch định kỳ'!$B14="","",IF('Kế hoạch định kỳ'!$I14&lt;&gt;"",'Kế hoạch định kỳ'!$I14&amp;" ngày",'Kế hoạch định kỳ'!$H14))</f>
        <v>Hằng quý</v>
      </c>
      <c r="E14" s="24" t="str">
        <f>IF($A14="","",IF(COUNTIFS('Nhật ký bảo trì'!$D$6:$D$405,$A14,'Nhật ký bảo trì'!$Q$6:$Q$405,"Hoàn thành",'Nhật ký bảo trì'!$B$6:$B$405,"&gt;="&amp;E$5,'Nhật ký bảo trì'!$B$6:$B$405,"&lt;="&amp;EOMONTH(E$5,0))&gt;0,"✔",IF(((EOMONTH(E$5,0)&gt;='Kế hoạch định kỳ'!$W14)*(INT((EOMONTH(E$5,0)-'Kế hoạch định kỳ'!$W14)/'Kế hoạch định kỳ'!$X14)+1)-(E$5-1&gt;='Kế hoạch định kỳ'!$W14)*(INT((E$5-1-'Kế hoạch định kỳ'!$W14)/'Kế hoạch định kỳ'!$X14)+1))&gt;0,IF(EOMONTH(E$5,0)&lt;'Tổng quan'!$B$11,"✖","○"),"")))</f>
        <v>✔</v>
      </c>
      <c r="F14" s="24" t="str">
        <f>IF($A14="","",IF(COUNTIFS('Nhật ký bảo trì'!$D$6:$D$405,$A14,'Nhật ký bảo trì'!$Q$6:$Q$405,"Hoàn thành",'Nhật ký bảo trì'!$B$6:$B$405,"&gt;="&amp;F$5,'Nhật ký bảo trì'!$B$6:$B$405,"&lt;="&amp;EOMONTH(F$5,0))&gt;0,"✔",IF(((EOMONTH(F$5,0)&gt;='Kế hoạch định kỳ'!$W14)*(INT((EOMONTH(F$5,0)-'Kế hoạch định kỳ'!$W14)/'Kế hoạch định kỳ'!$X14)+1)-(F$5-1&gt;='Kế hoạch định kỳ'!$W14)*(INT((F$5-1-'Kế hoạch định kỳ'!$W14)/'Kế hoạch định kỳ'!$X14)+1))&gt;0,IF(EOMONTH(F$5,0)&lt;'Tổng quan'!$B$11,"✖","○"),"")))</f>
        <v/>
      </c>
      <c r="G14" s="24" t="str">
        <f>IF($A14="","",IF(COUNTIFS('Nhật ký bảo trì'!$D$6:$D$405,$A14,'Nhật ký bảo trì'!$Q$6:$Q$405,"Hoàn thành",'Nhật ký bảo trì'!$B$6:$B$405,"&gt;="&amp;G$5,'Nhật ký bảo trì'!$B$6:$B$405,"&lt;="&amp;EOMONTH(G$5,0))&gt;0,"✔",IF(((EOMONTH(G$5,0)&gt;='Kế hoạch định kỳ'!$W14)*(INT((EOMONTH(G$5,0)-'Kế hoạch định kỳ'!$W14)/'Kế hoạch định kỳ'!$X14)+1)-(G$5-1&gt;='Kế hoạch định kỳ'!$W14)*(INT((G$5-1-'Kế hoạch định kỳ'!$W14)/'Kế hoạch định kỳ'!$X14)+1))&gt;0,IF(EOMONTH(G$5,0)&lt;'Tổng quan'!$B$11,"✖","○"),"")))</f>
        <v/>
      </c>
      <c r="H14" s="24" t="str">
        <f>IF($A14="","",IF(COUNTIFS('Nhật ký bảo trì'!$D$6:$D$405,$A14,'Nhật ký bảo trì'!$Q$6:$Q$405,"Hoàn thành",'Nhật ký bảo trì'!$B$6:$B$405,"&gt;="&amp;H$5,'Nhật ký bảo trì'!$B$6:$B$405,"&lt;="&amp;EOMONTH(H$5,0))&gt;0,"✔",IF(((EOMONTH(H$5,0)&gt;='Kế hoạch định kỳ'!$W14)*(INT((EOMONTH(H$5,0)-'Kế hoạch định kỳ'!$W14)/'Kế hoạch định kỳ'!$X14)+1)-(H$5-1&gt;='Kế hoạch định kỳ'!$W14)*(INT((H$5-1-'Kế hoạch định kỳ'!$W14)/'Kế hoạch định kỳ'!$X14)+1))&gt;0,IF(EOMONTH(H$5,0)&lt;'Tổng quan'!$B$11,"✖","○"),"")))</f>
        <v>✔</v>
      </c>
      <c r="I14" s="24" t="str">
        <f>IF($A14="","",IF(COUNTIFS('Nhật ký bảo trì'!$D$6:$D$405,$A14,'Nhật ký bảo trì'!$Q$6:$Q$405,"Hoàn thành",'Nhật ký bảo trì'!$B$6:$B$405,"&gt;="&amp;I$5,'Nhật ký bảo trì'!$B$6:$B$405,"&lt;="&amp;EOMONTH(I$5,0))&gt;0,"✔",IF(((EOMONTH(I$5,0)&gt;='Kế hoạch định kỳ'!$W14)*(INT((EOMONTH(I$5,0)-'Kế hoạch định kỳ'!$W14)/'Kế hoạch định kỳ'!$X14)+1)-(I$5-1&gt;='Kế hoạch định kỳ'!$W14)*(INT((I$5-1-'Kế hoạch định kỳ'!$W14)/'Kế hoạch định kỳ'!$X14)+1))&gt;0,IF(EOMONTH(I$5,0)&lt;'Tổng quan'!$B$11,"✖","○"),"")))</f>
        <v/>
      </c>
      <c r="J14" s="24" t="str">
        <f>IF($A14="","",IF(COUNTIFS('Nhật ký bảo trì'!$D$6:$D$405,$A14,'Nhật ký bảo trì'!$Q$6:$Q$405,"Hoàn thành",'Nhật ký bảo trì'!$B$6:$B$405,"&gt;="&amp;J$5,'Nhật ký bảo trì'!$B$6:$B$405,"&lt;="&amp;EOMONTH(J$5,0))&gt;0,"✔",IF(((EOMONTH(J$5,0)&gt;='Kế hoạch định kỳ'!$W14)*(INT((EOMONTH(J$5,0)-'Kế hoạch định kỳ'!$W14)/'Kế hoạch định kỳ'!$X14)+1)-(J$5-1&gt;='Kế hoạch định kỳ'!$W14)*(INT((J$5-1-'Kế hoạch định kỳ'!$W14)/'Kế hoạch định kỳ'!$X14)+1))&gt;0,IF(EOMONTH(J$5,0)&lt;'Tổng quan'!$B$11,"✖","○"),"")))</f>
        <v/>
      </c>
      <c r="K14" s="24" t="str">
        <f>IF($A14="","",IF(COUNTIFS('Nhật ký bảo trì'!$D$6:$D$405,$A14,'Nhật ký bảo trì'!$Q$6:$Q$405,"Hoàn thành",'Nhật ký bảo trì'!$B$6:$B$405,"&gt;="&amp;K$5,'Nhật ký bảo trì'!$B$6:$B$405,"&lt;="&amp;EOMONTH(K$5,0))&gt;0,"✔",IF(((EOMONTH(K$5,0)&gt;='Kế hoạch định kỳ'!$W14)*(INT((EOMONTH(K$5,0)-'Kế hoạch định kỳ'!$W14)/'Kế hoạch định kỳ'!$X14)+1)-(K$5-1&gt;='Kế hoạch định kỳ'!$W14)*(INT((K$5-1-'Kế hoạch định kỳ'!$W14)/'Kế hoạch định kỳ'!$X14)+1))&gt;0,IF(EOMONTH(K$5,0)&lt;'Tổng quan'!$B$11,"✖","○"),"")))</f>
        <v>✔</v>
      </c>
      <c r="L14" s="24" t="str">
        <f>IF($A14="","",IF(COUNTIFS('Nhật ký bảo trì'!$D$6:$D$405,$A14,'Nhật ký bảo trì'!$Q$6:$Q$405,"Hoàn thành",'Nhật ký bảo trì'!$B$6:$B$405,"&gt;="&amp;L$5,'Nhật ký bảo trì'!$B$6:$B$405,"&lt;="&amp;EOMONTH(L$5,0))&gt;0,"✔",IF(((EOMONTH(L$5,0)&gt;='Kế hoạch định kỳ'!$W14)*(INT((EOMONTH(L$5,0)-'Kế hoạch định kỳ'!$W14)/'Kế hoạch định kỳ'!$X14)+1)-(L$5-1&gt;='Kế hoạch định kỳ'!$W14)*(INT((L$5-1-'Kế hoạch định kỳ'!$W14)/'Kế hoạch định kỳ'!$X14)+1))&gt;0,IF(EOMONTH(L$5,0)&lt;'Tổng quan'!$B$11,"✖","○"),"")))</f>
        <v/>
      </c>
      <c r="M14" s="24" t="str">
        <f>IF($A14="","",IF(COUNTIFS('Nhật ký bảo trì'!$D$6:$D$405,$A14,'Nhật ký bảo trì'!$Q$6:$Q$405,"Hoàn thành",'Nhật ký bảo trì'!$B$6:$B$405,"&gt;="&amp;M$5,'Nhật ký bảo trì'!$B$6:$B$405,"&lt;="&amp;EOMONTH(M$5,0))&gt;0,"✔",IF(((EOMONTH(M$5,0)&gt;='Kế hoạch định kỳ'!$W14)*(INT((EOMONTH(M$5,0)-'Kế hoạch định kỳ'!$W14)/'Kế hoạch định kỳ'!$X14)+1)-(M$5-1&gt;='Kế hoạch định kỳ'!$W14)*(INT((M$5-1-'Kế hoạch định kỳ'!$W14)/'Kế hoạch định kỳ'!$X14)+1))&gt;0,IF(EOMONTH(M$5,0)&lt;'Tổng quan'!$B$11,"✖","○"),"")))</f>
        <v/>
      </c>
      <c r="N14" s="24" t="str">
        <f>IF($A14="","",IF(COUNTIFS('Nhật ký bảo trì'!$D$6:$D$405,$A14,'Nhật ký bảo trì'!$Q$6:$Q$405,"Hoàn thành",'Nhật ký bảo trì'!$B$6:$B$405,"&gt;="&amp;N$5,'Nhật ký bảo trì'!$B$6:$B$405,"&lt;="&amp;EOMONTH(N$5,0))&gt;0,"✔",IF(((EOMONTH(N$5,0)&gt;='Kế hoạch định kỳ'!$W14)*(INT((EOMONTH(N$5,0)-'Kế hoạch định kỳ'!$W14)/'Kế hoạch định kỳ'!$X14)+1)-(N$5-1&gt;='Kế hoạch định kỳ'!$W14)*(INT((N$5-1-'Kế hoạch định kỳ'!$W14)/'Kế hoạch định kỳ'!$X14)+1))&gt;0,IF(EOMONTH(N$5,0)&lt;'Tổng quan'!$B$11,"✖","○"),"")))</f>
        <v>○</v>
      </c>
      <c r="O14" s="24" t="str">
        <f>IF($A14="","",IF(COUNTIFS('Nhật ký bảo trì'!$D$6:$D$405,$A14,'Nhật ký bảo trì'!$Q$6:$Q$405,"Hoàn thành",'Nhật ký bảo trì'!$B$6:$B$405,"&gt;="&amp;O$5,'Nhật ký bảo trì'!$B$6:$B$405,"&lt;="&amp;EOMONTH(O$5,0))&gt;0,"✔",IF(((EOMONTH(O$5,0)&gt;='Kế hoạch định kỳ'!$W14)*(INT((EOMONTH(O$5,0)-'Kế hoạch định kỳ'!$W14)/'Kế hoạch định kỳ'!$X14)+1)-(O$5-1&gt;='Kế hoạch định kỳ'!$W14)*(INT((O$5-1-'Kế hoạch định kỳ'!$W14)/'Kế hoạch định kỳ'!$X14)+1))&gt;0,IF(EOMONTH(O$5,0)&lt;'Tổng quan'!$B$11,"✖","○"),"")))</f>
        <v/>
      </c>
      <c r="P14" s="24" t="str">
        <f>IF($A14="","",IF(COUNTIFS('Nhật ký bảo trì'!$D$6:$D$405,$A14,'Nhật ký bảo trì'!$Q$6:$Q$405,"Hoàn thành",'Nhật ký bảo trì'!$B$6:$B$405,"&gt;="&amp;P$5,'Nhật ký bảo trì'!$B$6:$B$405,"&lt;="&amp;EOMONTH(P$5,0))&gt;0,"✔",IF(((EOMONTH(P$5,0)&gt;='Kế hoạch định kỳ'!$W14)*(INT((EOMONTH(P$5,0)-'Kế hoạch định kỳ'!$W14)/'Kế hoạch định kỳ'!$X14)+1)-(P$5-1&gt;='Kế hoạch định kỳ'!$W14)*(INT((P$5-1-'Kế hoạch định kỳ'!$W14)/'Kế hoạch định kỳ'!$X14)+1))&gt;0,IF(EOMONTH(P$5,0)&lt;'Tổng quan'!$B$11,"✖","○"),"")))</f>
        <v/>
      </c>
      <c r="Q14" s="16">
        <f>IF($A14="","",COUNTIFS('Nhật ký bảo trì'!$D$6:$D$405,$A14,'Nhật ký bảo trì'!$Q$6:$Q$405,"Hoàn thành",'Nhật ký bảo trì'!$B$6:$B$405,"&gt;="&amp;DATE('Tổng quan'!$B$6,1,1),'Nhật ký bảo trì'!$B$6:$B$405,"&lt;="&amp;DATE('Tổng quan'!$B$6,12,31)))</f>
        <v>3</v>
      </c>
      <c r="R14" s="16">
        <f t="shared" si="1"/>
        <v>1</v>
      </c>
    </row>
    <row r="15" ht="24.0" customHeight="1">
      <c r="A15" s="26" t="str">
        <f>IF('Kế hoạch định kỳ'!$B15="","",'Kế hoạch định kỳ'!$B15)</f>
        <v>KH010</v>
      </c>
      <c r="B15" s="28" t="str">
        <f>IF('Kế hoạch định kỳ'!$B15="","",'Kế hoạch định kỳ'!$D15)</f>
        <v>Trạm biến áp 1000kVA</v>
      </c>
      <c r="C15" s="56" t="str">
        <f>IF('Kế hoạch định kỳ'!$B15="","",'Kế hoạch định kỳ'!$F15)</f>
        <v>Thử nghiệm dầu máy biến áp</v>
      </c>
      <c r="D15" s="26" t="str">
        <f>IF('Kế hoạch định kỳ'!$B15="","",IF('Kế hoạch định kỳ'!$I15&lt;&gt;"",'Kế hoạch định kỳ'!$I15&amp;" ngày",'Kế hoạch định kỳ'!$H15))</f>
        <v>Hằng năm</v>
      </c>
      <c r="E15" s="61" t="str">
        <f>IF($A15="","",IF(COUNTIFS('Nhật ký bảo trì'!$D$6:$D$405,$A15,'Nhật ký bảo trì'!$Q$6:$Q$405,"Hoàn thành",'Nhật ký bảo trì'!$B$6:$B$405,"&gt;="&amp;E$5,'Nhật ký bảo trì'!$B$6:$B$405,"&lt;="&amp;EOMONTH(E$5,0))&gt;0,"✔",IF(((EOMONTH(E$5,0)&gt;='Kế hoạch định kỳ'!$W15)*(INT((EOMONTH(E$5,0)-'Kế hoạch định kỳ'!$W15)/'Kế hoạch định kỳ'!$X15)+1)-(E$5-1&gt;='Kế hoạch định kỳ'!$W15)*(INT((E$5-1-'Kế hoạch định kỳ'!$W15)/'Kế hoạch định kỳ'!$X15)+1))&gt;0,IF(EOMONTH(E$5,0)&lt;'Tổng quan'!$B$11,"✖","○"),"")))</f>
        <v>✔</v>
      </c>
      <c r="F15" s="61" t="str">
        <f>IF($A15="","",IF(COUNTIFS('Nhật ký bảo trì'!$D$6:$D$405,$A15,'Nhật ký bảo trì'!$Q$6:$Q$405,"Hoàn thành",'Nhật ký bảo trì'!$B$6:$B$405,"&gt;="&amp;F$5,'Nhật ký bảo trì'!$B$6:$B$405,"&lt;="&amp;EOMONTH(F$5,0))&gt;0,"✔",IF(((EOMONTH(F$5,0)&gt;='Kế hoạch định kỳ'!$W15)*(INT((EOMONTH(F$5,0)-'Kế hoạch định kỳ'!$W15)/'Kế hoạch định kỳ'!$X15)+1)-(F$5-1&gt;='Kế hoạch định kỳ'!$W15)*(INT((F$5-1-'Kế hoạch định kỳ'!$W15)/'Kế hoạch định kỳ'!$X15)+1))&gt;0,IF(EOMONTH(F$5,0)&lt;'Tổng quan'!$B$11,"✖","○"),"")))</f>
        <v/>
      </c>
      <c r="G15" s="61" t="str">
        <f>IF($A15="","",IF(COUNTIFS('Nhật ký bảo trì'!$D$6:$D$405,$A15,'Nhật ký bảo trì'!$Q$6:$Q$405,"Hoàn thành",'Nhật ký bảo trì'!$B$6:$B$405,"&gt;="&amp;G$5,'Nhật ký bảo trì'!$B$6:$B$405,"&lt;="&amp;EOMONTH(G$5,0))&gt;0,"✔",IF(((EOMONTH(G$5,0)&gt;='Kế hoạch định kỳ'!$W15)*(INT((EOMONTH(G$5,0)-'Kế hoạch định kỳ'!$W15)/'Kế hoạch định kỳ'!$X15)+1)-(G$5-1&gt;='Kế hoạch định kỳ'!$W15)*(INT((G$5-1-'Kế hoạch định kỳ'!$W15)/'Kế hoạch định kỳ'!$X15)+1))&gt;0,IF(EOMONTH(G$5,0)&lt;'Tổng quan'!$B$11,"✖","○"),"")))</f>
        <v/>
      </c>
      <c r="H15" s="61" t="str">
        <f>IF($A15="","",IF(COUNTIFS('Nhật ký bảo trì'!$D$6:$D$405,$A15,'Nhật ký bảo trì'!$Q$6:$Q$405,"Hoàn thành",'Nhật ký bảo trì'!$B$6:$B$405,"&gt;="&amp;H$5,'Nhật ký bảo trì'!$B$6:$B$405,"&lt;="&amp;EOMONTH(H$5,0))&gt;0,"✔",IF(((EOMONTH(H$5,0)&gt;='Kế hoạch định kỳ'!$W15)*(INT((EOMONTH(H$5,0)-'Kế hoạch định kỳ'!$W15)/'Kế hoạch định kỳ'!$X15)+1)-(H$5-1&gt;='Kế hoạch định kỳ'!$W15)*(INT((H$5-1-'Kế hoạch định kỳ'!$W15)/'Kế hoạch định kỳ'!$X15)+1))&gt;0,IF(EOMONTH(H$5,0)&lt;'Tổng quan'!$B$11,"✖","○"),"")))</f>
        <v/>
      </c>
      <c r="I15" s="61" t="str">
        <f>IF($A15="","",IF(COUNTIFS('Nhật ký bảo trì'!$D$6:$D$405,$A15,'Nhật ký bảo trì'!$Q$6:$Q$405,"Hoàn thành",'Nhật ký bảo trì'!$B$6:$B$405,"&gt;="&amp;I$5,'Nhật ký bảo trì'!$B$6:$B$405,"&lt;="&amp;EOMONTH(I$5,0))&gt;0,"✔",IF(((EOMONTH(I$5,0)&gt;='Kế hoạch định kỳ'!$W15)*(INT((EOMONTH(I$5,0)-'Kế hoạch định kỳ'!$W15)/'Kế hoạch định kỳ'!$X15)+1)-(I$5-1&gt;='Kế hoạch định kỳ'!$W15)*(INT((I$5-1-'Kế hoạch định kỳ'!$W15)/'Kế hoạch định kỳ'!$X15)+1))&gt;0,IF(EOMONTH(I$5,0)&lt;'Tổng quan'!$B$11,"✖","○"),"")))</f>
        <v/>
      </c>
      <c r="J15" s="61" t="str">
        <f>IF($A15="","",IF(COUNTIFS('Nhật ký bảo trì'!$D$6:$D$405,$A15,'Nhật ký bảo trì'!$Q$6:$Q$405,"Hoàn thành",'Nhật ký bảo trì'!$B$6:$B$405,"&gt;="&amp;J$5,'Nhật ký bảo trì'!$B$6:$B$405,"&lt;="&amp;EOMONTH(J$5,0))&gt;0,"✔",IF(((EOMONTH(J$5,0)&gt;='Kế hoạch định kỳ'!$W15)*(INT((EOMONTH(J$5,0)-'Kế hoạch định kỳ'!$W15)/'Kế hoạch định kỳ'!$X15)+1)-(J$5-1&gt;='Kế hoạch định kỳ'!$W15)*(INT((J$5-1-'Kế hoạch định kỳ'!$W15)/'Kế hoạch định kỳ'!$X15)+1))&gt;0,IF(EOMONTH(J$5,0)&lt;'Tổng quan'!$B$11,"✖","○"),"")))</f>
        <v/>
      </c>
      <c r="K15" s="61" t="str">
        <f>IF($A15="","",IF(COUNTIFS('Nhật ký bảo trì'!$D$6:$D$405,$A15,'Nhật ký bảo trì'!$Q$6:$Q$405,"Hoàn thành",'Nhật ký bảo trì'!$B$6:$B$405,"&gt;="&amp;K$5,'Nhật ký bảo trì'!$B$6:$B$405,"&lt;="&amp;EOMONTH(K$5,0))&gt;0,"✔",IF(((EOMONTH(K$5,0)&gt;='Kế hoạch định kỳ'!$W15)*(INT((EOMONTH(K$5,0)-'Kế hoạch định kỳ'!$W15)/'Kế hoạch định kỳ'!$X15)+1)-(K$5-1&gt;='Kế hoạch định kỳ'!$W15)*(INT((K$5-1-'Kế hoạch định kỳ'!$W15)/'Kế hoạch định kỳ'!$X15)+1))&gt;0,IF(EOMONTH(K$5,0)&lt;'Tổng quan'!$B$11,"✖","○"),"")))</f>
        <v/>
      </c>
      <c r="L15" s="61" t="str">
        <f>IF($A15="","",IF(COUNTIFS('Nhật ký bảo trì'!$D$6:$D$405,$A15,'Nhật ký bảo trì'!$Q$6:$Q$405,"Hoàn thành",'Nhật ký bảo trì'!$B$6:$B$405,"&gt;="&amp;L$5,'Nhật ký bảo trì'!$B$6:$B$405,"&lt;="&amp;EOMONTH(L$5,0))&gt;0,"✔",IF(((EOMONTH(L$5,0)&gt;='Kế hoạch định kỳ'!$W15)*(INT((EOMONTH(L$5,0)-'Kế hoạch định kỳ'!$W15)/'Kế hoạch định kỳ'!$X15)+1)-(L$5-1&gt;='Kế hoạch định kỳ'!$W15)*(INT((L$5-1-'Kế hoạch định kỳ'!$W15)/'Kế hoạch định kỳ'!$X15)+1))&gt;0,IF(EOMONTH(L$5,0)&lt;'Tổng quan'!$B$11,"✖","○"),"")))</f>
        <v/>
      </c>
      <c r="M15" s="61" t="str">
        <f>IF($A15="","",IF(COUNTIFS('Nhật ký bảo trì'!$D$6:$D$405,$A15,'Nhật ký bảo trì'!$Q$6:$Q$405,"Hoàn thành",'Nhật ký bảo trì'!$B$6:$B$405,"&gt;="&amp;M$5,'Nhật ký bảo trì'!$B$6:$B$405,"&lt;="&amp;EOMONTH(M$5,0))&gt;0,"✔",IF(((EOMONTH(M$5,0)&gt;='Kế hoạch định kỳ'!$W15)*(INT((EOMONTH(M$5,0)-'Kế hoạch định kỳ'!$W15)/'Kế hoạch định kỳ'!$X15)+1)-(M$5-1&gt;='Kế hoạch định kỳ'!$W15)*(INT((M$5-1-'Kế hoạch định kỳ'!$W15)/'Kế hoạch định kỳ'!$X15)+1))&gt;0,IF(EOMONTH(M$5,0)&lt;'Tổng quan'!$B$11,"✖","○"),"")))</f>
        <v/>
      </c>
      <c r="N15" s="61" t="str">
        <f>IF($A15="","",IF(COUNTIFS('Nhật ký bảo trì'!$D$6:$D$405,$A15,'Nhật ký bảo trì'!$Q$6:$Q$405,"Hoàn thành",'Nhật ký bảo trì'!$B$6:$B$405,"&gt;="&amp;N$5,'Nhật ký bảo trì'!$B$6:$B$405,"&lt;="&amp;EOMONTH(N$5,0))&gt;0,"✔",IF(((EOMONTH(N$5,0)&gt;='Kế hoạch định kỳ'!$W15)*(INT((EOMONTH(N$5,0)-'Kế hoạch định kỳ'!$W15)/'Kế hoạch định kỳ'!$X15)+1)-(N$5-1&gt;='Kế hoạch định kỳ'!$W15)*(INT((N$5-1-'Kế hoạch định kỳ'!$W15)/'Kế hoạch định kỳ'!$X15)+1))&gt;0,IF(EOMONTH(N$5,0)&lt;'Tổng quan'!$B$11,"✖","○"),"")))</f>
        <v/>
      </c>
      <c r="O15" s="61" t="str">
        <f>IF($A15="","",IF(COUNTIFS('Nhật ký bảo trì'!$D$6:$D$405,$A15,'Nhật ký bảo trì'!$Q$6:$Q$405,"Hoàn thành",'Nhật ký bảo trì'!$B$6:$B$405,"&gt;="&amp;O$5,'Nhật ký bảo trì'!$B$6:$B$405,"&lt;="&amp;EOMONTH(O$5,0))&gt;0,"✔",IF(((EOMONTH(O$5,0)&gt;='Kế hoạch định kỳ'!$W15)*(INT((EOMONTH(O$5,0)-'Kế hoạch định kỳ'!$W15)/'Kế hoạch định kỳ'!$X15)+1)-(O$5-1&gt;='Kế hoạch định kỳ'!$W15)*(INT((O$5-1-'Kế hoạch định kỳ'!$W15)/'Kế hoạch định kỳ'!$X15)+1))&gt;0,IF(EOMONTH(O$5,0)&lt;'Tổng quan'!$B$11,"✖","○"),"")))</f>
        <v/>
      </c>
      <c r="P15" s="61" t="str">
        <f>IF($A15="","",IF(COUNTIFS('Nhật ký bảo trì'!$D$6:$D$405,$A15,'Nhật ký bảo trì'!$Q$6:$Q$405,"Hoàn thành",'Nhật ký bảo trì'!$B$6:$B$405,"&gt;="&amp;P$5,'Nhật ký bảo trì'!$B$6:$B$405,"&lt;="&amp;EOMONTH(P$5,0))&gt;0,"✔",IF(((EOMONTH(P$5,0)&gt;='Kế hoạch định kỳ'!$W15)*(INT((EOMONTH(P$5,0)-'Kế hoạch định kỳ'!$W15)/'Kế hoạch định kỳ'!$X15)+1)-(P$5-1&gt;='Kế hoạch định kỳ'!$W15)*(INT((P$5-1-'Kế hoạch định kỳ'!$W15)/'Kế hoạch định kỳ'!$X15)+1))&gt;0,IF(EOMONTH(P$5,0)&lt;'Tổng quan'!$B$11,"✖","○"),"")))</f>
        <v/>
      </c>
      <c r="Q15" s="30">
        <f>IF($A15="","",COUNTIFS('Nhật ký bảo trì'!$D$6:$D$405,$A15,'Nhật ký bảo trì'!$Q$6:$Q$405,"Hoàn thành",'Nhật ký bảo trì'!$B$6:$B$405,"&gt;="&amp;DATE('Tổng quan'!$B$6,1,1),'Nhật ký bảo trì'!$B$6:$B$405,"&lt;="&amp;DATE('Tổng quan'!$B$6,12,31)))</f>
        <v>1</v>
      </c>
      <c r="R15" s="30">
        <f t="shared" si="1"/>
        <v>0</v>
      </c>
    </row>
    <row r="16" ht="24.0" customHeight="1">
      <c r="A16" s="10" t="str">
        <f>IF('Kế hoạch định kỳ'!$B16="","",'Kế hoạch định kỳ'!$B16)</f>
        <v>KH011</v>
      </c>
      <c r="B16" s="14" t="str">
        <f>IF('Kế hoạch định kỳ'!$B16="","",'Kế hoạch định kỳ'!$D16)</f>
        <v>Hệ thống điều hòa trung tâm Chiller</v>
      </c>
      <c r="C16" s="18" t="str">
        <f>IF('Kế hoạch định kỳ'!$B16="","",'Kế hoạch định kỳ'!$F16)</f>
        <v>Vệ sinh dàn trao đổi nhiệt, kiểm tra áp suất gas</v>
      </c>
      <c r="D16" s="10" t="str">
        <f>IF('Kế hoạch định kỳ'!$B16="","",IF('Kế hoạch định kỳ'!$I16&lt;&gt;"",'Kế hoạch định kỳ'!$I16&amp;" ngày",'Kế hoạch định kỳ'!$H16))</f>
        <v>Hằng quý</v>
      </c>
      <c r="E16" s="24" t="str">
        <f>IF($A16="","",IF(COUNTIFS('Nhật ký bảo trì'!$D$6:$D$405,$A16,'Nhật ký bảo trì'!$Q$6:$Q$405,"Hoàn thành",'Nhật ký bảo trì'!$B$6:$B$405,"&gt;="&amp;E$5,'Nhật ký bảo trì'!$B$6:$B$405,"&lt;="&amp;EOMONTH(E$5,0))&gt;0,"✔",IF(((EOMONTH(E$5,0)&gt;='Kế hoạch định kỳ'!$W16)*(INT((EOMONTH(E$5,0)-'Kế hoạch định kỳ'!$W16)/'Kế hoạch định kỳ'!$X16)+1)-(E$5-1&gt;='Kế hoạch định kỳ'!$W16)*(INT((E$5-1-'Kế hoạch định kỳ'!$W16)/'Kế hoạch định kỳ'!$X16)+1))&gt;0,IF(EOMONTH(E$5,0)&lt;'Tổng quan'!$B$11,"✖","○"),"")))</f>
        <v/>
      </c>
      <c r="F16" s="24" t="str">
        <f>IF($A16="","",IF(COUNTIFS('Nhật ký bảo trì'!$D$6:$D$405,$A16,'Nhật ký bảo trì'!$Q$6:$Q$405,"Hoàn thành",'Nhật ký bảo trì'!$B$6:$B$405,"&gt;="&amp;F$5,'Nhật ký bảo trì'!$B$6:$B$405,"&lt;="&amp;EOMONTH(F$5,0))&gt;0,"✔",IF(((EOMONTH(F$5,0)&gt;='Kế hoạch định kỳ'!$W16)*(INT((EOMONTH(F$5,0)-'Kế hoạch định kỳ'!$W16)/'Kế hoạch định kỳ'!$X16)+1)-(F$5-1&gt;='Kế hoạch định kỳ'!$W16)*(INT((F$5-1-'Kế hoạch định kỳ'!$W16)/'Kế hoạch định kỳ'!$X16)+1))&gt;0,IF(EOMONTH(F$5,0)&lt;'Tổng quan'!$B$11,"✖","○"),"")))</f>
        <v/>
      </c>
      <c r="G16" s="24" t="str">
        <f>IF($A16="","",IF(COUNTIFS('Nhật ký bảo trì'!$D$6:$D$405,$A16,'Nhật ký bảo trì'!$Q$6:$Q$405,"Hoàn thành",'Nhật ký bảo trì'!$B$6:$B$405,"&gt;="&amp;G$5,'Nhật ký bảo trì'!$B$6:$B$405,"&lt;="&amp;EOMONTH(G$5,0))&gt;0,"✔",IF(((EOMONTH(G$5,0)&gt;='Kế hoạch định kỳ'!$W16)*(INT((EOMONTH(G$5,0)-'Kế hoạch định kỳ'!$W16)/'Kế hoạch định kỳ'!$X16)+1)-(G$5-1&gt;='Kế hoạch định kỳ'!$W16)*(INT((G$5-1-'Kế hoạch định kỳ'!$W16)/'Kế hoạch định kỳ'!$X16)+1))&gt;0,IF(EOMONTH(G$5,0)&lt;'Tổng quan'!$B$11,"✖","○"),"")))</f>
        <v>✔</v>
      </c>
      <c r="H16" s="24" t="str">
        <f>IF($A16="","",IF(COUNTIFS('Nhật ký bảo trì'!$D$6:$D$405,$A16,'Nhật ký bảo trì'!$Q$6:$Q$405,"Hoàn thành",'Nhật ký bảo trì'!$B$6:$B$405,"&gt;="&amp;H$5,'Nhật ký bảo trì'!$B$6:$B$405,"&lt;="&amp;EOMONTH(H$5,0))&gt;0,"✔",IF(((EOMONTH(H$5,0)&gt;='Kế hoạch định kỳ'!$W16)*(INT((EOMONTH(H$5,0)-'Kế hoạch định kỳ'!$W16)/'Kế hoạch định kỳ'!$X16)+1)-(H$5-1&gt;='Kế hoạch định kỳ'!$W16)*(INT((H$5-1-'Kế hoạch định kỳ'!$W16)/'Kế hoạch định kỳ'!$X16)+1))&gt;0,IF(EOMONTH(H$5,0)&lt;'Tổng quan'!$B$11,"✖","○"),"")))</f>
        <v/>
      </c>
      <c r="I16" s="24" t="str">
        <f>IF($A16="","",IF(COUNTIFS('Nhật ký bảo trì'!$D$6:$D$405,$A16,'Nhật ký bảo trì'!$Q$6:$Q$405,"Hoàn thành",'Nhật ký bảo trì'!$B$6:$B$405,"&gt;="&amp;I$5,'Nhật ký bảo trì'!$B$6:$B$405,"&lt;="&amp;EOMONTH(I$5,0))&gt;0,"✔",IF(((EOMONTH(I$5,0)&gt;='Kế hoạch định kỳ'!$W16)*(INT((EOMONTH(I$5,0)-'Kế hoạch định kỳ'!$W16)/'Kế hoạch định kỳ'!$X16)+1)-(I$5-1&gt;='Kế hoạch định kỳ'!$W16)*(INT((I$5-1-'Kế hoạch định kỳ'!$W16)/'Kế hoạch định kỳ'!$X16)+1))&gt;0,IF(EOMONTH(I$5,0)&lt;'Tổng quan'!$B$11,"✖","○"),"")))</f>
        <v/>
      </c>
      <c r="J16" s="24" t="str">
        <f>IF($A16="","",IF(COUNTIFS('Nhật ký bảo trì'!$D$6:$D$405,$A16,'Nhật ký bảo trì'!$Q$6:$Q$405,"Hoàn thành",'Nhật ký bảo trì'!$B$6:$B$405,"&gt;="&amp;J$5,'Nhật ký bảo trì'!$B$6:$B$405,"&lt;="&amp;EOMONTH(J$5,0))&gt;0,"✔",IF(((EOMONTH(J$5,0)&gt;='Kế hoạch định kỳ'!$W16)*(INT((EOMONTH(J$5,0)-'Kế hoạch định kỳ'!$W16)/'Kế hoạch định kỳ'!$X16)+1)-(J$5-1&gt;='Kế hoạch định kỳ'!$W16)*(INT((J$5-1-'Kế hoạch định kỳ'!$W16)/'Kế hoạch định kỳ'!$X16)+1))&gt;0,IF(EOMONTH(J$5,0)&lt;'Tổng quan'!$B$11,"✖","○"),"")))</f>
        <v>✔</v>
      </c>
      <c r="K16" s="24" t="str">
        <f>IF($A16="","",IF(COUNTIFS('Nhật ký bảo trì'!$D$6:$D$405,$A16,'Nhật ký bảo trì'!$Q$6:$Q$405,"Hoàn thành",'Nhật ký bảo trì'!$B$6:$B$405,"&gt;="&amp;K$5,'Nhật ký bảo trì'!$B$6:$B$405,"&lt;="&amp;EOMONTH(K$5,0))&gt;0,"✔",IF(((EOMONTH(K$5,0)&gt;='Kế hoạch định kỳ'!$W16)*(INT((EOMONTH(K$5,0)-'Kế hoạch định kỳ'!$W16)/'Kế hoạch định kỳ'!$X16)+1)-(K$5-1&gt;='Kế hoạch định kỳ'!$W16)*(INT((K$5-1-'Kế hoạch định kỳ'!$W16)/'Kế hoạch định kỳ'!$X16)+1))&gt;0,IF(EOMONTH(K$5,0)&lt;'Tổng quan'!$B$11,"✖","○"),"")))</f>
        <v/>
      </c>
      <c r="L16" s="24" t="str">
        <f>IF($A16="","",IF(COUNTIFS('Nhật ký bảo trì'!$D$6:$D$405,$A16,'Nhật ký bảo trì'!$Q$6:$Q$405,"Hoàn thành",'Nhật ký bảo trì'!$B$6:$B$405,"&gt;="&amp;L$5,'Nhật ký bảo trì'!$B$6:$B$405,"&lt;="&amp;EOMONTH(L$5,0))&gt;0,"✔",IF(((EOMONTH(L$5,0)&gt;='Kế hoạch định kỳ'!$W16)*(INT((EOMONTH(L$5,0)-'Kế hoạch định kỳ'!$W16)/'Kế hoạch định kỳ'!$X16)+1)-(L$5-1&gt;='Kế hoạch định kỳ'!$W16)*(INT((L$5-1-'Kế hoạch định kỳ'!$W16)/'Kế hoạch định kỳ'!$X16)+1))&gt;0,IF(EOMONTH(L$5,0)&lt;'Tổng quan'!$B$11,"✖","○"),"")))</f>
        <v/>
      </c>
      <c r="M16" s="24" t="str">
        <f>IF($A16="","",IF(COUNTIFS('Nhật ký bảo trì'!$D$6:$D$405,$A16,'Nhật ký bảo trì'!$Q$6:$Q$405,"Hoàn thành",'Nhật ký bảo trì'!$B$6:$B$405,"&gt;="&amp;M$5,'Nhật ký bảo trì'!$B$6:$B$405,"&lt;="&amp;EOMONTH(M$5,0))&gt;0,"✔",IF(((EOMONTH(M$5,0)&gt;='Kế hoạch định kỳ'!$W16)*(INT((EOMONTH(M$5,0)-'Kế hoạch định kỳ'!$W16)/'Kế hoạch định kỳ'!$X16)+1)-(M$5-1&gt;='Kế hoạch định kỳ'!$W16)*(INT((M$5-1-'Kế hoạch định kỳ'!$W16)/'Kế hoạch định kỳ'!$X16)+1))&gt;0,IF(EOMONTH(M$5,0)&lt;'Tổng quan'!$B$11,"✖","○"),"")))</f>
        <v>✔</v>
      </c>
      <c r="N16" s="24" t="str">
        <f>IF($A16="","",IF(COUNTIFS('Nhật ký bảo trì'!$D$6:$D$405,$A16,'Nhật ký bảo trì'!$Q$6:$Q$405,"Hoàn thành",'Nhật ký bảo trì'!$B$6:$B$405,"&gt;="&amp;N$5,'Nhật ký bảo trì'!$B$6:$B$405,"&lt;="&amp;EOMONTH(N$5,0))&gt;0,"✔",IF(((EOMONTH(N$5,0)&gt;='Kế hoạch định kỳ'!$W16)*(INT((EOMONTH(N$5,0)-'Kế hoạch định kỳ'!$W16)/'Kế hoạch định kỳ'!$X16)+1)-(N$5-1&gt;='Kế hoạch định kỳ'!$W16)*(INT((N$5-1-'Kế hoạch định kỳ'!$W16)/'Kế hoạch định kỳ'!$X16)+1))&gt;0,IF(EOMONTH(N$5,0)&lt;'Tổng quan'!$B$11,"✖","○"),"")))</f>
        <v/>
      </c>
      <c r="O16" s="24" t="str">
        <f>IF($A16="","",IF(COUNTIFS('Nhật ký bảo trì'!$D$6:$D$405,$A16,'Nhật ký bảo trì'!$Q$6:$Q$405,"Hoàn thành",'Nhật ký bảo trì'!$B$6:$B$405,"&gt;="&amp;O$5,'Nhật ký bảo trì'!$B$6:$B$405,"&lt;="&amp;EOMONTH(O$5,0))&gt;0,"✔",IF(((EOMONTH(O$5,0)&gt;='Kế hoạch định kỳ'!$W16)*(INT((EOMONTH(O$5,0)-'Kế hoạch định kỳ'!$W16)/'Kế hoạch định kỳ'!$X16)+1)-(O$5-1&gt;='Kế hoạch định kỳ'!$W16)*(INT((O$5-1-'Kế hoạch định kỳ'!$W16)/'Kế hoạch định kỳ'!$X16)+1))&gt;0,IF(EOMONTH(O$5,0)&lt;'Tổng quan'!$B$11,"✖","○"),"")))</f>
        <v/>
      </c>
      <c r="P16" s="24" t="str">
        <f>IF($A16="","",IF(COUNTIFS('Nhật ký bảo trì'!$D$6:$D$405,$A16,'Nhật ký bảo trì'!$Q$6:$Q$405,"Hoàn thành",'Nhật ký bảo trì'!$B$6:$B$405,"&gt;="&amp;P$5,'Nhật ký bảo trì'!$B$6:$B$405,"&lt;="&amp;EOMONTH(P$5,0))&gt;0,"✔",IF(((EOMONTH(P$5,0)&gt;='Kế hoạch định kỳ'!$W16)*(INT((EOMONTH(P$5,0)-'Kế hoạch định kỳ'!$W16)/'Kế hoạch định kỳ'!$X16)+1)-(P$5-1&gt;='Kế hoạch định kỳ'!$W16)*(INT((P$5-1-'Kế hoạch định kỳ'!$W16)/'Kế hoạch định kỳ'!$X16)+1))&gt;0,IF(EOMONTH(P$5,0)&lt;'Tổng quan'!$B$11,"✖","○"),"")))</f>
        <v>○</v>
      </c>
      <c r="Q16" s="16">
        <f>IF($A16="","",COUNTIFS('Nhật ký bảo trì'!$D$6:$D$405,$A16,'Nhật ký bảo trì'!$Q$6:$Q$405,"Hoàn thành",'Nhật ký bảo trì'!$B$6:$B$405,"&gt;="&amp;DATE('Tổng quan'!$B$6,1,1),'Nhật ký bảo trì'!$B$6:$B$405,"&lt;="&amp;DATE('Tổng quan'!$B$6,12,31)))</f>
        <v>3</v>
      </c>
      <c r="R16" s="16">
        <f t="shared" si="1"/>
        <v>1</v>
      </c>
    </row>
    <row r="17" ht="24.0" customHeight="1">
      <c r="A17" s="26" t="str">
        <f>IF('Kế hoạch định kỳ'!$B17="","",'Kế hoạch định kỳ'!$B17)</f>
        <v>KH012</v>
      </c>
      <c r="B17" s="28" t="str">
        <f>IF('Kế hoạch định kỳ'!$B17="","",'Kế hoạch định kỳ'!$D17)</f>
        <v>Hệ thống điều hòa trung tâm Chiller</v>
      </c>
      <c r="C17" s="56" t="str">
        <f>IF('Kế hoạch định kỳ'!$B17="","",'Kế hoạch định kỳ'!$F17)</f>
        <v>Bảo dưỡng tổng thể Chiller</v>
      </c>
      <c r="D17" s="26" t="str">
        <f>IF('Kế hoạch định kỳ'!$B17="","",IF('Kế hoạch định kỳ'!$I17&lt;&gt;"",'Kế hoạch định kỳ'!$I17&amp;" ngày",'Kế hoạch định kỳ'!$H17))</f>
        <v>Hằng năm</v>
      </c>
      <c r="E17" s="61" t="str">
        <f>IF($A17="","",IF(COUNTIFS('Nhật ký bảo trì'!$D$6:$D$405,$A17,'Nhật ký bảo trì'!$Q$6:$Q$405,"Hoàn thành",'Nhật ký bảo trì'!$B$6:$B$405,"&gt;="&amp;E$5,'Nhật ký bảo trì'!$B$6:$B$405,"&lt;="&amp;EOMONTH(E$5,0))&gt;0,"✔",IF(((EOMONTH(E$5,0)&gt;='Kế hoạch định kỳ'!$W17)*(INT((EOMONTH(E$5,0)-'Kế hoạch định kỳ'!$W17)/'Kế hoạch định kỳ'!$X17)+1)-(E$5-1&gt;='Kế hoạch định kỳ'!$W17)*(INT((E$5-1-'Kế hoạch định kỳ'!$W17)/'Kế hoạch định kỳ'!$X17)+1))&gt;0,IF(EOMONTH(E$5,0)&lt;'Tổng quan'!$B$11,"✖","○"),"")))</f>
        <v/>
      </c>
      <c r="F17" s="61" t="str">
        <f>IF($A17="","",IF(COUNTIFS('Nhật ký bảo trì'!$D$6:$D$405,$A17,'Nhật ký bảo trì'!$Q$6:$Q$405,"Hoàn thành",'Nhật ký bảo trì'!$B$6:$B$405,"&gt;="&amp;F$5,'Nhật ký bảo trì'!$B$6:$B$405,"&lt;="&amp;EOMONTH(F$5,0))&gt;0,"✔",IF(((EOMONTH(F$5,0)&gt;='Kế hoạch định kỳ'!$W17)*(INT((EOMONTH(F$5,0)-'Kế hoạch định kỳ'!$W17)/'Kế hoạch định kỳ'!$X17)+1)-(F$5-1&gt;='Kế hoạch định kỳ'!$W17)*(INT((F$5-1-'Kế hoạch định kỳ'!$W17)/'Kế hoạch định kỳ'!$X17)+1))&gt;0,IF(EOMONTH(F$5,0)&lt;'Tổng quan'!$B$11,"✖","○"),"")))</f>
        <v/>
      </c>
      <c r="G17" s="61" t="str">
        <f>IF($A17="","",IF(COUNTIFS('Nhật ký bảo trì'!$D$6:$D$405,$A17,'Nhật ký bảo trì'!$Q$6:$Q$405,"Hoàn thành",'Nhật ký bảo trì'!$B$6:$B$405,"&gt;="&amp;G$5,'Nhật ký bảo trì'!$B$6:$B$405,"&lt;="&amp;EOMONTH(G$5,0))&gt;0,"✔",IF(((EOMONTH(G$5,0)&gt;='Kế hoạch định kỳ'!$W17)*(INT((EOMONTH(G$5,0)-'Kế hoạch định kỳ'!$W17)/'Kế hoạch định kỳ'!$X17)+1)-(G$5-1&gt;='Kế hoạch định kỳ'!$W17)*(INT((G$5-1-'Kế hoạch định kỳ'!$W17)/'Kế hoạch định kỳ'!$X17)+1))&gt;0,IF(EOMONTH(G$5,0)&lt;'Tổng quan'!$B$11,"✖","○"),"")))</f>
        <v/>
      </c>
      <c r="H17" s="61" t="str">
        <f>IF($A17="","",IF(COUNTIFS('Nhật ký bảo trì'!$D$6:$D$405,$A17,'Nhật ký bảo trì'!$Q$6:$Q$405,"Hoàn thành",'Nhật ký bảo trì'!$B$6:$B$405,"&gt;="&amp;H$5,'Nhật ký bảo trì'!$B$6:$B$405,"&lt;="&amp;EOMONTH(H$5,0))&gt;0,"✔",IF(((EOMONTH(H$5,0)&gt;='Kế hoạch định kỳ'!$W17)*(INT((EOMONTH(H$5,0)-'Kế hoạch định kỳ'!$W17)/'Kế hoạch định kỳ'!$X17)+1)-(H$5-1&gt;='Kế hoạch định kỳ'!$W17)*(INT((H$5-1-'Kế hoạch định kỳ'!$W17)/'Kế hoạch định kỳ'!$X17)+1))&gt;0,IF(EOMONTH(H$5,0)&lt;'Tổng quan'!$B$11,"✖","○"),"")))</f>
        <v/>
      </c>
      <c r="I17" s="61" t="str">
        <f>IF($A17="","",IF(COUNTIFS('Nhật ký bảo trì'!$D$6:$D$405,$A17,'Nhật ký bảo trì'!$Q$6:$Q$405,"Hoàn thành",'Nhật ký bảo trì'!$B$6:$B$405,"&gt;="&amp;I$5,'Nhật ký bảo trì'!$B$6:$B$405,"&lt;="&amp;EOMONTH(I$5,0))&gt;0,"✔",IF(((EOMONTH(I$5,0)&gt;='Kế hoạch định kỳ'!$W17)*(INT((EOMONTH(I$5,0)-'Kế hoạch định kỳ'!$W17)/'Kế hoạch định kỳ'!$X17)+1)-(I$5-1&gt;='Kế hoạch định kỳ'!$W17)*(INT((I$5-1-'Kế hoạch định kỳ'!$W17)/'Kế hoạch định kỳ'!$X17)+1))&gt;0,IF(EOMONTH(I$5,0)&lt;'Tổng quan'!$B$11,"✖","○"),"")))</f>
        <v/>
      </c>
      <c r="J17" s="61" t="str">
        <f>IF($A17="","",IF(COUNTIFS('Nhật ký bảo trì'!$D$6:$D$405,$A17,'Nhật ký bảo trì'!$Q$6:$Q$405,"Hoàn thành",'Nhật ký bảo trì'!$B$6:$B$405,"&gt;="&amp;J$5,'Nhật ký bảo trì'!$B$6:$B$405,"&lt;="&amp;EOMONTH(J$5,0))&gt;0,"✔",IF(((EOMONTH(J$5,0)&gt;='Kế hoạch định kỳ'!$W17)*(INT((EOMONTH(J$5,0)-'Kế hoạch định kỳ'!$W17)/'Kế hoạch định kỳ'!$X17)+1)-(J$5-1&gt;='Kế hoạch định kỳ'!$W17)*(INT((J$5-1-'Kế hoạch định kỳ'!$W17)/'Kế hoạch định kỳ'!$X17)+1))&gt;0,IF(EOMONTH(J$5,0)&lt;'Tổng quan'!$B$11,"✖","○"),"")))</f>
        <v/>
      </c>
      <c r="K17" s="61" t="str">
        <f>IF($A17="","",IF(COUNTIFS('Nhật ký bảo trì'!$D$6:$D$405,$A17,'Nhật ký bảo trì'!$Q$6:$Q$405,"Hoàn thành",'Nhật ký bảo trì'!$B$6:$B$405,"&gt;="&amp;K$5,'Nhật ký bảo trì'!$B$6:$B$405,"&lt;="&amp;EOMONTH(K$5,0))&gt;0,"✔",IF(((EOMONTH(K$5,0)&gt;='Kế hoạch định kỳ'!$W17)*(INT((EOMONTH(K$5,0)-'Kế hoạch định kỳ'!$W17)/'Kế hoạch định kỳ'!$X17)+1)-(K$5-1&gt;='Kế hoạch định kỳ'!$W17)*(INT((K$5-1-'Kế hoạch định kỳ'!$W17)/'Kế hoạch định kỳ'!$X17)+1))&gt;0,IF(EOMONTH(K$5,0)&lt;'Tổng quan'!$B$11,"✖","○"),"")))</f>
        <v/>
      </c>
      <c r="L17" s="61" t="str">
        <f>IF($A17="","",IF(COUNTIFS('Nhật ký bảo trì'!$D$6:$D$405,$A17,'Nhật ký bảo trì'!$Q$6:$Q$405,"Hoàn thành",'Nhật ký bảo trì'!$B$6:$B$405,"&gt;="&amp;L$5,'Nhật ký bảo trì'!$B$6:$B$405,"&lt;="&amp;EOMONTH(L$5,0))&gt;0,"✔",IF(((EOMONTH(L$5,0)&gt;='Kế hoạch định kỳ'!$W17)*(INT((EOMONTH(L$5,0)-'Kế hoạch định kỳ'!$W17)/'Kế hoạch định kỳ'!$X17)+1)-(L$5-1&gt;='Kế hoạch định kỳ'!$W17)*(INT((L$5-1-'Kế hoạch định kỳ'!$W17)/'Kế hoạch định kỳ'!$X17)+1))&gt;0,IF(EOMONTH(L$5,0)&lt;'Tổng quan'!$B$11,"✖","○"),"")))</f>
        <v/>
      </c>
      <c r="M17" s="61" t="str">
        <f>IF($A17="","",IF(COUNTIFS('Nhật ký bảo trì'!$D$6:$D$405,$A17,'Nhật ký bảo trì'!$Q$6:$Q$405,"Hoàn thành",'Nhật ký bảo trì'!$B$6:$B$405,"&gt;="&amp;M$5,'Nhật ký bảo trì'!$B$6:$B$405,"&lt;="&amp;EOMONTH(M$5,0))&gt;0,"✔",IF(((EOMONTH(M$5,0)&gt;='Kế hoạch định kỳ'!$W17)*(INT((EOMONTH(M$5,0)-'Kế hoạch định kỳ'!$W17)/'Kế hoạch định kỳ'!$X17)+1)-(M$5-1&gt;='Kế hoạch định kỳ'!$W17)*(INT((M$5-1-'Kế hoạch định kỳ'!$W17)/'Kế hoạch định kỳ'!$X17)+1))&gt;0,IF(EOMONTH(M$5,0)&lt;'Tổng quan'!$B$11,"✖","○"),"")))</f>
        <v/>
      </c>
      <c r="N17" s="61" t="str">
        <f>IF($A17="","",IF(COUNTIFS('Nhật ký bảo trì'!$D$6:$D$405,$A17,'Nhật ký bảo trì'!$Q$6:$Q$405,"Hoàn thành",'Nhật ký bảo trì'!$B$6:$B$405,"&gt;="&amp;N$5,'Nhật ký bảo trì'!$B$6:$B$405,"&lt;="&amp;EOMONTH(N$5,0))&gt;0,"✔",IF(((EOMONTH(N$5,0)&gt;='Kế hoạch định kỳ'!$W17)*(INT((EOMONTH(N$5,0)-'Kế hoạch định kỳ'!$W17)/'Kế hoạch định kỳ'!$X17)+1)-(N$5-1&gt;='Kế hoạch định kỳ'!$W17)*(INT((N$5-1-'Kế hoạch định kỳ'!$W17)/'Kế hoạch định kỳ'!$X17)+1))&gt;0,IF(EOMONTH(N$5,0)&lt;'Tổng quan'!$B$11,"✖","○"),"")))</f>
        <v/>
      </c>
      <c r="O17" s="61" t="str">
        <f>IF($A17="","",IF(COUNTIFS('Nhật ký bảo trì'!$D$6:$D$405,$A17,'Nhật ký bảo trì'!$Q$6:$Q$405,"Hoàn thành",'Nhật ký bảo trì'!$B$6:$B$405,"&gt;="&amp;O$5,'Nhật ký bảo trì'!$B$6:$B$405,"&lt;="&amp;EOMONTH(O$5,0))&gt;0,"✔",IF(((EOMONTH(O$5,0)&gt;='Kế hoạch định kỳ'!$W17)*(INT((EOMONTH(O$5,0)-'Kế hoạch định kỳ'!$W17)/'Kế hoạch định kỳ'!$X17)+1)-(O$5-1&gt;='Kế hoạch định kỳ'!$W17)*(INT((O$5-1-'Kế hoạch định kỳ'!$W17)/'Kế hoạch định kỳ'!$X17)+1))&gt;0,IF(EOMONTH(O$5,0)&lt;'Tổng quan'!$B$11,"✖","○"),"")))</f>
        <v>○</v>
      </c>
      <c r="P17" s="61" t="str">
        <f>IF($A17="","",IF(COUNTIFS('Nhật ký bảo trì'!$D$6:$D$405,$A17,'Nhật ký bảo trì'!$Q$6:$Q$405,"Hoàn thành",'Nhật ký bảo trì'!$B$6:$B$405,"&gt;="&amp;P$5,'Nhật ký bảo trì'!$B$6:$B$405,"&lt;="&amp;EOMONTH(P$5,0))&gt;0,"✔",IF(((EOMONTH(P$5,0)&gt;='Kế hoạch định kỳ'!$W17)*(INT((EOMONTH(P$5,0)-'Kế hoạch định kỳ'!$W17)/'Kế hoạch định kỳ'!$X17)+1)-(P$5-1&gt;='Kế hoạch định kỳ'!$W17)*(INT((P$5-1-'Kế hoạch định kỳ'!$W17)/'Kế hoạch định kỳ'!$X17)+1))&gt;0,IF(EOMONTH(P$5,0)&lt;'Tổng quan'!$B$11,"✖","○"),"")))</f>
        <v/>
      </c>
      <c r="Q17" s="30">
        <f>IF($A17="","",COUNTIFS('Nhật ký bảo trì'!$D$6:$D$405,$A17,'Nhật ký bảo trì'!$Q$6:$Q$405,"Hoàn thành",'Nhật ký bảo trì'!$B$6:$B$405,"&gt;="&amp;DATE('Tổng quan'!$B$6,1,1),'Nhật ký bảo trì'!$B$6:$B$405,"&lt;="&amp;DATE('Tổng quan'!$B$6,12,31)))</f>
        <v>0</v>
      </c>
      <c r="R17" s="30">
        <f t="shared" si="1"/>
        <v>1</v>
      </c>
    </row>
    <row r="18" ht="24.0" customHeight="1">
      <c r="A18" s="10" t="str">
        <f>IF('Kế hoạch định kỳ'!$B18="","",'Kế hoạch định kỳ'!$B18)</f>
        <v>KH013</v>
      </c>
      <c r="B18" s="14" t="str">
        <f>IF('Kế hoạch định kỳ'!$B18="","",'Kế hoạch định kỳ'!$D18)</f>
        <v>Băng tải đóng gói số 2</v>
      </c>
      <c r="C18" s="18" t="str">
        <f>IF('Kế hoạch định kỳ'!$B18="","",'Kế hoạch định kỳ'!$F18)</f>
        <v>Kiểm tra căng băng tải, bôi trơn con lăn</v>
      </c>
      <c r="D18" s="10" t="str">
        <f>IF('Kế hoạch định kỳ'!$B18="","",IF('Kế hoạch định kỳ'!$I18&lt;&gt;"",'Kế hoạch định kỳ'!$I18&amp;" ngày",'Kế hoạch định kỳ'!$H18))</f>
        <v>Hằng tháng</v>
      </c>
      <c r="E18" s="24" t="str">
        <f>IF($A18="","",IF(COUNTIFS('Nhật ký bảo trì'!$D$6:$D$405,$A18,'Nhật ký bảo trì'!$Q$6:$Q$405,"Hoàn thành",'Nhật ký bảo trì'!$B$6:$B$405,"&gt;="&amp;E$5,'Nhật ký bảo trì'!$B$6:$B$405,"&lt;="&amp;EOMONTH(E$5,0))&gt;0,"✔",IF(((EOMONTH(E$5,0)&gt;='Kế hoạch định kỳ'!$W18)*(INT((EOMONTH(E$5,0)-'Kế hoạch định kỳ'!$W18)/'Kế hoạch định kỳ'!$X18)+1)-(E$5-1&gt;='Kế hoạch định kỳ'!$W18)*(INT((E$5-1-'Kế hoạch định kỳ'!$W18)/'Kế hoạch định kỳ'!$X18)+1))&gt;0,IF(EOMONTH(E$5,0)&lt;'Tổng quan'!$B$11,"✖","○"),"")))</f>
        <v/>
      </c>
      <c r="F18" s="24" t="str">
        <f>IF($A18="","",IF(COUNTIFS('Nhật ký bảo trì'!$D$6:$D$405,$A18,'Nhật ký bảo trì'!$Q$6:$Q$405,"Hoàn thành",'Nhật ký bảo trì'!$B$6:$B$405,"&gt;="&amp;F$5,'Nhật ký bảo trì'!$B$6:$B$405,"&lt;="&amp;EOMONTH(F$5,0))&gt;0,"✔",IF(((EOMONTH(F$5,0)&gt;='Kế hoạch định kỳ'!$W18)*(INT((EOMONTH(F$5,0)-'Kế hoạch định kỳ'!$W18)/'Kế hoạch định kỳ'!$X18)+1)-(F$5-1&gt;='Kế hoạch định kỳ'!$W18)*(INT((F$5-1-'Kế hoạch định kỳ'!$W18)/'Kế hoạch định kỳ'!$X18)+1))&gt;0,IF(EOMONTH(F$5,0)&lt;'Tổng quan'!$B$11,"✖","○"),"")))</f>
        <v/>
      </c>
      <c r="G18" s="24" t="str">
        <f>IF($A18="","",IF(COUNTIFS('Nhật ký bảo trì'!$D$6:$D$405,$A18,'Nhật ký bảo trì'!$Q$6:$Q$405,"Hoàn thành",'Nhật ký bảo trì'!$B$6:$B$405,"&gt;="&amp;G$5,'Nhật ký bảo trì'!$B$6:$B$405,"&lt;="&amp;EOMONTH(G$5,0))&gt;0,"✔",IF(((EOMONTH(G$5,0)&gt;='Kế hoạch định kỳ'!$W18)*(INT((EOMONTH(G$5,0)-'Kế hoạch định kỳ'!$W18)/'Kế hoạch định kỳ'!$X18)+1)-(G$5-1&gt;='Kế hoạch định kỳ'!$W18)*(INT((G$5-1-'Kế hoạch định kỳ'!$W18)/'Kế hoạch định kỳ'!$X18)+1))&gt;0,IF(EOMONTH(G$5,0)&lt;'Tổng quan'!$B$11,"✖","○"),"")))</f>
        <v/>
      </c>
      <c r="H18" s="24" t="str">
        <f>IF($A18="","",IF(COUNTIFS('Nhật ký bảo trì'!$D$6:$D$405,$A18,'Nhật ký bảo trì'!$Q$6:$Q$405,"Hoàn thành",'Nhật ký bảo trì'!$B$6:$B$405,"&gt;="&amp;H$5,'Nhật ký bảo trì'!$B$6:$B$405,"&lt;="&amp;EOMONTH(H$5,0))&gt;0,"✔",IF(((EOMONTH(H$5,0)&gt;='Kế hoạch định kỳ'!$W18)*(INT((EOMONTH(H$5,0)-'Kế hoạch định kỳ'!$W18)/'Kế hoạch định kỳ'!$X18)+1)-(H$5-1&gt;='Kế hoạch định kỳ'!$W18)*(INT((H$5-1-'Kế hoạch định kỳ'!$W18)/'Kế hoạch định kỳ'!$X18)+1))&gt;0,IF(EOMONTH(H$5,0)&lt;'Tổng quan'!$B$11,"✖","○"),"")))</f>
        <v/>
      </c>
      <c r="I18" s="24" t="str">
        <f>IF($A18="","",IF(COUNTIFS('Nhật ký bảo trì'!$D$6:$D$405,$A18,'Nhật ký bảo trì'!$Q$6:$Q$405,"Hoàn thành",'Nhật ký bảo trì'!$B$6:$B$405,"&gt;="&amp;I$5,'Nhật ký bảo trì'!$B$6:$B$405,"&lt;="&amp;EOMONTH(I$5,0))&gt;0,"✔",IF(((EOMONTH(I$5,0)&gt;='Kế hoạch định kỳ'!$W18)*(INT((EOMONTH(I$5,0)-'Kế hoạch định kỳ'!$W18)/'Kế hoạch định kỳ'!$X18)+1)-(I$5-1&gt;='Kế hoạch định kỳ'!$W18)*(INT((I$5-1-'Kế hoạch định kỳ'!$W18)/'Kế hoạch định kỳ'!$X18)+1))&gt;0,IF(EOMONTH(I$5,0)&lt;'Tổng quan'!$B$11,"✖","○"),"")))</f>
        <v/>
      </c>
      <c r="J18" s="24" t="str">
        <f>IF($A18="","",IF(COUNTIFS('Nhật ký bảo trì'!$D$6:$D$405,$A18,'Nhật ký bảo trì'!$Q$6:$Q$405,"Hoàn thành",'Nhật ký bảo trì'!$B$6:$B$405,"&gt;="&amp;J$5,'Nhật ký bảo trì'!$B$6:$B$405,"&lt;="&amp;EOMONTH(J$5,0))&gt;0,"✔",IF(((EOMONTH(J$5,0)&gt;='Kế hoạch định kỳ'!$W18)*(INT((EOMONTH(J$5,0)-'Kế hoạch định kỳ'!$W18)/'Kế hoạch định kỳ'!$X18)+1)-(J$5-1&gt;='Kế hoạch định kỳ'!$W18)*(INT((J$5-1-'Kế hoạch định kỳ'!$W18)/'Kế hoạch định kỳ'!$X18)+1))&gt;0,IF(EOMONTH(J$5,0)&lt;'Tổng quan'!$B$11,"✖","○"),"")))</f>
        <v/>
      </c>
      <c r="K18" s="24" t="str">
        <f>IF($A18="","",IF(COUNTIFS('Nhật ký bảo trì'!$D$6:$D$405,$A18,'Nhật ký bảo trì'!$Q$6:$Q$405,"Hoàn thành",'Nhật ký bảo trì'!$B$6:$B$405,"&gt;="&amp;K$5,'Nhật ký bảo trì'!$B$6:$B$405,"&lt;="&amp;EOMONTH(K$5,0))&gt;0,"✔",IF(((EOMONTH(K$5,0)&gt;='Kế hoạch định kỳ'!$W18)*(INT((EOMONTH(K$5,0)-'Kế hoạch định kỳ'!$W18)/'Kế hoạch định kỳ'!$X18)+1)-(K$5-1&gt;='Kế hoạch định kỳ'!$W18)*(INT((K$5-1-'Kế hoạch định kỳ'!$W18)/'Kế hoạch định kỳ'!$X18)+1))&gt;0,IF(EOMONTH(K$5,0)&lt;'Tổng quan'!$B$11,"✖","○"),"")))</f>
        <v>✔</v>
      </c>
      <c r="L18" s="24" t="str">
        <f>IF($A18="","",IF(COUNTIFS('Nhật ký bảo trì'!$D$6:$D$405,$A18,'Nhật ký bảo trì'!$Q$6:$Q$405,"Hoàn thành",'Nhật ký bảo trì'!$B$6:$B$405,"&gt;="&amp;L$5,'Nhật ký bảo trì'!$B$6:$B$405,"&lt;="&amp;EOMONTH(L$5,0))&gt;0,"✔",IF(((EOMONTH(L$5,0)&gt;='Kế hoạch định kỳ'!$W18)*(INT((EOMONTH(L$5,0)-'Kế hoạch định kỳ'!$W18)/'Kế hoạch định kỳ'!$X18)+1)-(L$5-1&gt;='Kế hoạch định kỳ'!$W18)*(INT((L$5-1-'Kế hoạch định kỳ'!$W18)/'Kế hoạch định kỳ'!$X18)+1))&gt;0,IF(EOMONTH(L$5,0)&lt;'Tổng quan'!$B$11,"✖","○"),"")))</f>
        <v>✔</v>
      </c>
      <c r="M18" s="24" t="str">
        <f>IF($A18="","",IF(COUNTIFS('Nhật ký bảo trì'!$D$6:$D$405,$A18,'Nhật ký bảo trì'!$Q$6:$Q$405,"Hoàn thành",'Nhật ký bảo trì'!$B$6:$B$405,"&gt;="&amp;M$5,'Nhật ký bảo trì'!$B$6:$B$405,"&lt;="&amp;EOMONTH(M$5,0))&gt;0,"✔",IF(((EOMONTH(M$5,0)&gt;='Kế hoạch định kỳ'!$W18)*(INT((EOMONTH(M$5,0)-'Kế hoạch định kỳ'!$W18)/'Kế hoạch định kỳ'!$X18)+1)-(M$5-1&gt;='Kế hoạch định kỳ'!$W18)*(INT((M$5-1-'Kế hoạch định kỳ'!$W18)/'Kế hoạch định kỳ'!$X18)+1))&gt;0,IF(EOMONTH(M$5,0)&lt;'Tổng quan'!$B$11,"✖","○"),"")))</f>
        <v>✔</v>
      </c>
      <c r="N18" s="24" t="str">
        <f>IF($A18="","",IF(COUNTIFS('Nhật ký bảo trì'!$D$6:$D$405,$A18,'Nhật ký bảo trì'!$Q$6:$Q$405,"Hoàn thành",'Nhật ký bảo trì'!$B$6:$B$405,"&gt;="&amp;N$5,'Nhật ký bảo trì'!$B$6:$B$405,"&lt;="&amp;EOMONTH(N$5,0))&gt;0,"✔",IF(((EOMONTH(N$5,0)&gt;='Kế hoạch định kỳ'!$W18)*(INT((EOMONTH(N$5,0)-'Kế hoạch định kỳ'!$W18)/'Kế hoạch định kỳ'!$X18)+1)-(N$5-1&gt;='Kế hoạch định kỳ'!$W18)*(INT((N$5-1-'Kế hoạch định kỳ'!$W18)/'Kế hoạch định kỳ'!$X18)+1))&gt;0,IF(EOMONTH(N$5,0)&lt;'Tổng quan'!$B$11,"✖","○"),"")))</f>
        <v>✔</v>
      </c>
      <c r="O18" s="24" t="str">
        <f>IF($A18="","",IF(COUNTIFS('Nhật ký bảo trì'!$D$6:$D$405,$A18,'Nhật ký bảo trì'!$Q$6:$Q$405,"Hoàn thành",'Nhật ký bảo trì'!$B$6:$B$405,"&gt;="&amp;O$5,'Nhật ký bảo trì'!$B$6:$B$405,"&lt;="&amp;EOMONTH(O$5,0))&gt;0,"✔",IF(((EOMONTH(O$5,0)&gt;='Kế hoạch định kỳ'!$W18)*(INT((EOMONTH(O$5,0)-'Kế hoạch định kỳ'!$W18)/'Kế hoạch định kỳ'!$X18)+1)-(O$5-1&gt;='Kế hoạch định kỳ'!$W18)*(INT((O$5-1-'Kế hoạch định kỳ'!$W18)/'Kế hoạch định kỳ'!$X18)+1))&gt;0,IF(EOMONTH(O$5,0)&lt;'Tổng quan'!$B$11,"✖","○"),"")))</f>
        <v>○</v>
      </c>
      <c r="P18" s="24" t="str">
        <f>IF($A18="","",IF(COUNTIFS('Nhật ký bảo trì'!$D$6:$D$405,$A18,'Nhật ký bảo trì'!$Q$6:$Q$405,"Hoàn thành",'Nhật ký bảo trì'!$B$6:$B$405,"&gt;="&amp;P$5,'Nhật ký bảo trì'!$B$6:$B$405,"&lt;="&amp;EOMONTH(P$5,0))&gt;0,"✔",IF(((EOMONTH(P$5,0)&gt;='Kế hoạch định kỳ'!$W18)*(INT((EOMONTH(P$5,0)-'Kế hoạch định kỳ'!$W18)/'Kế hoạch định kỳ'!$X18)+1)-(P$5-1&gt;='Kế hoạch định kỳ'!$W18)*(INT((P$5-1-'Kế hoạch định kỳ'!$W18)/'Kế hoạch định kỳ'!$X18)+1))&gt;0,IF(EOMONTH(P$5,0)&lt;'Tổng quan'!$B$11,"✖","○"),"")))</f>
        <v>○</v>
      </c>
      <c r="Q18" s="16">
        <f>IF($A18="","",COUNTIFS('Nhật ký bảo trì'!$D$6:$D$405,$A18,'Nhật ký bảo trì'!$Q$6:$Q$405,"Hoàn thành",'Nhật ký bảo trì'!$B$6:$B$405,"&gt;="&amp;DATE('Tổng quan'!$B$6,1,1),'Nhật ký bảo trì'!$B$6:$B$405,"&lt;="&amp;DATE('Tổng quan'!$B$6,12,31)))</f>
        <v>4</v>
      </c>
      <c r="R18" s="16">
        <f t="shared" si="1"/>
        <v>2</v>
      </c>
    </row>
    <row r="19" ht="24.0" customHeight="1">
      <c r="A19" s="26" t="str">
        <f>IF('Kế hoạch định kỳ'!$B19="","",'Kế hoạch định kỳ'!$B19)</f>
        <v>KH014</v>
      </c>
      <c r="B19" s="28" t="str">
        <f>IF('Kế hoạch định kỳ'!$B19="","",'Kế hoạch định kỳ'!$D19)</f>
        <v>Xe nâng điện 2,5 tấn #1</v>
      </c>
      <c r="C19" s="56" t="str">
        <f>IF('Kế hoạch định kỳ'!$B19="","",'Kế hoạch định kỳ'!$F19)</f>
        <v>Kiểm tra ắc quy, phanh, hệ thống thủy lực</v>
      </c>
      <c r="D19" s="26" t="str">
        <f>IF('Kế hoạch định kỳ'!$B19="","",IF('Kế hoạch định kỳ'!$I19&lt;&gt;"",'Kế hoạch định kỳ'!$I19&amp;" ngày",'Kế hoạch định kỳ'!$H19))</f>
        <v>Hằng tháng</v>
      </c>
      <c r="E19" s="61" t="str">
        <f>IF($A19="","",IF(COUNTIFS('Nhật ký bảo trì'!$D$6:$D$405,$A19,'Nhật ký bảo trì'!$Q$6:$Q$405,"Hoàn thành",'Nhật ký bảo trì'!$B$6:$B$405,"&gt;="&amp;E$5,'Nhật ký bảo trì'!$B$6:$B$405,"&lt;="&amp;EOMONTH(E$5,0))&gt;0,"✔",IF(((EOMONTH(E$5,0)&gt;='Kế hoạch định kỳ'!$W19)*(INT((EOMONTH(E$5,0)-'Kế hoạch định kỳ'!$W19)/'Kế hoạch định kỳ'!$X19)+1)-(E$5-1&gt;='Kế hoạch định kỳ'!$W19)*(INT((E$5-1-'Kế hoạch định kỳ'!$W19)/'Kế hoạch định kỳ'!$X19)+1))&gt;0,IF(EOMONTH(E$5,0)&lt;'Tổng quan'!$B$11,"✖","○"),"")))</f>
        <v/>
      </c>
      <c r="F19" s="61" t="str">
        <f>IF($A19="","",IF(COUNTIFS('Nhật ký bảo trì'!$D$6:$D$405,$A19,'Nhật ký bảo trì'!$Q$6:$Q$405,"Hoàn thành",'Nhật ký bảo trì'!$B$6:$B$405,"&gt;="&amp;F$5,'Nhật ký bảo trì'!$B$6:$B$405,"&lt;="&amp;EOMONTH(F$5,0))&gt;0,"✔",IF(((EOMONTH(F$5,0)&gt;='Kế hoạch định kỳ'!$W19)*(INT((EOMONTH(F$5,0)-'Kế hoạch định kỳ'!$W19)/'Kế hoạch định kỳ'!$X19)+1)-(F$5-1&gt;='Kế hoạch định kỳ'!$W19)*(INT((F$5-1-'Kế hoạch định kỳ'!$W19)/'Kế hoạch định kỳ'!$X19)+1))&gt;0,IF(EOMONTH(F$5,0)&lt;'Tổng quan'!$B$11,"✖","○"),"")))</f>
        <v/>
      </c>
      <c r="G19" s="61" t="str">
        <f>IF($A19="","",IF(COUNTIFS('Nhật ký bảo trì'!$D$6:$D$405,$A19,'Nhật ký bảo trì'!$Q$6:$Q$405,"Hoàn thành",'Nhật ký bảo trì'!$B$6:$B$405,"&gt;="&amp;G$5,'Nhật ký bảo trì'!$B$6:$B$405,"&lt;="&amp;EOMONTH(G$5,0))&gt;0,"✔",IF(((EOMONTH(G$5,0)&gt;='Kế hoạch định kỳ'!$W19)*(INT((EOMONTH(G$5,0)-'Kế hoạch định kỳ'!$W19)/'Kế hoạch định kỳ'!$X19)+1)-(G$5-1&gt;='Kế hoạch định kỳ'!$W19)*(INT((G$5-1-'Kế hoạch định kỳ'!$W19)/'Kế hoạch định kỳ'!$X19)+1))&gt;0,IF(EOMONTH(G$5,0)&lt;'Tổng quan'!$B$11,"✖","○"),"")))</f>
        <v/>
      </c>
      <c r="H19" s="61" t="str">
        <f>IF($A19="","",IF(COUNTIFS('Nhật ký bảo trì'!$D$6:$D$405,$A19,'Nhật ký bảo trì'!$Q$6:$Q$405,"Hoàn thành",'Nhật ký bảo trì'!$B$6:$B$405,"&gt;="&amp;H$5,'Nhật ký bảo trì'!$B$6:$B$405,"&lt;="&amp;EOMONTH(H$5,0))&gt;0,"✔",IF(((EOMONTH(H$5,0)&gt;='Kế hoạch định kỳ'!$W19)*(INT((EOMONTH(H$5,0)-'Kế hoạch định kỳ'!$W19)/'Kế hoạch định kỳ'!$X19)+1)-(H$5-1&gt;='Kế hoạch định kỳ'!$W19)*(INT((H$5-1-'Kế hoạch định kỳ'!$W19)/'Kế hoạch định kỳ'!$X19)+1))&gt;0,IF(EOMONTH(H$5,0)&lt;'Tổng quan'!$B$11,"✖","○"),"")))</f>
        <v/>
      </c>
      <c r="I19" s="61" t="str">
        <f>IF($A19="","",IF(COUNTIFS('Nhật ký bảo trì'!$D$6:$D$405,$A19,'Nhật ký bảo trì'!$Q$6:$Q$405,"Hoàn thành",'Nhật ký bảo trì'!$B$6:$B$405,"&gt;="&amp;I$5,'Nhật ký bảo trì'!$B$6:$B$405,"&lt;="&amp;EOMONTH(I$5,0))&gt;0,"✔",IF(((EOMONTH(I$5,0)&gt;='Kế hoạch định kỳ'!$W19)*(INT((EOMONTH(I$5,0)-'Kế hoạch định kỳ'!$W19)/'Kế hoạch định kỳ'!$X19)+1)-(I$5-1&gt;='Kế hoạch định kỳ'!$W19)*(INT((I$5-1-'Kế hoạch định kỳ'!$W19)/'Kế hoạch định kỳ'!$X19)+1))&gt;0,IF(EOMONTH(I$5,0)&lt;'Tổng quan'!$B$11,"✖","○"),"")))</f>
        <v/>
      </c>
      <c r="J19" s="61" t="str">
        <f>IF($A19="","",IF(COUNTIFS('Nhật ký bảo trì'!$D$6:$D$405,$A19,'Nhật ký bảo trì'!$Q$6:$Q$405,"Hoàn thành",'Nhật ký bảo trì'!$B$6:$B$405,"&gt;="&amp;J$5,'Nhật ký bảo trì'!$B$6:$B$405,"&lt;="&amp;EOMONTH(J$5,0))&gt;0,"✔",IF(((EOMONTH(J$5,0)&gt;='Kế hoạch định kỳ'!$W19)*(INT((EOMONTH(J$5,0)-'Kế hoạch định kỳ'!$W19)/'Kế hoạch định kỳ'!$X19)+1)-(J$5-1&gt;='Kế hoạch định kỳ'!$W19)*(INT((J$5-1-'Kế hoạch định kỳ'!$W19)/'Kế hoạch định kỳ'!$X19)+1))&gt;0,IF(EOMONTH(J$5,0)&lt;'Tổng quan'!$B$11,"✖","○"),"")))</f>
        <v/>
      </c>
      <c r="K19" s="61" t="str">
        <f>IF($A19="","",IF(COUNTIFS('Nhật ký bảo trì'!$D$6:$D$405,$A19,'Nhật ký bảo trì'!$Q$6:$Q$405,"Hoàn thành",'Nhật ký bảo trì'!$B$6:$B$405,"&gt;="&amp;K$5,'Nhật ký bảo trì'!$B$6:$B$405,"&lt;="&amp;EOMONTH(K$5,0))&gt;0,"✔",IF(((EOMONTH(K$5,0)&gt;='Kế hoạch định kỳ'!$W19)*(INT((EOMONTH(K$5,0)-'Kế hoạch định kỳ'!$W19)/'Kế hoạch định kỳ'!$X19)+1)-(K$5-1&gt;='Kế hoạch định kỳ'!$W19)*(INT((K$5-1-'Kế hoạch định kỳ'!$W19)/'Kế hoạch định kỳ'!$X19)+1))&gt;0,IF(EOMONTH(K$5,0)&lt;'Tổng quan'!$B$11,"✖","○"),"")))</f>
        <v>✔</v>
      </c>
      <c r="L19" s="61" t="str">
        <f>IF($A19="","",IF(COUNTIFS('Nhật ký bảo trì'!$D$6:$D$405,$A19,'Nhật ký bảo trì'!$Q$6:$Q$405,"Hoàn thành",'Nhật ký bảo trì'!$B$6:$B$405,"&gt;="&amp;L$5,'Nhật ký bảo trì'!$B$6:$B$405,"&lt;="&amp;EOMONTH(L$5,0))&gt;0,"✔",IF(((EOMONTH(L$5,0)&gt;='Kế hoạch định kỳ'!$W19)*(INT((EOMONTH(L$5,0)-'Kế hoạch định kỳ'!$W19)/'Kế hoạch định kỳ'!$X19)+1)-(L$5-1&gt;='Kế hoạch định kỳ'!$W19)*(INT((L$5-1-'Kế hoạch định kỳ'!$W19)/'Kế hoạch định kỳ'!$X19)+1))&gt;0,IF(EOMONTH(L$5,0)&lt;'Tổng quan'!$B$11,"✖","○"),"")))</f>
        <v>✔</v>
      </c>
      <c r="M19" s="61" t="str">
        <f>IF($A19="","",IF(COUNTIFS('Nhật ký bảo trì'!$D$6:$D$405,$A19,'Nhật ký bảo trì'!$Q$6:$Q$405,"Hoàn thành",'Nhật ký bảo trì'!$B$6:$B$405,"&gt;="&amp;M$5,'Nhật ký bảo trì'!$B$6:$B$405,"&lt;="&amp;EOMONTH(M$5,0))&gt;0,"✔",IF(((EOMONTH(M$5,0)&gt;='Kế hoạch định kỳ'!$W19)*(INT((EOMONTH(M$5,0)-'Kế hoạch định kỳ'!$W19)/'Kế hoạch định kỳ'!$X19)+1)-(M$5-1&gt;='Kế hoạch định kỳ'!$W19)*(INT((M$5-1-'Kế hoạch định kỳ'!$W19)/'Kế hoạch định kỳ'!$X19)+1))&gt;0,IF(EOMONTH(M$5,0)&lt;'Tổng quan'!$B$11,"✖","○"),"")))</f>
        <v>✔</v>
      </c>
      <c r="N19" s="61" t="str">
        <f>IF($A19="","",IF(COUNTIFS('Nhật ký bảo trì'!$D$6:$D$405,$A19,'Nhật ký bảo trì'!$Q$6:$Q$405,"Hoàn thành",'Nhật ký bảo trì'!$B$6:$B$405,"&gt;="&amp;N$5,'Nhật ký bảo trì'!$B$6:$B$405,"&lt;="&amp;EOMONTH(N$5,0))&gt;0,"✔",IF(((EOMONTH(N$5,0)&gt;='Kế hoạch định kỳ'!$W19)*(INT((EOMONTH(N$5,0)-'Kế hoạch định kỳ'!$W19)/'Kế hoạch định kỳ'!$X19)+1)-(N$5-1&gt;='Kế hoạch định kỳ'!$W19)*(INT((N$5-1-'Kế hoạch định kỳ'!$W19)/'Kế hoạch định kỳ'!$X19)+1))&gt;0,IF(EOMONTH(N$5,0)&lt;'Tổng quan'!$B$11,"✖","○"),"")))</f>
        <v>✔</v>
      </c>
      <c r="O19" s="61" t="str">
        <f>IF($A19="","",IF(COUNTIFS('Nhật ký bảo trì'!$D$6:$D$405,$A19,'Nhật ký bảo trì'!$Q$6:$Q$405,"Hoàn thành",'Nhật ký bảo trì'!$B$6:$B$405,"&gt;="&amp;O$5,'Nhật ký bảo trì'!$B$6:$B$405,"&lt;="&amp;EOMONTH(O$5,0))&gt;0,"✔",IF(((EOMONTH(O$5,0)&gt;='Kế hoạch định kỳ'!$W19)*(INT((EOMONTH(O$5,0)-'Kế hoạch định kỳ'!$W19)/'Kế hoạch định kỳ'!$X19)+1)-(O$5-1&gt;='Kế hoạch định kỳ'!$W19)*(INT((O$5-1-'Kế hoạch định kỳ'!$W19)/'Kế hoạch định kỳ'!$X19)+1))&gt;0,IF(EOMONTH(O$5,0)&lt;'Tổng quan'!$B$11,"✖","○"),"")))</f>
        <v>○</v>
      </c>
      <c r="P19" s="61" t="str">
        <f>IF($A19="","",IF(COUNTIFS('Nhật ký bảo trì'!$D$6:$D$405,$A19,'Nhật ký bảo trì'!$Q$6:$Q$405,"Hoàn thành",'Nhật ký bảo trì'!$B$6:$B$405,"&gt;="&amp;P$5,'Nhật ký bảo trì'!$B$6:$B$405,"&lt;="&amp;EOMONTH(P$5,0))&gt;0,"✔",IF(((EOMONTH(P$5,0)&gt;='Kế hoạch định kỳ'!$W19)*(INT((EOMONTH(P$5,0)-'Kế hoạch định kỳ'!$W19)/'Kế hoạch định kỳ'!$X19)+1)-(P$5-1&gt;='Kế hoạch định kỳ'!$W19)*(INT((P$5-1-'Kế hoạch định kỳ'!$W19)/'Kế hoạch định kỳ'!$X19)+1))&gt;0,IF(EOMONTH(P$5,0)&lt;'Tổng quan'!$B$11,"✖","○"),"")))</f>
        <v>○</v>
      </c>
      <c r="Q19" s="30">
        <f>IF($A19="","",COUNTIFS('Nhật ký bảo trì'!$D$6:$D$405,$A19,'Nhật ký bảo trì'!$Q$6:$Q$405,"Hoàn thành",'Nhật ký bảo trì'!$B$6:$B$405,"&gt;="&amp;DATE('Tổng quan'!$B$6,1,1),'Nhật ký bảo trì'!$B$6:$B$405,"&lt;="&amp;DATE('Tổng quan'!$B$6,12,31)))</f>
        <v>4</v>
      </c>
      <c r="R19" s="30">
        <f t="shared" si="1"/>
        <v>2</v>
      </c>
    </row>
    <row r="20" ht="24.0" customHeight="1">
      <c r="A20" s="10" t="str">
        <f>IF('Kế hoạch định kỳ'!$B20="","",'Kế hoạch định kỳ'!$B20)</f>
        <v>KH015</v>
      </c>
      <c r="B20" s="14" t="str">
        <f>IF('Kế hoạch định kỳ'!$B20="","",'Kế hoạch định kỳ'!$D20)</f>
        <v>Xe nâng điện 2,5 tấn #1</v>
      </c>
      <c r="C20" s="18" t="str">
        <f>IF('Kế hoạch định kỳ'!$B20="","",'Kế hoạch định kỳ'!$F20)</f>
        <v>Kiểm định an toàn xe nâng</v>
      </c>
      <c r="D20" s="10" t="str">
        <f>IF('Kế hoạch định kỳ'!$B20="","",IF('Kế hoạch định kỳ'!$I20&lt;&gt;"",'Kế hoạch định kỳ'!$I20&amp;" ngày",'Kế hoạch định kỳ'!$H20))</f>
        <v>Hằng năm</v>
      </c>
      <c r="E20" s="24" t="str">
        <f>IF($A20="","",IF(COUNTIFS('Nhật ký bảo trì'!$D$6:$D$405,$A20,'Nhật ký bảo trì'!$Q$6:$Q$405,"Hoàn thành",'Nhật ký bảo trì'!$B$6:$B$405,"&gt;="&amp;E$5,'Nhật ký bảo trì'!$B$6:$B$405,"&lt;="&amp;EOMONTH(E$5,0))&gt;0,"✔",IF(((EOMONTH(E$5,0)&gt;='Kế hoạch định kỳ'!$W20)*(INT((EOMONTH(E$5,0)-'Kế hoạch định kỳ'!$W20)/'Kế hoạch định kỳ'!$X20)+1)-(E$5-1&gt;='Kế hoạch định kỳ'!$W20)*(INT((E$5-1-'Kế hoạch định kỳ'!$W20)/'Kế hoạch định kỳ'!$X20)+1))&gt;0,IF(EOMONTH(E$5,0)&lt;'Tổng quan'!$B$11,"✖","○"),"")))</f>
        <v/>
      </c>
      <c r="F20" s="24" t="str">
        <f>IF($A20="","",IF(COUNTIFS('Nhật ký bảo trì'!$D$6:$D$405,$A20,'Nhật ký bảo trì'!$Q$6:$Q$405,"Hoàn thành",'Nhật ký bảo trì'!$B$6:$B$405,"&gt;="&amp;F$5,'Nhật ký bảo trì'!$B$6:$B$405,"&lt;="&amp;EOMONTH(F$5,0))&gt;0,"✔",IF(((EOMONTH(F$5,0)&gt;='Kế hoạch định kỳ'!$W20)*(INT((EOMONTH(F$5,0)-'Kế hoạch định kỳ'!$W20)/'Kế hoạch định kỳ'!$X20)+1)-(F$5-1&gt;='Kế hoạch định kỳ'!$W20)*(INT((F$5-1-'Kế hoạch định kỳ'!$W20)/'Kế hoạch định kỳ'!$X20)+1))&gt;0,IF(EOMONTH(F$5,0)&lt;'Tổng quan'!$B$11,"✖","○"),"")))</f>
        <v/>
      </c>
      <c r="G20" s="24" t="str">
        <f>IF($A20="","",IF(COUNTIFS('Nhật ký bảo trì'!$D$6:$D$405,$A20,'Nhật ký bảo trì'!$Q$6:$Q$405,"Hoàn thành",'Nhật ký bảo trì'!$B$6:$B$405,"&gt;="&amp;G$5,'Nhật ký bảo trì'!$B$6:$B$405,"&lt;="&amp;EOMONTH(G$5,0))&gt;0,"✔",IF(((EOMONTH(G$5,0)&gt;='Kế hoạch định kỳ'!$W20)*(INT((EOMONTH(G$5,0)-'Kế hoạch định kỳ'!$W20)/'Kế hoạch định kỳ'!$X20)+1)-(G$5-1&gt;='Kế hoạch định kỳ'!$W20)*(INT((G$5-1-'Kế hoạch định kỳ'!$W20)/'Kế hoạch định kỳ'!$X20)+1))&gt;0,IF(EOMONTH(G$5,0)&lt;'Tổng quan'!$B$11,"✖","○"),"")))</f>
        <v/>
      </c>
      <c r="H20" s="24" t="str">
        <f>IF($A20="","",IF(COUNTIFS('Nhật ký bảo trì'!$D$6:$D$405,$A20,'Nhật ký bảo trì'!$Q$6:$Q$405,"Hoàn thành",'Nhật ký bảo trì'!$B$6:$B$405,"&gt;="&amp;H$5,'Nhật ký bảo trì'!$B$6:$B$405,"&lt;="&amp;EOMONTH(H$5,0))&gt;0,"✔",IF(((EOMONTH(H$5,0)&gt;='Kế hoạch định kỳ'!$W20)*(INT((EOMONTH(H$5,0)-'Kế hoạch định kỳ'!$W20)/'Kế hoạch định kỳ'!$X20)+1)-(H$5-1&gt;='Kế hoạch định kỳ'!$W20)*(INT((H$5-1-'Kế hoạch định kỳ'!$W20)/'Kế hoạch định kỳ'!$X20)+1))&gt;0,IF(EOMONTH(H$5,0)&lt;'Tổng quan'!$B$11,"✖","○"),"")))</f>
        <v/>
      </c>
      <c r="I20" s="24" t="str">
        <f>IF($A20="","",IF(COUNTIFS('Nhật ký bảo trì'!$D$6:$D$405,$A20,'Nhật ký bảo trì'!$Q$6:$Q$405,"Hoàn thành",'Nhật ký bảo trì'!$B$6:$B$405,"&gt;="&amp;I$5,'Nhật ký bảo trì'!$B$6:$B$405,"&lt;="&amp;EOMONTH(I$5,0))&gt;0,"✔",IF(((EOMONTH(I$5,0)&gt;='Kế hoạch định kỳ'!$W20)*(INT((EOMONTH(I$5,0)-'Kế hoạch định kỳ'!$W20)/'Kế hoạch định kỳ'!$X20)+1)-(I$5-1&gt;='Kế hoạch định kỳ'!$W20)*(INT((I$5-1-'Kế hoạch định kỳ'!$W20)/'Kế hoạch định kỳ'!$X20)+1))&gt;0,IF(EOMONTH(I$5,0)&lt;'Tổng quan'!$B$11,"✖","○"),"")))</f>
        <v/>
      </c>
      <c r="J20" s="24" t="str">
        <f>IF($A20="","",IF(COUNTIFS('Nhật ký bảo trì'!$D$6:$D$405,$A20,'Nhật ký bảo trì'!$Q$6:$Q$405,"Hoàn thành",'Nhật ký bảo trì'!$B$6:$B$405,"&gt;="&amp;J$5,'Nhật ký bảo trì'!$B$6:$B$405,"&lt;="&amp;EOMONTH(J$5,0))&gt;0,"✔",IF(((EOMONTH(J$5,0)&gt;='Kế hoạch định kỳ'!$W20)*(INT((EOMONTH(J$5,0)-'Kế hoạch định kỳ'!$W20)/'Kế hoạch định kỳ'!$X20)+1)-(J$5-1&gt;='Kế hoạch định kỳ'!$W20)*(INT((J$5-1-'Kế hoạch định kỳ'!$W20)/'Kế hoạch định kỳ'!$X20)+1))&gt;0,IF(EOMONTH(J$5,0)&lt;'Tổng quan'!$B$11,"✖","○"),"")))</f>
        <v/>
      </c>
      <c r="K20" s="24" t="str">
        <f>IF($A20="","",IF(COUNTIFS('Nhật ký bảo trì'!$D$6:$D$405,$A20,'Nhật ký bảo trì'!$Q$6:$Q$405,"Hoàn thành",'Nhật ký bảo trì'!$B$6:$B$405,"&gt;="&amp;K$5,'Nhật ký bảo trì'!$B$6:$B$405,"&lt;="&amp;EOMONTH(K$5,0))&gt;0,"✔",IF(((EOMONTH(K$5,0)&gt;='Kế hoạch định kỳ'!$W20)*(INT((EOMONTH(K$5,0)-'Kế hoạch định kỳ'!$W20)/'Kế hoạch định kỳ'!$X20)+1)-(K$5-1&gt;='Kế hoạch định kỳ'!$W20)*(INT((K$5-1-'Kế hoạch định kỳ'!$W20)/'Kế hoạch định kỳ'!$X20)+1))&gt;0,IF(EOMONTH(K$5,0)&lt;'Tổng quan'!$B$11,"✖","○"),"")))</f>
        <v/>
      </c>
      <c r="L20" s="24" t="str">
        <f>IF($A20="","",IF(COUNTIFS('Nhật ký bảo trì'!$D$6:$D$405,$A20,'Nhật ký bảo trì'!$Q$6:$Q$405,"Hoàn thành",'Nhật ký bảo trì'!$B$6:$B$405,"&gt;="&amp;L$5,'Nhật ký bảo trì'!$B$6:$B$405,"&lt;="&amp;EOMONTH(L$5,0))&gt;0,"✔",IF(((EOMONTH(L$5,0)&gt;='Kế hoạch định kỳ'!$W20)*(INT((EOMONTH(L$5,0)-'Kế hoạch định kỳ'!$W20)/'Kế hoạch định kỳ'!$X20)+1)-(L$5-1&gt;='Kế hoạch định kỳ'!$W20)*(INT((L$5-1-'Kế hoạch định kỳ'!$W20)/'Kế hoạch định kỳ'!$X20)+1))&gt;0,IF(EOMONTH(L$5,0)&lt;'Tổng quan'!$B$11,"✖","○"),"")))</f>
        <v/>
      </c>
      <c r="M20" s="24" t="str">
        <f>IF($A20="","",IF(COUNTIFS('Nhật ký bảo trì'!$D$6:$D$405,$A20,'Nhật ký bảo trì'!$Q$6:$Q$405,"Hoàn thành",'Nhật ký bảo trì'!$B$6:$B$405,"&gt;="&amp;M$5,'Nhật ký bảo trì'!$B$6:$B$405,"&lt;="&amp;EOMONTH(M$5,0))&gt;0,"✔",IF(((EOMONTH(M$5,0)&gt;='Kế hoạch định kỳ'!$W20)*(INT((EOMONTH(M$5,0)-'Kế hoạch định kỳ'!$W20)/'Kế hoạch định kỳ'!$X20)+1)-(M$5-1&gt;='Kế hoạch định kỳ'!$W20)*(INT((M$5-1-'Kế hoạch định kỳ'!$W20)/'Kế hoạch định kỳ'!$X20)+1))&gt;0,IF(EOMONTH(M$5,0)&lt;'Tổng quan'!$B$11,"✖","○"),"")))</f>
        <v/>
      </c>
      <c r="N20" s="24" t="str">
        <f>IF($A20="","",IF(COUNTIFS('Nhật ký bảo trì'!$D$6:$D$405,$A20,'Nhật ký bảo trì'!$Q$6:$Q$405,"Hoàn thành",'Nhật ký bảo trì'!$B$6:$B$405,"&gt;="&amp;N$5,'Nhật ký bảo trì'!$B$6:$B$405,"&lt;="&amp;EOMONTH(N$5,0))&gt;0,"✔",IF(((EOMONTH(N$5,0)&gt;='Kế hoạch định kỳ'!$W20)*(INT((EOMONTH(N$5,0)-'Kế hoạch định kỳ'!$W20)/'Kế hoạch định kỳ'!$X20)+1)-(N$5-1&gt;='Kế hoạch định kỳ'!$W20)*(INT((N$5-1-'Kế hoạch định kỳ'!$W20)/'Kế hoạch định kỳ'!$X20)+1))&gt;0,IF(EOMONTH(N$5,0)&lt;'Tổng quan'!$B$11,"✖","○"),"")))</f>
        <v>○</v>
      </c>
      <c r="O20" s="24" t="str">
        <f>IF($A20="","",IF(COUNTIFS('Nhật ký bảo trì'!$D$6:$D$405,$A20,'Nhật ký bảo trì'!$Q$6:$Q$405,"Hoàn thành",'Nhật ký bảo trì'!$B$6:$B$405,"&gt;="&amp;O$5,'Nhật ký bảo trì'!$B$6:$B$405,"&lt;="&amp;EOMONTH(O$5,0))&gt;0,"✔",IF(((EOMONTH(O$5,0)&gt;='Kế hoạch định kỳ'!$W20)*(INT((EOMONTH(O$5,0)-'Kế hoạch định kỳ'!$W20)/'Kế hoạch định kỳ'!$X20)+1)-(O$5-1&gt;='Kế hoạch định kỳ'!$W20)*(INT((O$5-1-'Kế hoạch định kỳ'!$W20)/'Kế hoạch định kỳ'!$X20)+1))&gt;0,IF(EOMONTH(O$5,0)&lt;'Tổng quan'!$B$11,"✖","○"),"")))</f>
        <v/>
      </c>
      <c r="P20" s="24" t="str">
        <f>IF($A20="","",IF(COUNTIFS('Nhật ký bảo trì'!$D$6:$D$405,$A20,'Nhật ký bảo trì'!$Q$6:$Q$405,"Hoàn thành",'Nhật ký bảo trì'!$B$6:$B$405,"&gt;="&amp;P$5,'Nhật ký bảo trì'!$B$6:$B$405,"&lt;="&amp;EOMONTH(P$5,0))&gt;0,"✔",IF(((EOMONTH(P$5,0)&gt;='Kế hoạch định kỳ'!$W20)*(INT((EOMONTH(P$5,0)-'Kế hoạch định kỳ'!$W20)/'Kế hoạch định kỳ'!$X20)+1)-(P$5-1&gt;='Kế hoạch định kỳ'!$W20)*(INT((P$5-1-'Kế hoạch định kỳ'!$W20)/'Kế hoạch định kỳ'!$X20)+1))&gt;0,IF(EOMONTH(P$5,0)&lt;'Tổng quan'!$B$11,"✖","○"),"")))</f>
        <v/>
      </c>
      <c r="Q20" s="16">
        <f>IF($A20="","",COUNTIFS('Nhật ký bảo trì'!$D$6:$D$405,$A20,'Nhật ký bảo trì'!$Q$6:$Q$405,"Hoàn thành",'Nhật ký bảo trì'!$B$6:$B$405,"&gt;="&amp;DATE('Tổng quan'!$B$6,1,1),'Nhật ký bảo trì'!$B$6:$B$405,"&lt;="&amp;DATE('Tổng quan'!$B$6,12,31)))</f>
        <v>0</v>
      </c>
      <c r="R20" s="16">
        <f t="shared" si="1"/>
        <v>1</v>
      </c>
    </row>
    <row r="21" ht="24.0" customHeight="1">
      <c r="A21" s="26" t="str">
        <f>IF('Kế hoạch định kỳ'!$B21="","",'Kế hoạch định kỳ'!$B21)</f>
        <v>KH016</v>
      </c>
      <c r="B21" s="28" t="str">
        <f>IF('Kế hoạch định kỳ'!$B21="","",'Kế hoạch định kỳ'!$D21)</f>
        <v>Xe nâng điện 2,5 tấn #2</v>
      </c>
      <c r="C21" s="56" t="str">
        <f>IF('Kế hoạch định kỳ'!$B21="","",'Kế hoạch định kỳ'!$F21)</f>
        <v>Kiểm tra ắc quy, phanh, hệ thống thủy lực</v>
      </c>
      <c r="D21" s="26" t="str">
        <f>IF('Kế hoạch định kỳ'!$B21="","",IF('Kế hoạch định kỳ'!$I21&lt;&gt;"",'Kế hoạch định kỳ'!$I21&amp;" ngày",'Kế hoạch định kỳ'!$H21))</f>
        <v>Hằng tháng</v>
      </c>
      <c r="E21" s="61" t="str">
        <f>IF($A21="","",IF(COUNTIFS('Nhật ký bảo trì'!$D$6:$D$405,$A21,'Nhật ký bảo trì'!$Q$6:$Q$405,"Hoàn thành",'Nhật ký bảo trì'!$B$6:$B$405,"&gt;="&amp;E$5,'Nhật ký bảo trì'!$B$6:$B$405,"&lt;="&amp;EOMONTH(E$5,0))&gt;0,"✔",IF(((EOMONTH(E$5,0)&gt;='Kế hoạch định kỳ'!$W21)*(INT((EOMONTH(E$5,0)-'Kế hoạch định kỳ'!$W21)/'Kế hoạch định kỳ'!$X21)+1)-(E$5-1&gt;='Kế hoạch định kỳ'!$W21)*(INT((E$5-1-'Kế hoạch định kỳ'!$W21)/'Kế hoạch định kỳ'!$X21)+1))&gt;0,IF(EOMONTH(E$5,0)&lt;'Tổng quan'!$B$11,"✖","○"),"")))</f>
        <v/>
      </c>
      <c r="F21" s="61" t="str">
        <f>IF($A21="","",IF(COUNTIFS('Nhật ký bảo trì'!$D$6:$D$405,$A21,'Nhật ký bảo trì'!$Q$6:$Q$405,"Hoàn thành",'Nhật ký bảo trì'!$B$6:$B$405,"&gt;="&amp;F$5,'Nhật ký bảo trì'!$B$6:$B$405,"&lt;="&amp;EOMONTH(F$5,0))&gt;0,"✔",IF(((EOMONTH(F$5,0)&gt;='Kế hoạch định kỳ'!$W21)*(INT((EOMONTH(F$5,0)-'Kế hoạch định kỳ'!$W21)/'Kế hoạch định kỳ'!$X21)+1)-(F$5-1&gt;='Kế hoạch định kỳ'!$W21)*(INT((F$5-1-'Kế hoạch định kỳ'!$W21)/'Kế hoạch định kỳ'!$X21)+1))&gt;0,IF(EOMONTH(F$5,0)&lt;'Tổng quan'!$B$11,"✖","○"),"")))</f>
        <v/>
      </c>
      <c r="G21" s="61" t="str">
        <f>IF($A21="","",IF(COUNTIFS('Nhật ký bảo trì'!$D$6:$D$405,$A21,'Nhật ký bảo trì'!$Q$6:$Q$405,"Hoàn thành",'Nhật ký bảo trì'!$B$6:$B$405,"&gt;="&amp;G$5,'Nhật ký bảo trì'!$B$6:$B$405,"&lt;="&amp;EOMONTH(G$5,0))&gt;0,"✔",IF(((EOMONTH(G$5,0)&gt;='Kế hoạch định kỳ'!$W21)*(INT((EOMONTH(G$5,0)-'Kế hoạch định kỳ'!$W21)/'Kế hoạch định kỳ'!$X21)+1)-(G$5-1&gt;='Kế hoạch định kỳ'!$W21)*(INT((G$5-1-'Kế hoạch định kỳ'!$W21)/'Kế hoạch định kỳ'!$X21)+1))&gt;0,IF(EOMONTH(G$5,0)&lt;'Tổng quan'!$B$11,"✖","○"),"")))</f>
        <v/>
      </c>
      <c r="H21" s="61" t="str">
        <f>IF($A21="","",IF(COUNTIFS('Nhật ký bảo trì'!$D$6:$D$405,$A21,'Nhật ký bảo trì'!$Q$6:$Q$405,"Hoàn thành",'Nhật ký bảo trì'!$B$6:$B$405,"&gt;="&amp;H$5,'Nhật ký bảo trì'!$B$6:$B$405,"&lt;="&amp;EOMONTH(H$5,0))&gt;0,"✔",IF(((EOMONTH(H$5,0)&gt;='Kế hoạch định kỳ'!$W21)*(INT((EOMONTH(H$5,0)-'Kế hoạch định kỳ'!$W21)/'Kế hoạch định kỳ'!$X21)+1)-(H$5-1&gt;='Kế hoạch định kỳ'!$W21)*(INT((H$5-1-'Kế hoạch định kỳ'!$W21)/'Kế hoạch định kỳ'!$X21)+1))&gt;0,IF(EOMONTH(H$5,0)&lt;'Tổng quan'!$B$11,"✖","○"),"")))</f>
        <v/>
      </c>
      <c r="I21" s="61" t="str">
        <f>IF($A21="","",IF(COUNTIFS('Nhật ký bảo trì'!$D$6:$D$405,$A21,'Nhật ký bảo trì'!$Q$6:$Q$405,"Hoàn thành",'Nhật ký bảo trì'!$B$6:$B$405,"&gt;="&amp;I$5,'Nhật ký bảo trì'!$B$6:$B$405,"&lt;="&amp;EOMONTH(I$5,0))&gt;0,"✔",IF(((EOMONTH(I$5,0)&gt;='Kế hoạch định kỳ'!$W21)*(INT((EOMONTH(I$5,0)-'Kế hoạch định kỳ'!$W21)/'Kế hoạch định kỳ'!$X21)+1)-(I$5-1&gt;='Kế hoạch định kỳ'!$W21)*(INT((I$5-1-'Kế hoạch định kỳ'!$W21)/'Kế hoạch định kỳ'!$X21)+1))&gt;0,IF(EOMONTH(I$5,0)&lt;'Tổng quan'!$B$11,"✖","○"),"")))</f>
        <v/>
      </c>
      <c r="J21" s="61" t="str">
        <f>IF($A21="","",IF(COUNTIFS('Nhật ký bảo trì'!$D$6:$D$405,$A21,'Nhật ký bảo trì'!$Q$6:$Q$405,"Hoàn thành",'Nhật ký bảo trì'!$B$6:$B$405,"&gt;="&amp;J$5,'Nhật ký bảo trì'!$B$6:$B$405,"&lt;="&amp;EOMONTH(J$5,0))&gt;0,"✔",IF(((EOMONTH(J$5,0)&gt;='Kế hoạch định kỳ'!$W21)*(INT((EOMONTH(J$5,0)-'Kế hoạch định kỳ'!$W21)/'Kế hoạch định kỳ'!$X21)+1)-(J$5-1&gt;='Kế hoạch định kỳ'!$W21)*(INT((J$5-1-'Kế hoạch định kỳ'!$W21)/'Kế hoạch định kỳ'!$X21)+1))&gt;0,IF(EOMONTH(J$5,0)&lt;'Tổng quan'!$B$11,"✖","○"),"")))</f>
        <v/>
      </c>
      <c r="K21" s="61" t="str">
        <f>IF($A21="","",IF(COUNTIFS('Nhật ký bảo trì'!$D$6:$D$405,$A21,'Nhật ký bảo trì'!$Q$6:$Q$405,"Hoàn thành",'Nhật ký bảo trì'!$B$6:$B$405,"&gt;="&amp;K$5,'Nhật ký bảo trì'!$B$6:$B$405,"&lt;="&amp;EOMONTH(K$5,0))&gt;0,"✔",IF(((EOMONTH(K$5,0)&gt;='Kế hoạch định kỳ'!$W21)*(INT((EOMONTH(K$5,0)-'Kế hoạch định kỳ'!$W21)/'Kế hoạch định kỳ'!$X21)+1)-(K$5-1&gt;='Kế hoạch định kỳ'!$W21)*(INT((K$5-1-'Kế hoạch định kỳ'!$W21)/'Kế hoạch định kỳ'!$X21)+1))&gt;0,IF(EOMONTH(K$5,0)&lt;'Tổng quan'!$B$11,"✖","○"),"")))</f>
        <v>✔</v>
      </c>
      <c r="L21" s="61" t="str">
        <f>IF($A21="","",IF(COUNTIFS('Nhật ký bảo trì'!$D$6:$D$405,$A21,'Nhật ký bảo trì'!$Q$6:$Q$405,"Hoàn thành",'Nhật ký bảo trì'!$B$6:$B$405,"&gt;="&amp;L$5,'Nhật ký bảo trì'!$B$6:$B$405,"&lt;="&amp;EOMONTH(L$5,0))&gt;0,"✔",IF(((EOMONTH(L$5,0)&gt;='Kế hoạch định kỳ'!$W21)*(INT((EOMONTH(L$5,0)-'Kế hoạch định kỳ'!$W21)/'Kế hoạch định kỳ'!$X21)+1)-(L$5-1&gt;='Kế hoạch định kỳ'!$W21)*(INT((L$5-1-'Kế hoạch định kỳ'!$W21)/'Kế hoạch định kỳ'!$X21)+1))&gt;0,IF(EOMONTH(L$5,0)&lt;'Tổng quan'!$B$11,"✖","○"),"")))</f>
        <v>✔</v>
      </c>
      <c r="M21" s="61" t="str">
        <f>IF($A21="","",IF(COUNTIFS('Nhật ký bảo trì'!$D$6:$D$405,$A21,'Nhật ký bảo trì'!$Q$6:$Q$405,"Hoàn thành",'Nhật ký bảo trì'!$B$6:$B$405,"&gt;="&amp;M$5,'Nhật ký bảo trì'!$B$6:$B$405,"&lt;="&amp;EOMONTH(M$5,0))&gt;0,"✔",IF(((EOMONTH(M$5,0)&gt;='Kế hoạch định kỳ'!$W21)*(INT((EOMONTH(M$5,0)-'Kế hoạch định kỳ'!$W21)/'Kế hoạch định kỳ'!$X21)+1)-(M$5-1&gt;='Kế hoạch định kỳ'!$W21)*(INT((M$5-1-'Kế hoạch định kỳ'!$W21)/'Kế hoạch định kỳ'!$X21)+1))&gt;0,IF(EOMONTH(M$5,0)&lt;'Tổng quan'!$B$11,"✖","○"),"")))</f>
        <v>✔</v>
      </c>
      <c r="N21" s="61" t="str">
        <f>IF($A21="","",IF(COUNTIFS('Nhật ký bảo trì'!$D$6:$D$405,$A21,'Nhật ký bảo trì'!$Q$6:$Q$405,"Hoàn thành",'Nhật ký bảo trì'!$B$6:$B$405,"&gt;="&amp;N$5,'Nhật ký bảo trì'!$B$6:$B$405,"&lt;="&amp;EOMONTH(N$5,0))&gt;0,"✔",IF(((EOMONTH(N$5,0)&gt;='Kế hoạch định kỳ'!$W21)*(INT((EOMONTH(N$5,0)-'Kế hoạch định kỳ'!$W21)/'Kế hoạch định kỳ'!$X21)+1)-(N$5-1&gt;='Kế hoạch định kỳ'!$W21)*(INT((N$5-1-'Kế hoạch định kỳ'!$W21)/'Kế hoạch định kỳ'!$X21)+1))&gt;0,IF(EOMONTH(N$5,0)&lt;'Tổng quan'!$B$11,"✖","○"),"")))</f>
        <v>○</v>
      </c>
      <c r="O21" s="61" t="str">
        <f>IF($A21="","",IF(COUNTIFS('Nhật ký bảo trì'!$D$6:$D$405,$A21,'Nhật ký bảo trì'!$Q$6:$Q$405,"Hoàn thành",'Nhật ký bảo trì'!$B$6:$B$405,"&gt;="&amp;O$5,'Nhật ký bảo trì'!$B$6:$B$405,"&lt;="&amp;EOMONTH(O$5,0))&gt;0,"✔",IF(((EOMONTH(O$5,0)&gt;='Kế hoạch định kỳ'!$W21)*(INT((EOMONTH(O$5,0)-'Kế hoạch định kỳ'!$W21)/'Kế hoạch định kỳ'!$X21)+1)-(O$5-1&gt;='Kế hoạch định kỳ'!$W21)*(INT((O$5-1-'Kế hoạch định kỳ'!$W21)/'Kế hoạch định kỳ'!$X21)+1))&gt;0,IF(EOMONTH(O$5,0)&lt;'Tổng quan'!$B$11,"✖","○"),"")))</f>
        <v>○</v>
      </c>
      <c r="P21" s="61" t="str">
        <f>IF($A21="","",IF(COUNTIFS('Nhật ký bảo trì'!$D$6:$D$405,$A21,'Nhật ký bảo trì'!$Q$6:$Q$405,"Hoàn thành",'Nhật ký bảo trì'!$B$6:$B$405,"&gt;="&amp;P$5,'Nhật ký bảo trì'!$B$6:$B$405,"&lt;="&amp;EOMONTH(P$5,0))&gt;0,"✔",IF(((EOMONTH(P$5,0)&gt;='Kế hoạch định kỳ'!$W21)*(INT((EOMONTH(P$5,0)-'Kế hoạch định kỳ'!$W21)/'Kế hoạch định kỳ'!$X21)+1)-(P$5-1&gt;='Kế hoạch định kỳ'!$W21)*(INT((P$5-1-'Kế hoạch định kỳ'!$W21)/'Kế hoạch định kỳ'!$X21)+1))&gt;0,IF(EOMONTH(P$5,0)&lt;'Tổng quan'!$B$11,"✖","○"),"")))</f>
        <v>○</v>
      </c>
      <c r="Q21" s="30">
        <f>IF($A21="","",COUNTIFS('Nhật ký bảo trì'!$D$6:$D$405,$A21,'Nhật ký bảo trì'!$Q$6:$Q$405,"Hoàn thành",'Nhật ký bảo trì'!$B$6:$B$405,"&gt;="&amp;DATE('Tổng quan'!$B$6,1,1),'Nhật ký bảo trì'!$B$6:$B$405,"&lt;="&amp;DATE('Tổng quan'!$B$6,12,31)))</f>
        <v>4</v>
      </c>
      <c r="R21" s="30">
        <f t="shared" si="1"/>
        <v>3</v>
      </c>
    </row>
    <row r="22" ht="24.0" customHeight="1">
      <c r="A22" s="10" t="str">
        <f>IF('Kế hoạch định kỳ'!$B22="","",'Kế hoạch định kỳ'!$B22)</f>
        <v>KH017</v>
      </c>
      <c r="B22" s="14" t="str">
        <f>IF('Kế hoạch định kỳ'!$B22="","",'Kế hoạch định kỳ'!$D22)</f>
        <v>Máy dán thùng carton tự động</v>
      </c>
      <c r="C22" s="18" t="str">
        <f>IF('Kế hoạch định kỳ'!$B22="","",'Kế hoạch định kỳ'!$F22)</f>
        <v>Vệ sinh keo, kiểm tra kim đầu dán</v>
      </c>
      <c r="D22" s="10" t="str">
        <f>IF('Kế hoạch định kỳ'!$B22="","",IF('Kế hoạch định kỳ'!$I22&lt;&gt;"",'Kế hoạch định kỳ'!$I22&amp;" ngày",'Kế hoạch định kỳ'!$H22))</f>
        <v>Hằng tháng</v>
      </c>
      <c r="E22" s="24" t="str">
        <f>IF($A22="","",IF(COUNTIFS('Nhật ký bảo trì'!$D$6:$D$405,$A22,'Nhật ký bảo trì'!$Q$6:$Q$405,"Hoàn thành",'Nhật ký bảo trì'!$B$6:$B$405,"&gt;="&amp;E$5,'Nhật ký bảo trì'!$B$6:$B$405,"&lt;="&amp;EOMONTH(E$5,0))&gt;0,"✔",IF(((EOMONTH(E$5,0)&gt;='Kế hoạch định kỳ'!$W22)*(INT((EOMONTH(E$5,0)-'Kế hoạch định kỳ'!$W22)/'Kế hoạch định kỳ'!$X22)+1)-(E$5-1&gt;='Kế hoạch định kỳ'!$W22)*(INT((E$5-1-'Kế hoạch định kỳ'!$W22)/'Kế hoạch định kỳ'!$X22)+1))&gt;0,IF(EOMONTH(E$5,0)&lt;'Tổng quan'!$B$11,"✖","○"),"")))</f>
        <v/>
      </c>
      <c r="F22" s="24" t="str">
        <f>IF($A22="","",IF(COUNTIFS('Nhật ký bảo trì'!$D$6:$D$405,$A22,'Nhật ký bảo trì'!$Q$6:$Q$405,"Hoàn thành",'Nhật ký bảo trì'!$B$6:$B$405,"&gt;="&amp;F$5,'Nhật ký bảo trì'!$B$6:$B$405,"&lt;="&amp;EOMONTH(F$5,0))&gt;0,"✔",IF(((EOMONTH(F$5,0)&gt;='Kế hoạch định kỳ'!$W22)*(INT((EOMONTH(F$5,0)-'Kế hoạch định kỳ'!$W22)/'Kế hoạch định kỳ'!$X22)+1)-(F$5-1&gt;='Kế hoạch định kỳ'!$W22)*(INT((F$5-1-'Kế hoạch định kỳ'!$W22)/'Kế hoạch định kỳ'!$X22)+1))&gt;0,IF(EOMONTH(F$5,0)&lt;'Tổng quan'!$B$11,"✖","○"),"")))</f>
        <v/>
      </c>
      <c r="G22" s="24" t="str">
        <f>IF($A22="","",IF(COUNTIFS('Nhật ký bảo trì'!$D$6:$D$405,$A22,'Nhật ký bảo trì'!$Q$6:$Q$405,"Hoàn thành",'Nhật ký bảo trì'!$B$6:$B$405,"&gt;="&amp;G$5,'Nhật ký bảo trì'!$B$6:$B$405,"&lt;="&amp;EOMONTH(G$5,0))&gt;0,"✔",IF(((EOMONTH(G$5,0)&gt;='Kế hoạch định kỳ'!$W22)*(INT((EOMONTH(G$5,0)-'Kế hoạch định kỳ'!$W22)/'Kế hoạch định kỳ'!$X22)+1)-(G$5-1&gt;='Kế hoạch định kỳ'!$W22)*(INT((G$5-1-'Kế hoạch định kỳ'!$W22)/'Kế hoạch định kỳ'!$X22)+1))&gt;0,IF(EOMONTH(G$5,0)&lt;'Tổng quan'!$B$11,"✖","○"),"")))</f>
        <v/>
      </c>
      <c r="H22" s="24" t="str">
        <f>IF($A22="","",IF(COUNTIFS('Nhật ký bảo trì'!$D$6:$D$405,$A22,'Nhật ký bảo trì'!$Q$6:$Q$405,"Hoàn thành",'Nhật ký bảo trì'!$B$6:$B$405,"&gt;="&amp;H$5,'Nhật ký bảo trì'!$B$6:$B$405,"&lt;="&amp;EOMONTH(H$5,0))&gt;0,"✔",IF(((EOMONTH(H$5,0)&gt;='Kế hoạch định kỳ'!$W22)*(INT((EOMONTH(H$5,0)-'Kế hoạch định kỳ'!$W22)/'Kế hoạch định kỳ'!$X22)+1)-(H$5-1&gt;='Kế hoạch định kỳ'!$W22)*(INT((H$5-1-'Kế hoạch định kỳ'!$W22)/'Kế hoạch định kỳ'!$X22)+1))&gt;0,IF(EOMONTH(H$5,0)&lt;'Tổng quan'!$B$11,"✖","○"),"")))</f>
        <v/>
      </c>
      <c r="I22" s="24" t="str">
        <f>IF($A22="","",IF(COUNTIFS('Nhật ký bảo trì'!$D$6:$D$405,$A22,'Nhật ký bảo trì'!$Q$6:$Q$405,"Hoàn thành",'Nhật ký bảo trì'!$B$6:$B$405,"&gt;="&amp;I$5,'Nhật ký bảo trì'!$B$6:$B$405,"&lt;="&amp;EOMONTH(I$5,0))&gt;0,"✔",IF(((EOMONTH(I$5,0)&gt;='Kế hoạch định kỳ'!$W22)*(INT((EOMONTH(I$5,0)-'Kế hoạch định kỳ'!$W22)/'Kế hoạch định kỳ'!$X22)+1)-(I$5-1&gt;='Kế hoạch định kỳ'!$W22)*(INT((I$5-1-'Kế hoạch định kỳ'!$W22)/'Kế hoạch định kỳ'!$X22)+1))&gt;0,IF(EOMONTH(I$5,0)&lt;'Tổng quan'!$B$11,"✖","○"),"")))</f>
        <v/>
      </c>
      <c r="J22" s="24" t="str">
        <f>IF($A22="","",IF(COUNTIFS('Nhật ký bảo trì'!$D$6:$D$405,$A22,'Nhật ký bảo trì'!$Q$6:$Q$405,"Hoàn thành",'Nhật ký bảo trì'!$B$6:$B$405,"&gt;="&amp;J$5,'Nhật ký bảo trì'!$B$6:$B$405,"&lt;="&amp;EOMONTH(J$5,0))&gt;0,"✔",IF(((EOMONTH(J$5,0)&gt;='Kế hoạch định kỳ'!$W22)*(INT((EOMONTH(J$5,0)-'Kế hoạch định kỳ'!$W22)/'Kế hoạch định kỳ'!$X22)+1)-(J$5-1&gt;='Kế hoạch định kỳ'!$W22)*(INT((J$5-1-'Kế hoạch định kỳ'!$W22)/'Kế hoạch định kỳ'!$X22)+1))&gt;0,IF(EOMONTH(J$5,0)&lt;'Tổng quan'!$B$11,"✖","○"),"")))</f>
        <v/>
      </c>
      <c r="K22" s="24" t="str">
        <f>IF($A22="","",IF(COUNTIFS('Nhật ký bảo trì'!$D$6:$D$405,$A22,'Nhật ký bảo trì'!$Q$6:$Q$405,"Hoàn thành",'Nhật ký bảo trì'!$B$6:$B$405,"&gt;="&amp;K$5,'Nhật ký bảo trì'!$B$6:$B$405,"&lt;="&amp;EOMONTH(K$5,0))&gt;0,"✔",IF(((EOMONTH(K$5,0)&gt;='Kế hoạch định kỳ'!$W22)*(INT((EOMONTH(K$5,0)-'Kế hoạch định kỳ'!$W22)/'Kế hoạch định kỳ'!$X22)+1)-(K$5-1&gt;='Kế hoạch định kỳ'!$W22)*(INT((K$5-1-'Kế hoạch định kỳ'!$W22)/'Kế hoạch định kỳ'!$X22)+1))&gt;0,IF(EOMONTH(K$5,0)&lt;'Tổng quan'!$B$11,"✖","○"),"")))</f>
        <v>✔</v>
      </c>
      <c r="L22" s="24" t="str">
        <f>IF($A22="","",IF(COUNTIFS('Nhật ký bảo trì'!$D$6:$D$405,$A22,'Nhật ký bảo trì'!$Q$6:$Q$405,"Hoàn thành",'Nhật ký bảo trì'!$B$6:$B$405,"&gt;="&amp;L$5,'Nhật ký bảo trì'!$B$6:$B$405,"&lt;="&amp;EOMONTH(L$5,0))&gt;0,"✔",IF(((EOMONTH(L$5,0)&gt;='Kế hoạch định kỳ'!$W22)*(INT((EOMONTH(L$5,0)-'Kế hoạch định kỳ'!$W22)/'Kế hoạch định kỳ'!$X22)+1)-(L$5-1&gt;='Kế hoạch định kỳ'!$W22)*(INT((L$5-1-'Kế hoạch định kỳ'!$W22)/'Kế hoạch định kỳ'!$X22)+1))&gt;0,IF(EOMONTH(L$5,0)&lt;'Tổng quan'!$B$11,"✖","○"),"")))</f>
        <v>✔</v>
      </c>
      <c r="M22" s="24" t="str">
        <f>IF($A22="","",IF(COUNTIFS('Nhật ký bảo trì'!$D$6:$D$405,$A22,'Nhật ký bảo trì'!$Q$6:$Q$405,"Hoàn thành",'Nhật ký bảo trì'!$B$6:$B$405,"&gt;="&amp;M$5,'Nhật ký bảo trì'!$B$6:$B$405,"&lt;="&amp;EOMONTH(M$5,0))&gt;0,"✔",IF(((EOMONTH(M$5,0)&gt;='Kế hoạch định kỳ'!$W22)*(INT((EOMONTH(M$5,0)-'Kế hoạch định kỳ'!$W22)/'Kế hoạch định kỳ'!$X22)+1)-(M$5-1&gt;='Kế hoạch định kỳ'!$W22)*(INT((M$5-1-'Kế hoạch định kỳ'!$W22)/'Kế hoạch định kỳ'!$X22)+1))&gt;0,IF(EOMONTH(M$5,0)&lt;'Tổng quan'!$B$11,"✖","○"),"")))</f>
        <v>✔</v>
      </c>
      <c r="N22" s="24" t="str">
        <f>IF($A22="","",IF(COUNTIFS('Nhật ký bảo trì'!$D$6:$D$405,$A22,'Nhật ký bảo trì'!$Q$6:$Q$405,"Hoàn thành",'Nhật ký bảo trì'!$B$6:$B$405,"&gt;="&amp;N$5,'Nhật ký bảo trì'!$B$6:$B$405,"&lt;="&amp;EOMONTH(N$5,0))&gt;0,"✔",IF(((EOMONTH(N$5,0)&gt;='Kế hoạch định kỳ'!$W22)*(INT((EOMONTH(N$5,0)-'Kế hoạch định kỳ'!$W22)/'Kế hoạch định kỳ'!$X22)+1)-(N$5-1&gt;='Kế hoạch định kỳ'!$W22)*(INT((N$5-1-'Kế hoạch định kỳ'!$W22)/'Kế hoạch định kỳ'!$X22)+1))&gt;0,IF(EOMONTH(N$5,0)&lt;'Tổng quan'!$B$11,"✖","○"),"")))</f>
        <v>✔</v>
      </c>
      <c r="O22" s="24" t="str">
        <f>IF($A22="","",IF(COUNTIFS('Nhật ký bảo trì'!$D$6:$D$405,$A22,'Nhật ký bảo trì'!$Q$6:$Q$405,"Hoàn thành",'Nhật ký bảo trì'!$B$6:$B$405,"&gt;="&amp;O$5,'Nhật ký bảo trì'!$B$6:$B$405,"&lt;="&amp;EOMONTH(O$5,0))&gt;0,"✔",IF(((EOMONTH(O$5,0)&gt;='Kế hoạch định kỳ'!$W22)*(INT((EOMONTH(O$5,0)-'Kế hoạch định kỳ'!$W22)/'Kế hoạch định kỳ'!$X22)+1)-(O$5-1&gt;='Kế hoạch định kỳ'!$W22)*(INT((O$5-1-'Kế hoạch định kỳ'!$W22)/'Kế hoạch định kỳ'!$X22)+1))&gt;0,IF(EOMONTH(O$5,0)&lt;'Tổng quan'!$B$11,"✖","○"),"")))</f>
        <v>○</v>
      </c>
      <c r="P22" s="24" t="str">
        <f>IF($A22="","",IF(COUNTIFS('Nhật ký bảo trì'!$D$6:$D$405,$A22,'Nhật ký bảo trì'!$Q$6:$Q$405,"Hoàn thành",'Nhật ký bảo trì'!$B$6:$B$405,"&gt;="&amp;P$5,'Nhật ký bảo trì'!$B$6:$B$405,"&lt;="&amp;EOMONTH(P$5,0))&gt;0,"✔",IF(((EOMONTH(P$5,0)&gt;='Kế hoạch định kỳ'!$W22)*(INT((EOMONTH(P$5,0)-'Kế hoạch định kỳ'!$W22)/'Kế hoạch định kỳ'!$X22)+1)-(P$5-1&gt;='Kế hoạch định kỳ'!$W22)*(INT((P$5-1-'Kế hoạch định kỳ'!$W22)/'Kế hoạch định kỳ'!$X22)+1))&gt;0,IF(EOMONTH(P$5,0)&lt;'Tổng quan'!$B$11,"✖","○"),"")))</f>
        <v>○</v>
      </c>
      <c r="Q22" s="16">
        <f>IF($A22="","",COUNTIFS('Nhật ký bảo trì'!$D$6:$D$405,$A22,'Nhật ký bảo trì'!$Q$6:$Q$405,"Hoàn thành",'Nhật ký bảo trì'!$B$6:$B$405,"&gt;="&amp;DATE('Tổng quan'!$B$6,1,1),'Nhật ký bảo trì'!$B$6:$B$405,"&lt;="&amp;DATE('Tổng quan'!$B$6,12,31)))</f>
        <v>4</v>
      </c>
      <c r="R22" s="16">
        <f t="shared" si="1"/>
        <v>2</v>
      </c>
    </row>
    <row r="23" ht="24.0" customHeight="1">
      <c r="A23" s="26" t="str">
        <f>IF('Kế hoạch định kỳ'!$B23="","",'Kế hoạch định kỳ'!$B23)</f>
        <v>KH018</v>
      </c>
      <c r="B23" s="28" t="str">
        <f>IF('Kế hoạch định kỳ'!$B23="","",'Kế hoạch định kỳ'!$D23)</f>
        <v>Máy dán thùng carton tự động</v>
      </c>
      <c r="C23" s="56" t="str">
        <f>IF('Kế hoạch định kỳ'!$B23="","",'Kế hoạch định kỳ'!$F23)</f>
        <v>Thay dây curoa và kiểm tra động cơ</v>
      </c>
      <c r="D23" s="26" t="str">
        <f>IF('Kế hoạch định kỳ'!$B23="","",IF('Kế hoạch định kỳ'!$I23&lt;&gt;"",'Kế hoạch định kỳ'!$I23&amp;" ngày",'Kế hoạch định kỳ'!$H23))</f>
        <v>6 tháng/lần</v>
      </c>
      <c r="E23" s="61" t="str">
        <f>IF($A23="","",IF(COUNTIFS('Nhật ký bảo trì'!$D$6:$D$405,$A23,'Nhật ký bảo trì'!$Q$6:$Q$405,"Hoàn thành",'Nhật ký bảo trì'!$B$6:$B$405,"&gt;="&amp;E$5,'Nhật ký bảo trì'!$B$6:$B$405,"&lt;="&amp;EOMONTH(E$5,0))&gt;0,"✔",IF(((EOMONTH(E$5,0)&gt;='Kế hoạch định kỳ'!$W23)*(INT((EOMONTH(E$5,0)-'Kế hoạch định kỳ'!$W23)/'Kế hoạch định kỳ'!$X23)+1)-(E$5-1&gt;='Kế hoạch định kỳ'!$W23)*(INT((E$5-1-'Kế hoạch định kỳ'!$W23)/'Kế hoạch định kỳ'!$X23)+1))&gt;0,IF(EOMONTH(E$5,0)&lt;'Tổng quan'!$B$11,"✖","○"),"")))</f>
        <v/>
      </c>
      <c r="F23" s="61" t="str">
        <f>IF($A23="","",IF(COUNTIFS('Nhật ký bảo trì'!$D$6:$D$405,$A23,'Nhật ký bảo trì'!$Q$6:$Q$405,"Hoàn thành",'Nhật ký bảo trì'!$B$6:$B$405,"&gt;="&amp;F$5,'Nhật ký bảo trì'!$B$6:$B$405,"&lt;="&amp;EOMONTH(F$5,0))&gt;0,"✔",IF(((EOMONTH(F$5,0)&gt;='Kế hoạch định kỳ'!$W23)*(INT((EOMONTH(F$5,0)-'Kế hoạch định kỳ'!$W23)/'Kế hoạch định kỳ'!$X23)+1)-(F$5-1&gt;='Kế hoạch định kỳ'!$W23)*(INT((F$5-1-'Kế hoạch định kỳ'!$W23)/'Kế hoạch định kỳ'!$X23)+1))&gt;0,IF(EOMONTH(F$5,0)&lt;'Tổng quan'!$B$11,"✖","○"),"")))</f>
        <v/>
      </c>
      <c r="G23" s="61" t="str">
        <f>IF($A23="","",IF(COUNTIFS('Nhật ký bảo trì'!$D$6:$D$405,$A23,'Nhật ký bảo trì'!$Q$6:$Q$405,"Hoàn thành",'Nhật ký bảo trì'!$B$6:$B$405,"&gt;="&amp;G$5,'Nhật ký bảo trì'!$B$6:$B$405,"&lt;="&amp;EOMONTH(G$5,0))&gt;0,"✔",IF(((EOMONTH(G$5,0)&gt;='Kế hoạch định kỳ'!$W23)*(INT((EOMONTH(G$5,0)-'Kế hoạch định kỳ'!$W23)/'Kế hoạch định kỳ'!$X23)+1)-(G$5-1&gt;='Kế hoạch định kỳ'!$W23)*(INT((G$5-1-'Kế hoạch định kỳ'!$W23)/'Kế hoạch định kỳ'!$X23)+1))&gt;0,IF(EOMONTH(G$5,0)&lt;'Tổng quan'!$B$11,"✖","○"),"")))</f>
        <v/>
      </c>
      <c r="H23" s="61" t="str">
        <f>IF($A23="","",IF(COUNTIFS('Nhật ký bảo trì'!$D$6:$D$405,$A23,'Nhật ký bảo trì'!$Q$6:$Q$405,"Hoàn thành",'Nhật ký bảo trì'!$B$6:$B$405,"&gt;="&amp;H$5,'Nhật ký bảo trì'!$B$6:$B$405,"&lt;="&amp;EOMONTH(H$5,0))&gt;0,"✔",IF(((EOMONTH(H$5,0)&gt;='Kế hoạch định kỳ'!$W23)*(INT((EOMONTH(H$5,0)-'Kế hoạch định kỳ'!$W23)/'Kế hoạch định kỳ'!$X23)+1)-(H$5-1&gt;='Kế hoạch định kỳ'!$W23)*(INT((H$5-1-'Kế hoạch định kỳ'!$W23)/'Kế hoạch định kỳ'!$X23)+1))&gt;0,IF(EOMONTH(H$5,0)&lt;'Tổng quan'!$B$11,"✖","○"),"")))</f>
        <v/>
      </c>
      <c r="I23" s="61" t="str">
        <f>IF($A23="","",IF(COUNTIFS('Nhật ký bảo trì'!$D$6:$D$405,$A23,'Nhật ký bảo trì'!$Q$6:$Q$405,"Hoàn thành",'Nhật ký bảo trì'!$B$6:$B$405,"&gt;="&amp;I$5,'Nhật ký bảo trì'!$B$6:$B$405,"&lt;="&amp;EOMONTH(I$5,0))&gt;0,"✔",IF(((EOMONTH(I$5,0)&gt;='Kế hoạch định kỳ'!$W23)*(INT((EOMONTH(I$5,0)-'Kế hoạch định kỳ'!$W23)/'Kế hoạch định kỳ'!$X23)+1)-(I$5-1&gt;='Kế hoạch định kỳ'!$W23)*(INT((I$5-1-'Kế hoạch định kỳ'!$W23)/'Kế hoạch định kỳ'!$X23)+1))&gt;0,IF(EOMONTH(I$5,0)&lt;'Tổng quan'!$B$11,"✖","○"),"")))</f>
        <v>✔</v>
      </c>
      <c r="J23" s="61" t="str">
        <f>IF($A23="","",IF(COUNTIFS('Nhật ký bảo trì'!$D$6:$D$405,$A23,'Nhật ký bảo trì'!$Q$6:$Q$405,"Hoàn thành",'Nhật ký bảo trì'!$B$6:$B$405,"&gt;="&amp;J$5,'Nhật ký bảo trì'!$B$6:$B$405,"&lt;="&amp;EOMONTH(J$5,0))&gt;0,"✔",IF(((EOMONTH(J$5,0)&gt;='Kế hoạch định kỳ'!$W23)*(INT((EOMONTH(J$5,0)-'Kế hoạch định kỳ'!$W23)/'Kế hoạch định kỳ'!$X23)+1)-(J$5-1&gt;='Kế hoạch định kỳ'!$W23)*(INT((J$5-1-'Kế hoạch định kỳ'!$W23)/'Kế hoạch định kỳ'!$X23)+1))&gt;0,IF(EOMONTH(J$5,0)&lt;'Tổng quan'!$B$11,"✖","○"),"")))</f>
        <v/>
      </c>
      <c r="K23" s="61" t="str">
        <f>IF($A23="","",IF(COUNTIFS('Nhật ký bảo trì'!$D$6:$D$405,$A23,'Nhật ký bảo trì'!$Q$6:$Q$405,"Hoàn thành",'Nhật ký bảo trì'!$B$6:$B$405,"&gt;="&amp;K$5,'Nhật ký bảo trì'!$B$6:$B$405,"&lt;="&amp;EOMONTH(K$5,0))&gt;0,"✔",IF(((EOMONTH(K$5,0)&gt;='Kế hoạch định kỳ'!$W23)*(INT((EOMONTH(K$5,0)-'Kế hoạch định kỳ'!$W23)/'Kế hoạch định kỳ'!$X23)+1)-(K$5-1&gt;='Kế hoạch định kỳ'!$W23)*(INT((K$5-1-'Kế hoạch định kỳ'!$W23)/'Kế hoạch định kỳ'!$X23)+1))&gt;0,IF(EOMONTH(K$5,0)&lt;'Tổng quan'!$B$11,"✖","○"),"")))</f>
        <v/>
      </c>
      <c r="L23" s="61" t="str">
        <f>IF($A23="","",IF(COUNTIFS('Nhật ký bảo trì'!$D$6:$D$405,$A23,'Nhật ký bảo trì'!$Q$6:$Q$405,"Hoàn thành",'Nhật ký bảo trì'!$B$6:$B$405,"&gt;="&amp;L$5,'Nhật ký bảo trì'!$B$6:$B$405,"&lt;="&amp;EOMONTH(L$5,0))&gt;0,"✔",IF(((EOMONTH(L$5,0)&gt;='Kế hoạch định kỳ'!$W23)*(INT((EOMONTH(L$5,0)-'Kế hoạch định kỳ'!$W23)/'Kế hoạch định kỳ'!$X23)+1)-(L$5-1&gt;='Kế hoạch định kỳ'!$W23)*(INT((L$5-1-'Kế hoạch định kỳ'!$W23)/'Kế hoạch định kỳ'!$X23)+1))&gt;0,IF(EOMONTH(L$5,0)&lt;'Tổng quan'!$B$11,"✖","○"),"")))</f>
        <v/>
      </c>
      <c r="M23" s="61" t="str">
        <f>IF($A23="","",IF(COUNTIFS('Nhật ký bảo trì'!$D$6:$D$405,$A23,'Nhật ký bảo trì'!$Q$6:$Q$405,"Hoàn thành",'Nhật ký bảo trì'!$B$6:$B$405,"&gt;="&amp;M$5,'Nhật ký bảo trì'!$B$6:$B$405,"&lt;="&amp;EOMONTH(M$5,0))&gt;0,"✔",IF(((EOMONTH(M$5,0)&gt;='Kế hoạch định kỳ'!$W23)*(INT((EOMONTH(M$5,0)-'Kế hoạch định kỳ'!$W23)/'Kế hoạch định kỳ'!$X23)+1)-(M$5-1&gt;='Kế hoạch định kỳ'!$W23)*(INT((M$5-1-'Kế hoạch định kỳ'!$W23)/'Kế hoạch định kỳ'!$X23)+1))&gt;0,IF(EOMONTH(M$5,0)&lt;'Tổng quan'!$B$11,"✖","○"),"")))</f>
        <v/>
      </c>
      <c r="N23" s="61" t="str">
        <f>IF($A23="","",IF(COUNTIFS('Nhật ký bảo trì'!$D$6:$D$405,$A23,'Nhật ký bảo trì'!$Q$6:$Q$405,"Hoàn thành",'Nhật ký bảo trì'!$B$6:$B$405,"&gt;="&amp;N$5,'Nhật ký bảo trì'!$B$6:$B$405,"&lt;="&amp;EOMONTH(N$5,0))&gt;0,"✔",IF(((EOMONTH(N$5,0)&gt;='Kế hoạch định kỳ'!$W23)*(INT((EOMONTH(N$5,0)-'Kế hoạch định kỳ'!$W23)/'Kế hoạch định kỳ'!$X23)+1)-(N$5-1&gt;='Kế hoạch định kỳ'!$W23)*(INT((N$5-1-'Kế hoạch định kỳ'!$W23)/'Kế hoạch định kỳ'!$X23)+1))&gt;0,IF(EOMONTH(N$5,0)&lt;'Tổng quan'!$B$11,"✖","○"),"")))</f>
        <v/>
      </c>
      <c r="O23" s="61" t="str">
        <f>IF($A23="","",IF(COUNTIFS('Nhật ký bảo trì'!$D$6:$D$405,$A23,'Nhật ký bảo trì'!$Q$6:$Q$405,"Hoàn thành",'Nhật ký bảo trì'!$B$6:$B$405,"&gt;="&amp;O$5,'Nhật ký bảo trì'!$B$6:$B$405,"&lt;="&amp;EOMONTH(O$5,0))&gt;0,"✔",IF(((EOMONTH(O$5,0)&gt;='Kế hoạch định kỳ'!$W23)*(INT((EOMONTH(O$5,0)-'Kế hoạch định kỳ'!$W23)/'Kế hoạch định kỳ'!$X23)+1)-(O$5-1&gt;='Kế hoạch định kỳ'!$W23)*(INT((O$5-1-'Kế hoạch định kỳ'!$W23)/'Kế hoạch định kỳ'!$X23)+1))&gt;0,IF(EOMONTH(O$5,0)&lt;'Tổng quan'!$B$11,"✖","○"),"")))</f>
        <v>○</v>
      </c>
      <c r="P23" s="61" t="str">
        <f>IF($A23="","",IF(COUNTIFS('Nhật ký bảo trì'!$D$6:$D$405,$A23,'Nhật ký bảo trì'!$Q$6:$Q$405,"Hoàn thành",'Nhật ký bảo trì'!$B$6:$B$405,"&gt;="&amp;P$5,'Nhật ký bảo trì'!$B$6:$B$405,"&lt;="&amp;EOMONTH(P$5,0))&gt;0,"✔",IF(((EOMONTH(P$5,0)&gt;='Kế hoạch định kỳ'!$W23)*(INT((EOMONTH(P$5,0)-'Kế hoạch định kỳ'!$W23)/'Kế hoạch định kỳ'!$X23)+1)-(P$5-1&gt;='Kế hoạch định kỳ'!$W23)*(INT((P$5-1-'Kế hoạch định kỳ'!$W23)/'Kế hoạch định kỳ'!$X23)+1))&gt;0,IF(EOMONTH(P$5,0)&lt;'Tổng quan'!$B$11,"✖","○"),"")))</f>
        <v/>
      </c>
      <c r="Q23" s="30">
        <f>IF($A23="","",COUNTIFS('Nhật ký bảo trì'!$D$6:$D$405,$A23,'Nhật ký bảo trì'!$Q$6:$Q$405,"Hoàn thành",'Nhật ký bảo trì'!$B$6:$B$405,"&gt;="&amp;DATE('Tổng quan'!$B$6,1,1),'Nhật ký bảo trì'!$B$6:$B$405,"&lt;="&amp;DATE('Tổng quan'!$B$6,12,31)))</f>
        <v>1</v>
      </c>
      <c r="R23" s="30">
        <f t="shared" si="1"/>
        <v>1</v>
      </c>
    </row>
    <row r="24" ht="24.0" customHeight="1">
      <c r="A24" s="10" t="str">
        <f>IF('Kế hoạch định kỳ'!$B24="","",'Kế hoạch định kỳ'!$B24)</f>
        <v>KH019</v>
      </c>
      <c r="B24" s="14" t="str">
        <f>IF('Kế hoạch định kỳ'!$B24="","",'Kế hoạch định kỳ'!$D24)</f>
        <v>Máy chủ và thiết bị mạng</v>
      </c>
      <c r="C24" s="18" t="str">
        <f>IF('Kế hoạch định kỳ'!$B24="","",'Kế hoạch định kỳ'!$F24)</f>
        <v>Sao lưu dữ liệu, cập nhật bản vá</v>
      </c>
      <c r="D24" s="10" t="str">
        <f>IF('Kế hoạch định kỳ'!$B24="","",IF('Kế hoạch định kỳ'!$I24&lt;&gt;"",'Kế hoạch định kỳ'!$I24&amp;" ngày",'Kế hoạch định kỳ'!$H24))</f>
        <v>Hằng tháng</v>
      </c>
      <c r="E24" s="24" t="str">
        <f>IF($A24="","",IF(COUNTIFS('Nhật ký bảo trì'!$D$6:$D$405,$A24,'Nhật ký bảo trì'!$Q$6:$Q$405,"Hoàn thành",'Nhật ký bảo trì'!$B$6:$B$405,"&gt;="&amp;E$5,'Nhật ký bảo trì'!$B$6:$B$405,"&lt;="&amp;EOMONTH(E$5,0))&gt;0,"✔",IF(((EOMONTH(E$5,0)&gt;='Kế hoạch định kỳ'!$W24)*(INT((EOMONTH(E$5,0)-'Kế hoạch định kỳ'!$W24)/'Kế hoạch định kỳ'!$X24)+1)-(E$5-1&gt;='Kế hoạch định kỳ'!$W24)*(INT((E$5-1-'Kế hoạch định kỳ'!$W24)/'Kế hoạch định kỳ'!$X24)+1))&gt;0,IF(EOMONTH(E$5,0)&lt;'Tổng quan'!$B$11,"✖","○"),"")))</f>
        <v/>
      </c>
      <c r="F24" s="24" t="str">
        <f>IF($A24="","",IF(COUNTIFS('Nhật ký bảo trì'!$D$6:$D$405,$A24,'Nhật ký bảo trì'!$Q$6:$Q$405,"Hoàn thành",'Nhật ký bảo trì'!$B$6:$B$405,"&gt;="&amp;F$5,'Nhật ký bảo trì'!$B$6:$B$405,"&lt;="&amp;EOMONTH(F$5,0))&gt;0,"✔",IF(((EOMONTH(F$5,0)&gt;='Kế hoạch định kỳ'!$W24)*(INT((EOMONTH(F$5,0)-'Kế hoạch định kỳ'!$W24)/'Kế hoạch định kỳ'!$X24)+1)-(F$5-1&gt;='Kế hoạch định kỳ'!$W24)*(INT((F$5-1-'Kế hoạch định kỳ'!$W24)/'Kế hoạch định kỳ'!$X24)+1))&gt;0,IF(EOMONTH(F$5,0)&lt;'Tổng quan'!$B$11,"✖","○"),"")))</f>
        <v/>
      </c>
      <c r="G24" s="24" t="str">
        <f>IF($A24="","",IF(COUNTIFS('Nhật ký bảo trì'!$D$6:$D$405,$A24,'Nhật ký bảo trì'!$Q$6:$Q$405,"Hoàn thành",'Nhật ký bảo trì'!$B$6:$B$405,"&gt;="&amp;G$5,'Nhật ký bảo trì'!$B$6:$B$405,"&lt;="&amp;EOMONTH(G$5,0))&gt;0,"✔",IF(((EOMONTH(G$5,0)&gt;='Kế hoạch định kỳ'!$W24)*(INT((EOMONTH(G$5,0)-'Kế hoạch định kỳ'!$W24)/'Kế hoạch định kỳ'!$X24)+1)-(G$5-1&gt;='Kế hoạch định kỳ'!$W24)*(INT((G$5-1-'Kế hoạch định kỳ'!$W24)/'Kế hoạch định kỳ'!$X24)+1))&gt;0,IF(EOMONTH(G$5,0)&lt;'Tổng quan'!$B$11,"✖","○"),"")))</f>
        <v/>
      </c>
      <c r="H24" s="24" t="str">
        <f>IF($A24="","",IF(COUNTIFS('Nhật ký bảo trì'!$D$6:$D$405,$A24,'Nhật ký bảo trì'!$Q$6:$Q$405,"Hoàn thành",'Nhật ký bảo trì'!$B$6:$B$405,"&gt;="&amp;H$5,'Nhật ký bảo trì'!$B$6:$B$405,"&lt;="&amp;EOMONTH(H$5,0))&gt;0,"✔",IF(((EOMONTH(H$5,0)&gt;='Kế hoạch định kỳ'!$W24)*(INT((EOMONTH(H$5,0)-'Kế hoạch định kỳ'!$W24)/'Kế hoạch định kỳ'!$X24)+1)-(H$5-1&gt;='Kế hoạch định kỳ'!$W24)*(INT((H$5-1-'Kế hoạch định kỳ'!$W24)/'Kế hoạch định kỳ'!$X24)+1))&gt;0,IF(EOMONTH(H$5,0)&lt;'Tổng quan'!$B$11,"✖","○"),"")))</f>
        <v/>
      </c>
      <c r="I24" s="24" t="str">
        <f>IF($A24="","",IF(COUNTIFS('Nhật ký bảo trì'!$D$6:$D$405,$A24,'Nhật ký bảo trì'!$Q$6:$Q$405,"Hoàn thành",'Nhật ký bảo trì'!$B$6:$B$405,"&gt;="&amp;I$5,'Nhật ký bảo trì'!$B$6:$B$405,"&lt;="&amp;EOMONTH(I$5,0))&gt;0,"✔",IF(((EOMONTH(I$5,0)&gt;='Kế hoạch định kỳ'!$W24)*(INT((EOMONTH(I$5,0)-'Kế hoạch định kỳ'!$W24)/'Kế hoạch định kỳ'!$X24)+1)-(I$5-1&gt;='Kế hoạch định kỳ'!$W24)*(INT((I$5-1-'Kế hoạch định kỳ'!$W24)/'Kế hoạch định kỳ'!$X24)+1))&gt;0,IF(EOMONTH(I$5,0)&lt;'Tổng quan'!$B$11,"✖","○"),"")))</f>
        <v/>
      </c>
      <c r="J24" s="24" t="str">
        <f>IF($A24="","",IF(COUNTIFS('Nhật ký bảo trì'!$D$6:$D$405,$A24,'Nhật ký bảo trì'!$Q$6:$Q$405,"Hoàn thành",'Nhật ký bảo trì'!$B$6:$B$405,"&gt;="&amp;J$5,'Nhật ký bảo trì'!$B$6:$B$405,"&lt;="&amp;EOMONTH(J$5,0))&gt;0,"✔",IF(((EOMONTH(J$5,0)&gt;='Kế hoạch định kỳ'!$W24)*(INT((EOMONTH(J$5,0)-'Kế hoạch định kỳ'!$W24)/'Kế hoạch định kỳ'!$X24)+1)-(J$5-1&gt;='Kế hoạch định kỳ'!$W24)*(INT((J$5-1-'Kế hoạch định kỳ'!$W24)/'Kế hoạch định kỳ'!$X24)+1))&gt;0,IF(EOMONTH(J$5,0)&lt;'Tổng quan'!$B$11,"✖","○"),"")))</f>
        <v/>
      </c>
      <c r="K24" s="24" t="str">
        <f>IF($A24="","",IF(COUNTIFS('Nhật ký bảo trì'!$D$6:$D$405,$A24,'Nhật ký bảo trì'!$Q$6:$Q$405,"Hoàn thành",'Nhật ký bảo trì'!$B$6:$B$405,"&gt;="&amp;K$5,'Nhật ký bảo trì'!$B$6:$B$405,"&lt;="&amp;EOMONTH(K$5,0))&gt;0,"✔",IF(((EOMONTH(K$5,0)&gt;='Kế hoạch định kỳ'!$W24)*(INT((EOMONTH(K$5,0)-'Kế hoạch định kỳ'!$W24)/'Kế hoạch định kỳ'!$X24)+1)-(K$5-1&gt;='Kế hoạch định kỳ'!$W24)*(INT((K$5-1-'Kế hoạch định kỳ'!$W24)/'Kế hoạch định kỳ'!$X24)+1))&gt;0,IF(EOMONTH(K$5,0)&lt;'Tổng quan'!$B$11,"✖","○"),"")))</f>
        <v/>
      </c>
      <c r="L24" s="24" t="str">
        <f>IF($A24="","",IF(COUNTIFS('Nhật ký bảo trì'!$D$6:$D$405,$A24,'Nhật ký bảo trì'!$Q$6:$Q$405,"Hoàn thành",'Nhật ký bảo trì'!$B$6:$B$405,"&gt;="&amp;L$5,'Nhật ký bảo trì'!$B$6:$B$405,"&lt;="&amp;EOMONTH(L$5,0))&gt;0,"✔",IF(((EOMONTH(L$5,0)&gt;='Kế hoạch định kỳ'!$W24)*(INT((EOMONTH(L$5,0)-'Kế hoạch định kỳ'!$W24)/'Kế hoạch định kỳ'!$X24)+1)-(L$5-1&gt;='Kế hoạch định kỳ'!$W24)*(INT((L$5-1-'Kế hoạch định kỳ'!$W24)/'Kế hoạch định kỳ'!$X24)+1))&gt;0,IF(EOMONTH(L$5,0)&lt;'Tổng quan'!$B$11,"✖","○"),"")))</f>
        <v>✔</v>
      </c>
      <c r="M24" s="24" t="str">
        <f>IF($A24="","",IF(COUNTIFS('Nhật ký bảo trì'!$D$6:$D$405,$A24,'Nhật ký bảo trì'!$Q$6:$Q$405,"Hoàn thành",'Nhật ký bảo trì'!$B$6:$B$405,"&gt;="&amp;M$5,'Nhật ký bảo trì'!$B$6:$B$405,"&lt;="&amp;EOMONTH(M$5,0))&gt;0,"✔",IF(((EOMONTH(M$5,0)&gt;='Kế hoạch định kỳ'!$W24)*(INT((EOMONTH(M$5,0)-'Kế hoạch định kỳ'!$W24)/'Kế hoạch định kỳ'!$X24)+1)-(M$5-1&gt;='Kế hoạch định kỳ'!$W24)*(INT((M$5-1-'Kế hoạch định kỳ'!$W24)/'Kế hoạch định kỳ'!$X24)+1))&gt;0,IF(EOMONTH(M$5,0)&lt;'Tổng quan'!$B$11,"✖","○"),"")))</f>
        <v>✔</v>
      </c>
      <c r="N24" s="24" t="str">
        <f>IF($A24="","",IF(COUNTIFS('Nhật ký bảo trì'!$D$6:$D$405,$A24,'Nhật ký bảo trì'!$Q$6:$Q$405,"Hoàn thành",'Nhật ký bảo trì'!$B$6:$B$405,"&gt;="&amp;N$5,'Nhật ký bảo trì'!$B$6:$B$405,"&lt;="&amp;EOMONTH(N$5,0))&gt;0,"✔",IF(((EOMONTH(N$5,0)&gt;='Kế hoạch định kỳ'!$W24)*(INT((EOMONTH(N$5,0)-'Kế hoạch định kỳ'!$W24)/'Kế hoạch định kỳ'!$X24)+1)-(N$5-1&gt;='Kế hoạch định kỳ'!$W24)*(INT((N$5-1-'Kế hoạch định kỳ'!$W24)/'Kế hoạch định kỳ'!$X24)+1))&gt;0,IF(EOMONTH(N$5,0)&lt;'Tổng quan'!$B$11,"✖","○"),"")))</f>
        <v>✔</v>
      </c>
      <c r="O24" s="24" t="str">
        <f>IF($A24="","",IF(COUNTIFS('Nhật ký bảo trì'!$D$6:$D$405,$A24,'Nhật ký bảo trì'!$Q$6:$Q$405,"Hoàn thành",'Nhật ký bảo trì'!$B$6:$B$405,"&gt;="&amp;O$5,'Nhật ký bảo trì'!$B$6:$B$405,"&lt;="&amp;EOMONTH(O$5,0))&gt;0,"✔",IF(((EOMONTH(O$5,0)&gt;='Kế hoạch định kỳ'!$W24)*(INT((EOMONTH(O$5,0)-'Kế hoạch định kỳ'!$W24)/'Kế hoạch định kỳ'!$X24)+1)-(O$5-1&gt;='Kế hoạch định kỳ'!$W24)*(INT((O$5-1-'Kế hoạch định kỳ'!$W24)/'Kế hoạch định kỳ'!$X24)+1))&gt;0,IF(EOMONTH(O$5,0)&lt;'Tổng quan'!$B$11,"✖","○"),"")))</f>
        <v>○</v>
      </c>
      <c r="P24" s="24" t="str">
        <f>IF($A24="","",IF(COUNTIFS('Nhật ký bảo trì'!$D$6:$D$405,$A24,'Nhật ký bảo trì'!$Q$6:$Q$405,"Hoàn thành",'Nhật ký bảo trì'!$B$6:$B$405,"&gt;="&amp;P$5,'Nhật ký bảo trì'!$B$6:$B$405,"&lt;="&amp;EOMONTH(P$5,0))&gt;0,"✔",IF(((EOMONTH(P$5,0)&gt;='Kế hoạch định kỳ'!$W24)*(INT((EOMONTH(P$5,0)-'Kế hoạch định kỳ'!$W24)/'Kế hoạch định kỳ'!$X24)+1)-(P$5-1&gt;='Kế hoạch định kỳ'!$W24)*(INT((P$5-1-'Kế hoạch định kỳ'!$W24)/'Kế hoạch định kỳ'!$X24)+1))&gt;0,IF(EOMONTH(P$5,0)&lt;'Tổng quan'!$B$11,"✖","○"),"")))</f>
        <v>○</v>
      </c>
      <c r="Q24" s="16">
        <f>IF($A24="","",COUNTIFS('Nhật ký bảo trì'!$D$6:$D$405,$A24,'Nhật ký bảo trì'!$Q$6:$Q$405,"Hoàn thành",'Nhật ký bảo trì'!$B$6:$B$405,"&gt;="&amp;DATE('Tổng quan'!$B$6,1,1),'Nhật ký bảo trì'!$B$6:$B$405,"&lt;="&amp;DATE('Tổng quan'!$B$6,12,31)))</f>
        <v>4</v>
      </c>
      <c r="R24" s="16">
        <f t="shared" si="1"/>
        <v>2</v>
      </c>
    </row>
    <row r="25" ht="24.0" customHeight="1">
      <c r="A25" s="26" t="str">
        <f>IF('Kế hoạch định kỳ'!$B25="","",'Kế hoạch định kỳ'!$B25)</f>
        <v>KH020</v>
      </c>
      <c r="B25" s="28" t="str">
        <f>IF('Kế hoạch định kỳ'!$B25="","",'Kế hoạch định kỳ'!$D25)</f>
        <v>Máy chủ và thiết bị mạng</v>
      </c>
      <c r="C25" s="56" t="str">
        <f>IF('Kế hoạch định kỳ'!$B25="","",'Kế hoạch định kỳ'!$F25)</f>
        <v>Vệ sinh phòng máy, kiểm tra UPS</v>
      </c>
      <c r="D25" s="26" t="str">
        <f>IF('Kế hoạch định kỳ'!$B25="","",IF('Kế hoạch định kỳ'!$I25&lt;&gt;"",'Kế hoạch định kỳ'!$I25&amp;" ngày",'Kế hoạch định kỳ'!$H25))</f>
        <v>Hằng quý</v>
      </c>
      <c r="E25" s="61" t="str">
        <f>IF($A25="","",IF(COUNTIFS('Nhật ký bảo trì'!$D$6:$D$405,$A25,'Nhật ký bảo trì'!$Q$6:$Q$405,"Hoàn thành",'Nhật ký bảo trì'!$B$6:$B$405,"&gt;="&amp;E$5,'Nhật ký bảo trì'!$B$6:$B$405,"&lt;="&amp;EOMONTH(E$5,0))&gt;0,"✔",IF(((EOMONTH(E$5,0)&gt;='Kế hoạch định kỳ'!$W25)*(INT((EOMONTH(E$5,0)-'Kế hoạch định kỳ'!$W25)/'Kế hoạch định kỳ'!$X25)+1)-(E$5-1&gt;='Kế hoạch định kỳ'!$W25)*(INT((E$5-1-'Kế hoạch định kỳ'!$W25)/'Kế hoạch định kỳ'!$X25)+1))&gt;0,IF(EOMONTH(E$5,0)&lt;'Tổng quan'!$B$11,"✖","○"),"")))</f>
        <v/>
      </c>
      <c r="F25" s="61" t="str">
        <f>IF($A25="","",IF(COUNTIFS('Nhật ký bảo trì'!$D$6:$D$405,$A25,'Nhật ký bảo trì'!$Q$6:$Q$405,"Hoàn thành",'Nhật ký bảo trì'!$B$6:$B$405,"&gt;="&amp;F$5,'Nhật ký bảo trì'!$B$6:$B$405,"&lt;="&amp;EOMONTH(F$5,0))&gt;0,"✔",IF(((EOMONTH(F$5,0)&gt;='Kế hoạch định kỳ'!$W25)*(INT((EOMONTH(F$5,0)-'Kế hoạch định kỳ'!$W25)/'Kế hoạch định kỳ'!$X25)+1)-(F$5-1&gt;='Kế hoạch định kỳ'!$W25)*(INT((F$5-1-'Kế hoạch định kỳ'!$W25)/'Kế hoạch định kỳ'!$X25)+1))&gt;0,IF(EOMONTH(F$5,0)&lt;'Tổng quan'!$B$11,"✖","○"),"")))</f>
        <v>✔</v>
      </c>
      <c r="G25" s="61" t="str">
        <f>IF($A25="","",IF(COUNTIFS('Nhật ký bảo trì'!$D$6:$D$405,$A25,'Nhật ký bảo trì'!$Q$6:$Q$405,"Hoàn thành",'Nhật ký bảo trì'!$B$6:$B$405,"&gt;="&amp;G$5,'Nhật ký bảo trì'!$B$6:$B$405,"&lt;="&amp;EOMONTH(G$5,0))&gt;0,"✔",IF(((EOMONTH(G$5,0)&gt;='Kế hoạch định kỳ'!$W25)*(INT((EOMONTH(G$5,0)-'Kế hoạch định kỳ'!$W25)/'Kế hoạch định kỳ'!$X25)+1)-(G$5-1&gt;='Kế hoạch định kỳ'!$W25)*(INT((G$5-1-'Kế hoạch định kỳ'!$W25)/'Kế hoạch định kỳ'!$X25)+1))&gt;0,IF(EOMONTH(G$5,0)&lt;'Tổng quan'!$B$11,"✖","○"),"")))</f>
        <v/>
      </c>
      <c r="H25" s="61" t="str">
        <f>IF($A25="","",IF(COUNTIFS('Nhật ký bảo trì'!$D$6:$D$405,$A25,'Nhật ký bảo trì'!$Q$6:$Q$405,"Hoàn thành",'Nhật ký bảo trì'!$B$6:$B$405,"&gt;="&amp;H$5,'Nhật ký bảo trì'!$B$6:$B$405,"&lt;="&amp;EOMONTH(H$5,0))&gt;0,"✔",IF(((EOMONTH(H$5,0)&gt;='Kế hoạch định kỳ'!$W25)*(INT((EOMONTH(H$5,0)-'Kế hoạch định kỳ'!$W25)/'Kế hoạch định kỳ'!$X25)+1)-(H$5-1&gt;='Kế hoạch định kỳ'!$W25)*(INT((H$5-1-'Kế hoạch định kỳ'!$W25)/'Kế hoạch định kỳ'!$X25)+1))&gt;0,IF(EOMONTH(H$5,0)&lt;'Tổng quan'!$B$11,"✖","○"),"")))</f>
        <v/>
      </c>
      <c r="I25" s="61" t="str">
        <f>IF($A25="","",IF(COUNTIFS('Nhật ký bảo trì'!$D$6:$D$405,$A25,'Nhật ký bảo trì'!$Q$6:$Q$405,"Hoàn thành",'Nhật ký bảo trì'!$B$6:$B$405,"&gt;="&amp;I$5,'Nhật ký bảo trì'!$B$6:$B$405,"&lt;="&amp;EOMONTH(I$5,0))&gt;0,"✔",IF(((EOMONTH(I$5,0)&gt;='Kế hoạch định kỳ'!$W25)*(INT((EOMONTH(I$5,0)-'Kế hoạch định kỳ'!$W25)/'Kế hoạch định kỳ'!$X25)+1)-(I$5-1&gt;='Kế hoạch định kỳ'!$W25)*(INT((I$5-1-'Kế hoạch định kỳ'!$W25)/'Kế hoạch định kỳ'!$X25)+1))&gt;0,IF(EOMONTH(I$5,0)&lt;'Tổng quan'!$B$11,"✖","○"),"")))</f>
        <v>✔</v>
      </c>
      <c r="J25" s="61" t="str">
        <f>IF($A25="","",IF(COUNTIFS('Nhật ký bảo trì'!$D$6:$D$405,$A25,'Nhật ký bảo trì'!$Q$6:$Q$405,"Hoàn thành",'Nhật ký bảo trì'!$B$6:$B$405,"&gt;="&amp;J$5,'Nhật ký bảo trì'!$B$6:$B$405,"&lt;="&amp;EOMONTH(J$5,0))&gt;0,"✔",IF(((EOMONTH(J$5,0)&gt;='Kế hoạch định kỳ'!$W25)*(INT((EOMONTH(J$5,0)-'Kế hoạch định kỳ'!$W25)/'Kế hoạch định kỳ'!$X25)+1)-(J$5-1&gt;='Kế hoạch định kỳ'!$W25)*(INT((J$5-1-'Kế hoạch định kỳ'!$W25)/'Kế hoạch định kỳ'!$X25)+1))&gt;0,IF(EOMONTH(J$5,0)&lt;'Tổng quan'!$B$11,"✖","○"),"")))</f>
        <v/>
      </c>
      <c r="K25" s="61" t="str">
        <f>IF($A25="","",IF(COUNTIFS('Nhật ký bảo trì'!$D$6:$D$405,$A25,'Nhật ký bảo trì'!$Q$6:$Q$405,"Hoàn thành",'Nhật ký bảo trì'!$B$6:$B$405,"&gt;="&amp;K$5,'Nhật ký bảo trì'!$B$6:$B$405,"&lt;="&amp;EOMONTH(K$5,0))&gt;0,"✔",IF(((EOMONTH(K$5,0)&gt;='Kế hoạch định kỳ'!$W25)*(INT((EOMONTH(K$5,0)-'Kế hoạch định kỳ'!$W25)/'Kế hoạch định kỳ'!$X25)+1)-(K$5-1&gt;='Kế hoạch định kỳ'!$W25)*(INT((K$5-1-'Kế hoạch định kỳ'!$W25)/'Kế hoạch định kỳ'!$X25)+1))&gt;0,IF(EOMONTH(K$5,0)&lt;'Tổng quan'!$B$11,"✖","○"),"")))</f>
        <v/>
      </c>
      <c r="L25" s="61" t="str">
        <f>IF($A25="","",IF(COUNTIFS('Nhật ký bảo trì'!$D$6:$D$405,$A25,'Nhật ký bảo trì'!$Q$6:$Q$405,"Hoàn thành",'Nhật ký bảo trì'!$B$6:$B$405,"&gt;="&amp;L$5,'Nhật ký bảo trì'!$B$6:$B$405,"&lt;="&amp;EOMONTH(L$5,0))&gt;0,"✔",IF(((EOMONTH(L$5,0)&gt;='Kế hoạch định kỳ'!$W25)*(INT((EOMONTH(L$5,0)-'Kế hoạch định kỳ'!$W25)/'Kế hoạch định kỳ'!$X25)+1)-(L$5-1&gt;='Kế hoạch định kỳ'!$W25)*(INT((L$5-1-'Kế hoạch định kỳ'!$W25)/'Kế hoạch định kỳ'!$X25)+1))&gt;0,IF(EOMONTH(L$5,0)&lt;'Tổng quan'!$B$11,"✖","○"),"")))</f>
        <v>✔</v>
      </c>
      <c r="M25" s="61" t="str">
        <f>IF($A25="","",IF(COUNTIFS('Nhật ký bảo trì'!$D$6:$D$405,$A25,'Nhật ký bảo trì'!$Q$6:$Q$405,"Hoàn thành",'Nhật ký bảo trì'!$B$6:$B$405,"&gt;="&amp;M$5,'Nhật ký bảo trì'!$B$6:$B$405,"&lt;="&amp;EOMONTH(M$5,0))&gt;0,"✔",IF(((EOMONTH(M$5,0)&gt;='Kế hoạch định kỳ'!$W25)*(INT((EOMONTH(M$5,0)-'Kế hoạch định kỳ'!$W25)/'Kế hoạch định kỳ'!$X25)+1)-(M$5-1&gt;='Kế hoạch định kỳ'!$W25)*(INT((M$5-1-'Kế hoạch định kỳ'!$W25)/'Kế hoạch định kỳ'!$X25)+1))&gt;0,IF(EOMONTH(M$5,0)&lt;'Tổng quan'!$B$11,"✖","○"),"")))</f>
        <v/>
      </c>
      <c r="N25" s="61" t="str">
        <f>IF($A25="","",IF(COUNTIFS('Nhật ký bảo trì'!$D$6:$D$405,$A25,'Nhật ký bảo trì'!$Q$6:$Q$405,"Hoàn thành",'Nhật ký bảo trì'!$B$6:$B$405,"&gt;="&amp;N$5,'Nhật ký bảo trì'!$B$6:$B$405,"&lt;="&amp;EOMONTH(N$5,0))&gt;0,"✔",IF(((EOMONTH(N$5,0)&gt;='Kế hoạch định kỳ'!$W25)*(INT((EOMONTH(N$5,0)-'Kế hoạch định kỳ'!$W25)/'Kế hoạch định kỳ'!$X25)+1)-(N$5-1&gt;='Kế hoạch định kỳ'!$W25)*(INT((N$5-1-'Kế hoạch định kỳ'!$W25)/'Kế hoạch định kỳ'!$X25)+1))&gt;0,IF(EOMONTH(N$5,0)&lt;'Tổng quan'!$B$11,"✖","○"),"")))</f>
        <v/>
      </c>
      <c r="O25" s="61" t="str">
        <f>IF($A25="","",IF(COUNTIFS('Nhật ký bảo trì'!$D$6:$D$405,$A25,'Nhật ký bảo trì'!$Q$6:$Q$405,"Hoàn thành",'Nhật ký bảo trì'!$B$6:$B$405,"&gt;="&amp;O$5,'Nhật ký bảo trì'!$B$6:$B$405,"&lt;="&amp;EOMONTH(O$5,0))&gt;0,"✔",IF(((EOMONTH(O$5,0)&gt;='Kế hoạch định kỳ'!$W25)*(INT((EOMONTH(O$5,0)-'Kế hoạch định kỳ'!$W25)/'Kế hoạch định kỳ'!$X25)+1)-(O$5-1&gt;='Kế hoạch định kỳ'!$W25)*(INT((O$5-1-'Kế hoạch định kỳ'!$W25)/'Kế hoạch định kỳ'!$X25)+1))&gt;0,IF(EOMONTH(O$5,0)&lt;'Tổng quan'!$B$11,"✖","○"),"")))</f>
        <v>○</v>
      </c>
      <c r="P25" s="61" t="str">
        <f>IF($A25="","",IF(COUNTIFS('Nhật ký bảo trì'!$D$6:$D$405,$A25,'Nhật ký bảo trì'!$Q$6:$Q$405,"Hoàn thành",'Nhật ký bảo trì'!$B$6:$B$405,"&gt;="&amp;P$5,'Nhật ký bảo trì'!$B$6:$B$405,"&lt;="&amp;EOMONTH(P$5,0))&gt;0,"✔",IF(((EOMONTH(P$5,0)&gt;='Kế hoạch định kỳ'!$W25)*(INT((EOMONTH(P$5,0)-'Kế hoạch định kỳ'!$W25)/'Kế hoạch định kỳ'!$X25)+1)-(P$5-1&gt;='Kế hoạch định kỳ'!$W25)*(INT((P$5-1-'Kế hoạch định kỳ'!$W25)/'Kế hoạch định kỳ'!$X25)+1))&gt;0,IF(EOMONTH(P$5,0)&lt;'Tổng quan'!$B$11,"✖","○"),"")))</f>
        <v/>
      </c>
      <c r="Q25" s="30">
        <f>IF($A25="","",COUNTIFS('Nhật ký bảo trì'!$D$6:$D$405,$A25,'Nhật ký bảo trì'!$Q$6:$Q$405,"Hoàn thành",'Nhật ký bảo trì'!$B$6:$B$405,"&gt;="&amp;DATE('Tổng quan'!$B$6,1,1),'Nhật ký bảo trì'!$B$6:$B$405,"&lt;="&amp;DATE('Tổng quan'!$B$6,12,31)))</f>
        <v>3</v>
      </c>
      <c r="R25" s="30">
        <f t="shared" si="1"/>
        <v>1</v>
      </c>
    </row>
    <row r="26" ht="24.0" customHeight="1">
      <c r="A26" s="10" t="str">
        <f>IF('Kế hoạch định kỳ'!$B26="","",'Kế hoạch định kỳ'!$B26)</f>
        <v>KH021</v>
      </c>
      <c r="B26" s="14" t="str">
        <f>IF('Kế hoạch định kỳ'!$B26="","",'Kế hoạch định kỳ'!$D26)</f>
        <v>Băng tải đóng gói số 2</v>
      </c>
      <c r="C26" s="18" t="str">
        <f>IF('Kế hoạch định kỳ'!$B26="","",'Kế hoạch định kỳ'!$F26)</f>
        <v>Kiểm tra tiếng ồn, độ rung động cơ</v>
      </c>
      <c r="D26" s="10" t="str">
        <f>IF('Kế hoạch định kỳ'!$B26="","",IF('Kế hoạch định kỳ'!$I26&lt;&gt;"",'Kế hoạch định kỳ'!$I26&amp;" ngày",'Kế hoạch định kỳ'!$H26))</f>
        <v>45 ngày</v>
      </c>
      <c r="E26" s="24" t="str">
        <f>IF($A26="","",IF(COUNTIFS('Nhật ký bảo trì'!$D$6:$D$405,$A26,'Nhật ký bảo trì'!$Q$6:$Q$405,"Hoàn thành",'Nhật ký bảo trì'!$B$6:$B$405,"&gt;="&amp;E$5,'Nhật ký bảo trì'!$B$6:$B$405,"&lt;="&amp;EOMONTH(E$5,0))&gt;0,"✔",IF(((EOMONTH(E$5,0)&gt;='Kế hoạch định kỳ'!$W26)*(INT((EOMONTH(E$5,0)-'Kế hoạch định kỳ'!$W26)/'Kế hoạch định kỳ'!$X26)+1)-(E$5-1&gt;='Kế hoạch định kỳ'!$W26)*(INT((E$5-1-'Kế hoạch định kỳ'!$W26)/'Kế hoạch định kỳ'!$X26)+1))&gt;0,IF(EOMONTH(E$5,0)&lt;'Tổng quan'!$B$11,"✖","○"),"")))</f>
        <v/>
      </c>
      <c r="F26" s="24" t="str">
        <f>IF($A26="","",IF(COUNTIFS('Nhật ký bảo trì'!$D$6:$D$405,$A26,'Nhật ký bảo trì'!$Q$6:$Q$405,"Hoàn thành",'Nhật ký bảo trì'!$B$6:$B$405,"&gt;="&amp;F$5,'Nhật ký bảo trì'!$B$6:$B$405,"&lt;="&amp;EOMONTH(F$5,0))&gt;0,"✔",IF(((EOMONTH(F$5,0)&gt;='Kế hoạch định kỳ'!$W26)*(INT((EOMONTH(F$5,0)-'Kế hoạch định kỳ'!$W26)/'Kế hoạch định kỳ'!$X26)+1)-(F$5-1&gt;='Kế hoạch định kỳ'!$W26)*(INT((F$5-1-'Kế hoạch định kỳ'!$W26)/'Kế hoạch định kỳ'!$X26)+1))&gt;0,IF(EOMONTH(F$5,0)&lt;'Tổng quan'!$B$11,"✖","○"),"")))</f>
        <v/>
      </c>
      <c r="G26" s="24" t="str">
        <f>IF($A26="","",IF(COUNTIFS('Nhật ký bảo trì'!$D$6:$D$405,$A26,'Nhật ký bảo trì'!$Q$6:$Q$405,"Hoàn thành",'Nhật ký bảo trì'!$B$6:$B$405,"&gt;="&amp;G$5,'Nhật ký bảo trì'!$B$6:$B$405,"&lt;="&amp;EOMONTH(G$5,0))&gt;0,"✔",IF(((EOMONTH(G$5,0)&gt;='Kế hoạch định kỳ'!$W26)*(INT((EOMONTH(G$5,0)-'Kế hoạch định kỳ'!$W26)/'Kế hoạch định kỳ'!$X26)+1)-(G$5-1&gt;='Kế hoạch định kỳ'!$W26)*(INT((G$5-1-'Kế hoạch định kỳ'!$W26)/'Kế hoạch định kỳ'!$X26)+1))&gt;0,IF(EOMONTH(G$5,0)&lt;'Tổng quan'!$B$11,"✖","○"),"")))</f>
        <v/>
      </c>
      <c r="H26" s="24" t="str">
        <f>IF($A26="","",IF(COUNTIFS('Nhật ký bảo trì'!$D$6:$D$405,$A26,'Nhật ký bảo trì'!$Q$6:$Q$405,"Hoàn thành",'Nhật ký bảo trì'!$B$6:$B$405,"&gt;="&amp;H$5,'Nhật ký bảo trì'!$B$6:$B$405,"&lt;="&amp;EOMONTH(H$5,0))&gt;0,"✔",IF(((EOMONTH(H$5,0)&gt;='Kế hoạch định kỳ'!$W26)*(INT((EOMONTH(H$5,0)-'Kế hoạch định kỳ'!$W26)/'Kế hoạch định kỳ'!$X26)+1)-(H$5-1&gt;='Kế hoạch định kỳ'!$W26)*(INT((H$5-1-'Kế hoạch định kỳ'!$W26)/'Kế hoạch định kỳ'!$X26)+1))&gt;0,IF(EOMONTH(H$5,0)&lt;'Tổng quan'!$B$11,"✖","○"),"")))</f>
        <v/>
      </c>
      <c r="I26" s="24" t="str">
        <f>IF($A26="","",IF(COUNTIFS('Nhật ký bảo trì'!$D$6:$D$405,$A26,'Nhật ký bảo trì'!$Q$6:$Q$405,"Hoàn thành",'Nhật ký bảo trì'!$B$6:$B$405,"&gt;="&amp;I$5,'Nhật ký bảo trì'!$B$6:$B$405,"&lt;="&amp;EOMONTH(I$5,0))&gt;0,"✔",IF(((EOMONTH(I$5,0)&gt;='Kế hoạch định kỳ'!$W26)*(INT((EOMONTH(I$5,0)-'Kế hoạch định kỳ'!$W26)/'Kế hoạch định kỳ'!$X26)+1)-(I$5-1&gt;='Kế hoạch định kỳ'!$W26)*(INT((I$5-1-'Kế hoạch định kỳ'!$W26)/'Kế hoạch định kỳ'!$X26)+1))&gt;0,IF(EOMONTH(I$5,0)&lt;'Tổng quan'!$B$11,"✖","○"),"")))</f>
        <v>✔</v>
      </c>
      <c r="J26" s="24" t="str">
        <f>IF($A26="","",IF(COUNTIFS('Nhật ký bảo trì'!$D$6:$D$405,$A26,'Nhật ký bảo trì'!$Q$6:$Q$405,"Hoàn thành",'Nhật ký bảo trì'!$B$6:$B$405,"&gt;="&amp;J$5,'Nhật ký bảo trì'!$B$6:$B$405,"&lt;="&amp;EOMONTH(J$5,0))&gt;0,"✔",IF(((EOMONTH(J$5,0)&gt;='Kế hoạch định kỳ'!$W26)*(INT((EOMONTH(J$5,0)-'Kế hoạch định kỳ'!$W26)/'Kế hoạch định kỳ'!$X26)+1)-(J$5-1&gt;='Kế hoạch định kỳ'!$W26)*(INT((J$5-1-'Kế hoạch định kỳ'!$W26)/'Kế hoạch định kỳ'!$X26)+1))&gt;0,IF(EOMONTH(J$5,0)&lt;'Tổng quan'!$B$11,"✖","○"),"")))</f>
        <v/>
      </c>
      <c r="K26" s="24" t="str">
        <f>IF($A26="","",IF(COUNTIFS('Nhật ký bảo trì'!$D$6:$D$405,$A26,'Nhật ký bảo trì'!$Q$6:$Q$405,"Hoàn thành",'Nhật ký bảo trì'!$B$6:$B$405,"&gt;="&amp;K$5,'Nhật ký bảo trì'!$B$6:$B$405,"&lt;="&amp;EOMONTH(K$5,0))&gt;0,"✔",IF(((EOMONTH(K$5,0)&gt;='Kế hoạch định kỳ'!$W26)*(INT((EOMONTH(K$5,0)-'Kế hoạch định kỳ'!$W26)/'Kế hoạch định kỳ'!$X26)+1)-(K$5-1&gt;='Kế hoạch định kỳ'!$W26)*(INT((K$5-1-'Kế hoạch định kỳ'!$W26)/'Kế hoạch định kỳ'!$X26)+1))&gt;0,IF(EOMONTH(K$5,0)&lt;'Tổng quan'!$B$11,"✖","○"),"")))</f>
        <v>✔</v>
      </c>
      <c r="L26" s="24" t="str">
        <f>IF($A26="","",IF(COUNTIFS('Nhật ký bảo trì'!$D$6:$D$405,$A26,'Nhật ký bảo trì'!$Q$6:$Q$405,"Hoàn thành",'Nhật ký bảo trì'!$B$6:$B$405,"&gt;="&amp;L$5,'Nhật ký bảo trì'!$B$6:$B$405,"&lt;="&amp;EOMONTH(L$5,0))&gt;0,"✔",IF(((EOMONTH(L$5,0)&gt;='Kế hoạch định kỳ'!$W26)*(INT((EOMONTH(L$5,0)-'Kế hoạch định kỳ'!$W26)/'Kế hoạch định kỳ'!$X26)+1)-(L$5-1&gt;='Kế hoạch định kỳ'!$W26)*(INT((L$5-1-'Kế hoạch định kỳ'!$W26)/'Kế hoạch định kỳ'!$X26)+1))&gt;0,IF(EOMONTH(L$5,0)&lt;'Tổng quan'!$B$11,"✖","○"),"")))</f>
        <v>✔</v>
      </c>
      <c r="M26" s="24" t="str">
        <f>IF($A26="","",IF(COUNTIFS('Nhật ký bảo trì'!$D$6:$D$405,$A26,'Nhật ký bảo trì'!$Q$6:$Q$405,"Hoàn thành",'Nhật ký bảo trì'!$B$6:$B$405,"&gt;="&amp;M$5,'Nhật ký bảo trì'!$B$6:$B$405,"&lt;="&amp;EOMONTH(M$5,0))&gt;0,"✔",IF(((EOMONTH(M$5,0)&gt;='Kế hoạch định kỳ'!$W26)*(INT((EOMONTH(M$5,0)-'Kế hoạch định kỳ'!$W26)/'Kế hoạch định kỳ'!$X26)+1)-(M$5-1&gt;='Kế hoạch định kỳ'!$W26)*(INT((M$5-1-'Kế hoạch định kỳ'!$W26)/'Kế hoạch định kỳ'!$X26)+1))&gt;0,IF(EOMONTH(M$5,0)&lt;'Tổng quan'!$B$11,"✖","○"),"")))</f>
        <v/>
      </c>
      <c r="N26" s="24" t="str">
        <f>IF($A26="","",IF(COUNTIFS('Nhật ký bảo trì'!$D$6:$D$405,$A26,'Nhật ký bảo trì'!$Q$6:$Q$405,"Hoàn thành",'Nhật ký bảo trì'!$B$6:$B$405,"&gt;="&amp;N$5,'Nhật ký bảo trì'!$B$6:$B$405,"&lt;="&amp;EOMONTH(N$5,0))&gt;0,"✔",IF(((EOMONTH(N$5,0)&gt;='Kế hoạch định kỳ'!$W26)*(INT((EOMONTH(N$5,0)-'Kế hoạch định kỳ'!$W26)/'Kế hoạch định kỳ'!$X26)+1)-(N$5-1&gt;='Kế hoạch định kỳ'!$W26)*(INT((N$5-1-'Kế hoạch định kỳ'!$W26)/'Kế hoạch định kỳ'!$X26)+1))&gt;0,IF(EOMONTH(N$5,0)&lt;'Tổng quan'!$B$11,"✖","○"),"")))</f>
        <v>✔</v>
      </c>
      <c r="O26" s="24" t="str">
        <f>IF($A26="","",IF(COUNTIFS('Nhật ký bảo trì'!$D$6:$D$405,$A26,'Nhật ký bảo trì'!$Q$6:$Q$405,"Hoàn thành",'Nhật ký bảo trì'!$B$6:$B$405,"&gt;="&amp;O$5,'Nhật ký bảo trì'!$B$6:$B$405,"&lt;="&amp;EOMONTH(O$5,0))&gt;0,"✔",IF(((EOMONTH(O$5,0)&gt;='Kế hoạch định kỳ'!$W26)*(INT((EOMONTH(O$5,0)-'Kế hoạch định kỳ'!$W26)/'Kế hoạch định kỳ'!$X26)+1)-(O$5-1&gt;='Kế hoạch định kỳ'!$W26)*(INT((O$5-1-'Kế hoạch định kỳ'!$W26)/'Kế hoạch định kỳ'!$X26)+1))&gt;0,IF(EOMONTH(O$5,0)&lt;'Tổng quan'!$B$11,"✖","○"),"")))</f>
        <v>○</v>
      </c>
      <c r="P26" s="24" t="str">
        <f>IF($A26="","",IF(COUNTIFS('Nhật ký bảo trì'!$D$6:$D$405,$A26,'Nhật ký bảo trì'!$Q$6:$Q$405,"Hoàn thành",'Nhật ký bảo trì'!$B$6:$B$405,"&gt;="&amp;P$5,'Nhật ký bảo trì'!$B$6:$B$405,"&lt;="&amp;EOMONTH(P$5,0))&gt;0,"✔",IF(((EOMONTH(P$5,0)&gt;='Kế hoạch định kỳ'!$W26)*(INT((EOMONTH(P$5,0)-'Kế hoạch định kỳ'!$W26)/'Kế hoạch định kỳ'!$X26)+1)-(P$5-1&gt;='Kế hoạch định kỳ'!$W26)*(INT((P$5-1-'Kế hoạch định kỳ'!$W26)/'Kế hoạch định kỳ'!$X26)+1))&gt;0,IF(EOMONTH(P$5,0)&lt;'Tổng quan'!$B$11,"✖","○"),"")))</f>
        <v/>
      </c>
      <c r="Q26" s="16">
        <f>IF($A26="","",COUNTIFS('Nhật ký bảo trì'!$D$6:$D$405,$A26,'Nhật ký bảo trì'!$Q$6:$Q$405,"Hoàn thành",'Nhật ký bảo trì'!$B$6:$B$405,"&gt;="&amp;DATE('Tổng quan'!$B$6,1,1),'Nhật ký bảo trì'!$B$6:$B$405,"&lt;="&amp;DATE('Tổng quan'!$B$6,12,31)))</f>
        <v>4</v>
      </c>
      <c r="R26" s="16">
        <f t="shared" si="1"/>
        <v>1</v>
      </c>
    </row>
    <row r="27" ht="24.0" customHeight="1">
      <c r="A27" s="26" t="str">
        <f>IF('Kế hoạch định kỳ'!$B27="","",'Kế hoạch định kỳ'!$B27)</f>
        <v/>
      </c>
      <c r="B27" s="28" t="str">
        <f>IF('Kế hoạch định kỳ'!$B27="","",'Kế hoạch định kỳ'!$D27)</f>
        <v/>
      </c>
      <c r="C27" s="56" t="str">
        <f>IF('Kế hoạch định kỳ'!$B27="","",'Kế hoạch định kỳ'!$F27)</f>
        <v/>
      </c>
      <c r="D27" s="26" t="str">
        <f>IF('Kế hoạch định kỳ'!$B27="","",IF('Kế hoạch định kỳ'!$I27&lt;&gt;"",'Kế hoạch định kỳ'!$I27&amp;" ngày",'Kế hoạch định kỳ'!$H27))</f>
        <v/>
      </c>
      <c r="E27" s="61" t="str">
        <f>IF($A27="","",IF(COUNTIFS('Nhật ký bảo trì'!$D$6:$D$405,$A27,'Nhật ký bảo trì'!$Q$6:$Q$405,"Hoàn thành",'Nhật ký bảo trì'!$B$6:$B$405,"&gt;="&amp;E$5,'Nhật ký bảo trì'!$B$6:$B$405,"&lt;="&amp;EOMONTH(E$5,0))&gt;0,"✔",IF(((EOMONTH(E$5,0)&gt;='Kế hoạch định kỳ'!$W27)*(INT((EOMONTH(E$5,0)-'Kế hoạch định kỳ'!$W27)/'Kế hoạch định kỳ'!$X27)+1)-(E$5-1&gt;='Kế hoạch định kỳ'!$W27)*(INT((E$5-1-'Kế hoạch định kỳ'!$W27)/'Kế hoạch định kỳ'!$X27)+1))&gt;0,IF(EOMONTH(E$5,0)&lt;'Tổng quan'!$B$11,"✖","○"),"")))</f>
        <v/>
      </c>
      <c r="F27" s="61" t="str">
        <f>IF($A27="","",IF(COUNTIFS('Nhật ký bảo trì'!$D$6:$D$405,$A27,'Nhật ký bảo trì'!$Q$6:$Q$405,"Hoàn thành",'Nhật ký bảo trì'!$B$6:$B$405,"&gt;="&amp;F$5,'Nhật ký bảo trì'!$B$6:$B$405,"&lt;="&amp;EOMONTH(F$5,0))&gt;0,"✔",IF(((EOMONTH(F$5,0)&gt;='Kế hoạch định kỳ'!$W27)*(INT((EOMONTH(F$5,0)-'Kế hoạch định kỳ'!$W27)/'Kế hoạch định kỳ'!$X27)+1)-(F$5-1&gt;='Kế hoạch định kỳ'!$W27)*(INT((F$5-1-'Kế hoạch định kỳ'!$W27)/'Kế hoạch định kỳ'!$X27)+1))&gt;0,IF(EOMONTH(F$5,0)&lt;'Tổng quan'!$B$11,"✖","○"),"")))</f>
        <v/>
      </c>
      <c r="G27" s="61" t="str">
        <f>IF($A27="","",IF(COUNTIFS('Nhật ký bảo trì'!$D$6:$D$405,$A27,'Nhật ký bảo trì'!$Q$6:$Q$405,"Hoàn thành",'Nhật ký bảo trì'!$B$6:$B$405,"&gt;="&amp;G$5,'Nhật ký bảo trì'!$B$6:$B$405,"&lt;="&amp;EOMONTH(G$5,0))&gt;0,"✔",IF(((EOMONTH(G$5,0)&gt;='Kế hoạch định kỳ'!$W27)*(INT((EOMONTH(G$5,0)-'Kế hoạch định kỳ'!$W27)/'Kế hoạch định kỳ'!$X27)+1)-(G$5-1&gt;='Kế hoạch định kỳ'!$W27)*(INT((G$5-1-'Kế hoạch định kỳ'!$W27)/'Kế hoạch định kỳ'!$X27)+1))&gt;0,IF(EOMONTH(G$5,0)&lt;'Tổng quan'!$B$11,"✖","○"),"")))</f>
        <v/>
      </c>
      <c r="H27" s="61" t="str">
        <f>IF($A27="","",IF(COUNTIFS('Nhật ký bảo trì'!$D$6:$D$405,$A27,'Nhật ký bảo trì'!$Q$6:$Q$405,"Hoàn thành",'Nhật ký bảo trì'!$B$6:$B$405,"&gt;="&amp;H$5,'Nhật ký bảo trì'!$B$6:$B$405,"&lt;="&amp;EOMONTH(H$5,0))&gt;0,"✔",IF(((EOMONTH(H$5,0)&gt;='Kế hoạch định kỳ'!$W27)*(INT((EOMONTH(H$5,0)-'Kế hoạch định kỳ'!$W27)/'Kế hoạch định kỳ'!$X27)+1)-(H$5-1&gt;='Kế hoạch định kỳ'!$W27)*(INT((H$5-1-'Kế hoạch định kỳ'!$W27)/'Kế hoạch định kỳ'!$X27)+1))&gt;0,IF(EOMONTH(H$5,0)&lt;'Tổng quan'!$B$11,"✖","○"),"")))</f>
        <v/>
      </c>
      <c r="I27" s="61" t="str">
        <f>IF($A27="","",IF(COUNTIFS('Nhật ký bảo trì'!$D$6:$D$405,$A27,'Nhật ký bảo trì'!$Q$6:$Q$405,"Hoàn thành",'Nhật ký bảo trì'!$B$6:$B$405,"&gt;="&amp;I$5,'Nhật ký bảo trì'!$B$6:$B$405,"&lt;="&amp;EOMONTH(I$5,0))&gt;0,"✔",IF(((EOMONTH(I$5,0)&gt;='Kế hoạch định kỳ'!$W27)*(INT((EOMONTH(I$5,0)-'Kế hoạch định kỳ'!$W27)/'Kế hoạch định kỳ'!$X27)+1)-(I$5-1&gt;='Kế hoạch định kỳ'!$W27)*(INT((I$5-1-'Kế hoạch định kỳ'!$W27)/'Kế hoạch định kỳ'!$X27)+1))&gt;0,IF(EOMONTH(I$5,0)&lt;'Tổng quan'!$B$11,"✖","○"),"")))</f>
        <v/>
      </c>
      <c r="J27" s="61" t="str">
        <f>IF($A27="","",IF(COUNTIFS('Nhật ký bảo trì'!$D$6:$D$405,$A27,'Nhật ký bảo trì'!$Q$6:$Q$405,"Hoàn thành",'Nhật ký bảo trì'!$B$6:$B$405,"&gt;="&amp;J$5,'Nhật ký bảo trì'!$B$6:$B$405,"&lt;="&amp;EOMONTH(J$5,0))&gt;0,"✔",IF(((EOMONTH(J$5,0)&gt;='Kế hoạch định kỳ'!$W27)*(INT((EOMONTH(J$5,0)-'Kế hoạch định kỳ'!$W27)/'Kế hoạch định kỳ'!$X27)+1)-(J$5-1&gt;='Kế hoạch định kỳ'!$W27)*(INT((J$5-1-'Kế hoạch định kỳ'!$W27)/'Kế hoạch định kỳ'!$X27)+1))&gt;0,IF(EOMONTH(J$5,0)&lt;'Tổng quan'!$B$11,"✖","○"),"")))</f>
        <v/>
      </c>
      <c r="K27" s="61" t="str">
        <f>IF($A27="","",IF(COUNTIFS('Nhật ký bảo trì'!$D$6:$D$405,$A27,'Nhật ký bảo trì'!$Q$6:$Q$405,"Hoàn thành",'Nhật ký bảo trì'!$B$6:$B$405,"&gt;="&amp;K$5,'Nhật ký bảo trì'!$B$6:$B$405,"&lt;="&amp;EOMONTH(K$5,0))&gt;0,"✔",IF(((EOMONTH(K$5,0)&gt;='Kế hoạch định kỳ'!$W27)*(INT((EOMONTH(K$5,0)-'Kế hoạch định kỳ'!$W27)/'Kế hoạch định kỳ'!$X27)+1)-(K$5-1&gt;='Kế hoạch định kỳ'!$W27)*(INT((K$5-1-'Kế hoạch định kỳ'!$W27)/'Kế hoạch định kỳ'!$X27)+1))&gt;0,IF(EOMONTH(K$5,0)&lt;'Tổng quan'!$B$11,"✖","○"),"")))</f>
        <v/>
      </c>
      <c r="L27" s="61" t="str">
        <f>IF($A27="","",IF(COUNTIFS('Nhật ký bảo trì'!$D$6:$D$405,$A27,'Nhật ký bảo trì'!$Q$6:$Q$405,"Hoàn thành",'Nhật ký bảo trì'!$B$6:$B$405,"&gt;="&amp;L$5,'Nhật ký bảo trì'!$B$6:$B$405,"&lt;="&amp;EOMONTH(L$5,0))&gt;0,"✔",IF(((EOMONTH(L$5,0)&gt;='Kế hoạch định kỳ'!$W27)*(INT((EOMONTH(L$5,0)-'Kế hoạch định kỳ'!$W27)/'Kế hoạch định kỳ'!$X27)+1)-(L$5-1&gt;='Kế hoạch định kỳ'!$W27)*(INT((L$5-1-'Kế hoạch định kỳ'!$W27)/'Kế hoạch định kỳ'!$X27)+1))&gt;0,IF(EOMONTH(L$5,0)&lt;'Tổng quan'!$B$11,"✖","○"),"")))</f>
        <v/>
      </c>
      <c r="M27" s="61" t="str">
        <f>IF($A27="","",IF(COUNTIFS('Nhật ký bảo trì'!$D$6:$D$405,$A27,'Nhật ký bảo trì'!$Q$6:$Q$405,"Hoàn thành",'Nhật ký bảo trì'!$B$6:$B$405,"&gt;="&amp;M$5,'Nhật ký bảo trì'!$B$6:$B$405,"&lt;="&amp;EOMONTH(M$5,0))&gt;0,"✔",IF(((EOMONTH(M$5,0)&gt;='Kế hoạch định kỳ'!$W27)*(INT((EOMONTH(M$5,0)-'Kế hoạch định kỳ'!$W27)/'Kế hoạch định kỳ'!$X27)+1)-(M$5-1&gt;='Kế hoạch định kỳ'!$W27)*(INT((M$5-1-'Kế hoạch định kỳ'!$W27)/'Kế hoạch định kỳ'!$X27)+1))&gt;0,IF(EOMONTH(M$5,0)&lt;'Tổng quan'!$B$11,"✖","○"),"")))</f>
        <v/>
      </c>
      <c r="N27" s="61" t="str">
        <f>IF($A27="","",IF(COUNTIFS('Nhật ký bảo trì'!$D$6:$D$405,$A27,'Nhật ký bảo trì'!$Q$6:$Q$405,"Hoàn thành",'Nhật ký bảo trì'!$B$6:$B$405,"&gt;="&amp;N$5,'Nhật ký bảo trì'!$B$6:$B$405,"&lt;="&amp;EOMONTH(N$5,0))&gt;0,"✔",IF(((EOMONTH(N$5,0)&gt;='Kế hoạch định kỳ'!$W27)*(INT((EOMONTH(N$5,0)-'Kế hoạch định kỳ'!$W27)/'Kế hoạch định kỳ'!$X27)+1)-(N$5-1&gt;='Kế hoạch định kỳ'!$W27)*(INT((N$5-1-'Kế hoạch định kỳ'!$W27)/'Kế hoạch định kỳ'!$X27)+1))&gt;0,IF(EOMONTH(N$5,0)&lt;'Tổng quan'!$B$11,"✖","○"),"")))</f>
        <v/>
      </c>
      <c r="O27" s="61" t="str">
        <f>IF($A27="","",IF(COUNTIFS('Nhật ký bảo trì'!$D$6:$D$405,$A27,'Nhật ký bảo trì'!$Q$6:$Q$405,"Hoàn thành",'Nhật ký bảo trì'!$B$6:$B$405,"&gt;="&amp;O$5,'Nhật ký bảo trì'!$B$6:$B$405,"&lt;="&amp;EOMONTH(O$5,0))&gt;0,"✔",IF(((EOMONTH(O$5,0)&gt;='Kế hoạch định kỳ'!$W27)*(INT((EOMONTH(O$5,0)-'Kế hoạch định kỳ'!$W27)/'Kế hoạch định kỳ'!$X27)+1)-(O$5-1&gt;='Kế hoạch định kỳ'!$W27)*(INT((O$5-1-'Kế hoạch định kỳ'!$W27)/'Kế hoạch định kỳ'!$X27)+1))&gt;0,IF(EOMONTH(O$5,0)&lt;'Tổng quan'!$B$11,"✖","○"),"")))</f>
        <v/>
      </c>
      <c r="P27" s="61" t="str">
        <f>IF($A27="","",IF(COUNTIFS('Nhật ký bảo trì'!$D$6:$D$405,$A27,'Nhật ký bảo trì'!$Q$6:$Q$405,"Hoàn thành",'Nhật ký bảo trì'!$B$6:$B$405,"&gt;="&amp;P$5,'Nhật ký bảo trì'!$B$6:$B$405,"&lt;="&amp;EOMONTH(P$5,0))&gt;0,"✔",IF(((EOMONTH(P$5,0)&gt;='Kế hoạch định kỳ'!$W27)*(INT((EOMONTH(P$5,0)-'Kế hoạch định kỳ'!$W27)/'Kế hoạch định kỳ'!$X27)+1)-(P$5-1&gt;='Kế hoạch định kỳ'!$W27)*(INT((P$5-1-'Kế hoạch định kỳ'!$W27)/'Kế hoạch định kỳ'!$X27)+1))&gt;0,IF(EOMONTH(P$5,0)&lt;'Tổng quan'!$B$11,"✖","○"),"")))</f>
        <v/>
      </c>
      <c r="Q27" s="30" t="str">
        <f>IF($A27="","",COUNTIFS('Nhật ký bảo trì'!$D$6:$D$405,$A27,'Nhật ký bảo trì'!$Q$6:$Q$405,"Hoàn thành",'Nhật ký bảo trì'!$B$6:$B$405,"&gt;="&amp;DATE('Tổng quan'!$B$6,1,1),'Nhật ký bảo trì'!$B$6:$B$405,"&lt;="&amp;DATE('Tổng quan'!$B$6,12,31)))</f>
        <v/>
      </c>
      <c r="R27" s="30" t="str">
        <f t="shared" si="1"/>
        <v/>
      </c>
    </row>
    <row r="28" ht="24.0" customHeight="1">
      <c r="A28" s="10" t="str">
        <f>IF('Kế hoạch định kỳ'!$B28="","",'Kế hoạch định kỳ'!$B28)</f>
        <v/>
      </c>
      <c r="B28" s="14" t="str">
        <f>IF('Kế hoạch định kỳ'!$B28="","",'Kế hoạch định kỳ'!$D28)</f>
        <v/>
      </c>
      <c r="C28" s="18" t="str">
        <f>IF('Kế hoạch định kỳ'!$B28="","",'Kế hoạch định kỳ'!$F28)</f>
        <v/>
      </c>
      <c r="D28" s="10" t="str">
        <f>IF('Kế hoạch định kỳ'!$B28="","",IF('Kế hoạch định kỳ'!$I28&lt;&gt;"",'Kế hoạch định kỳ'!$I28&amp;" ngày",'Kế hoạch định kỳ'!$H28))</f>
        <v/>
      </c>
      <c r="E28" s="24" t="str">
        <f>IF($A28="","",IF(COUNTIFS('Nhật ký bảo trì'!$D$6:$D$405,$A28,'Nhật ký bảo trì'!$Q$6:$Q$405,"Hoàn thành",'Nhật ký bảo trì'!$B$6:$B$405,"&gt;="&amp;E$5,'Nhật ký bảo trì'!$B$6:$B$405,"&lt;="&amp;EOMONTH(E$5,0))&gt;0,"✔",IF(((EOMONTH(E$5,0)&gt;='Kế hoạch định kỳ'!$W28)*(INT((EOMONTH(E$5,0)-'Kế hoạch định kỳ'!$W28)/'Kế hoạch định kỳ'!$X28)+1)-(E$5-1&gt;='Kế hoạch định kỳ'!$W28)*(INT((E$5-1-'Kế hoạch định kỳ'!$W28)/'Kế hoạch định kỳ'!$X28)+1))&gt;0,IF(EOMONTH(E$5,0)&lt;'Tổng quan'!$B$11,"✖","○"),"")))</f>
        <v/>
      </c>
      <c r="F28" s="24" t="str">
        <f>IF($A28="","",IF(COUNTIFS('Nhật ký bảo trì'!$D$6:$D$405,$A28,'Nhật ký bảo trì'!$Q$6:$Q$405,"Hoàn thành",'Nhật ký bảo trì'!$B$6:$B$405,"&gt;="&amp;F$5,'Nhật ký bảo trì'!$B$6:$B$405,"&lt;="&amp;EOMONTH(F$5,0))&gt;0,"✔",IF(((EOMONTH(F$5,0)&gt;='Kế hoạch định kỳ'!$W28)*(INT((EOMONTH(F$5,0)-'Kế hoạch định kỳ'!$W28)/'Kế hoạch định kỳ'!$X28)+1)-(F$5-1&gt;='Kế hoạch định kỳ'!$W28)*(INT((F$5-1-'Kế hoạch định kỳ'!$W28)/'Kế hoạch định kỳ'!$X28)+1))&gt;0,IF(EOMONTH(F$5,0)&lt;'Tổng quan'!$B$11,"✖","○"),"")))</f>
        <v/>
      </c>
      <c r="G28" s="24" t="str">
        <f>IF($A28="","",IF(COUNTIFS('Nhật ký bảo trì'!$D$6:$D$405,$A28,'Nhật ký bảo trì'!$Q$6:$Q$405,"Hoàn thành",'Nhật ký bảo trì'!$B$6:$B$405,"&gt;="&amp;G$5,'Nhật ký bảo trì'!$B$6:$B$405,"&lt;="&amp;EOMONTH(G$5,0))&gt;0,"✔",IF(((EOMONTH(G$5,0)&gt;='Kế hoạch định kỳ'!$W28)*(INT((EOMONTH(G$5,0)-'Kế hoạch định kỳ'!$W28)/'Kế hoạch định kỳ'!$X28)+1)-(G$5-1&gt;='Kế hoạch định kỳ'!$W28)*(INT((G$5-1-'Kế hoạch định kỳ'!$W28)/'Kế hoạch định kỳ'!$X28)+1))&gt;0,IF(EOMONTH(G$5,0)&lt;'Tổng quan'!$B$11,"✖","○"),"")))</f>
        <v/>
      </c>
      <c r="H28" s="24" t="str">
        <f>IF($A28="","",IF(COUNTIFS('Nhật ký bảo trì'!$D$6:$D$405,$A28,'Nhật ký bảo trì'!$Q$6:$Q$405,"Hoàn thành",'Nhật ký bảo trì'!$B$6:$B$405,"&gt;="&amp;H$5,'Nhật ký bảo trì'!$B$6:$B$405,"&lt;="&amp;EOMONTH(H$5,0))&gt;0,"✔",IF(((EOMONTH(H$5,0)&gt;='Kế hoạch định kỳ'!$W28)*(INT((EOMONTH(H$5,0)-'Kế hoạch định kỳ'!$W28)/'Kế hoạch định kỳ'!$X28)+1)-(H$5-1&gt;='Kế hoạch định kỳ'!$W28)*(INT((H$5-1-'Kế hoạch định kỳ'!$W28)/'Kế hoạch định kỳ'!$X28)+1))&gt;0,IF(EOMONTH(H$5,0)&lt;'Tổng quan'!$B$11,"✖","○"),"")))</f>
        <v/>
      </c>
      <c r="I28" s="24" t="str">
        <f>IF($A28="","",IF(COUNTIFS('Nhật ký bảo trì'!$D$6:$D$405,$A28,'Nhật ký bảo trì'!$Q$6:$Q$405,"Hoàn thành",'Nhật ký bảo trì'!$B$6:$B$405,"&gt;="&amp;I$5,'Nhật ký bảo trì'!$B$6:$B$405,"&lt;="&amp;EOMONTH(I$5,0))&gt;0,"✔",IF(((EOMONTH(I$5,0)&gt;='Kế hoạch định kỳ'!$W28)*(INT((EOMONTH(I$5,0)-'Kế hoạch định kỳ'!$W28)/'Kế hoạch định kỳ'!$X28)+1)-(I$5-1&gt;='Kế hoạch định kỳ'!$W28)*(INT((I$5-1-'Kế hoạch định kỳ'!$W28)/'Kế hoạch định kỳ'!$X28)+1))&gt;0,IF(EOMONTH(I$5,0)&lt;'Tổng quan'!$B$11,"✖","○"),"")))</f>
        <v/>
      </c>
      <c r="J28" s="24" t="str">
        <f>IF($A28="","",IF(COUNTIFS('Nhật ký bảo trì'!$D$6:$D$405,$A28,'Nhật ký bảo trì'!$Q$6:$Q$405,"Hoàn thành",'Nhật ký bảo trì'!$B$6:$B$405,"&gt;="&amp;J$5,'Nhật ký bảo trì'!$B$6:$B$405,"&lt;="&amp;EOMONTH(J$5,0))&gt;0,"✔",IF(((EOMONTH(J$5,0)&gt;='Kế hoạch định kỳ'!$W28)*(INT((EOMONTH(J$5,0)-'Kế hoạch định kỳ'!$W28)/'Kế hoạch định kỳ'!$X28)+1)-(J$5-1&gt;='Kế hoạch định kỳ'!$W28)*(INT((J$5-1-'Kế hoạch định kỳ'!$W28)/'Kế hoạch định kỳ'!$X28)+1))&gt;0,IF(EOMONTH(J$5,0)&lt;'Tổng quan'!$B$11,"✖","○"),"")))</f>
        <v/>
      </c>
      <c r="K28" s="24" t="str">
        <f>IF($A28="","",IF(COUNTIFS('Nhật ký bảo trì'!$D$6:$D$405,$A28,'Nhật ký bảo trì'!$Q$6:$Q$405,"Hoàn thành",'Nhật ký bảo trì'!$B$6:$B$405,"&gt;="&amp;K$5,'Nhật ký bảo trì'!$B$6:$B$405,"&lt;="&amp;EOMONTH(K$5,0))&gt;0,"✔",IF(((EOMONTH(K$5,0)&gt;='Kế hoạch định kỳ'!$W28)*(INT((EOMONTH(K$5,0)-'Kế hoạch định kỳ'!$W28)/'Kế hoạch định kỳ'!$X28)+1)-(K$5-1&gt;='Kế hoạch định kỳ'!$W28)*(INT((K$5-1-'Kế hoạch định kỳ'!$W28)/'Kế hoạch định kỳ'!$X28)+1))&gt;0,IF(EOMONTH(K$5,0)&lt;'Tổng quan'!$B$11,"✖","○"),"")))</f>
        <v/>
      </c>
      <c r="L28" s="24" t="str">
        <f>IF($A28="","",IF(COUNTIFS('Nhật ký bảo trì'!$D$6:$D$405,$A28,'Nhật ký bảo trì'!$Q$6:$Q$405,"Hoàn thành",'Nhật ký bảo trì'!$B$6:$B$405,"&gt;="&amp;L$5,'Nhật ký bảo trì'!$B$6:$B$405,"&lt;="&amp;EOMONTH(L$5,0))&gt;0,"✔",IF(((EOMONTH(L$5,0)&gt;='Kế hoạch định kỳ'!$W28)*(INT((EOMONTH(L$5,0)-'Kế hoạch định kỳ'!$W28)/'Kế hoạch định kỳ'!$X28)+1)-(L$5-1&gt;='Kế hoạch định kỳ'!$W28)*(INT((L$5-1-'Kế hoạch định kỳ'!$W28)/'Kế hoạch định kỳ'!$X28)+1))&gt;0,IF(EOMONTH(L$5,0)&lt;'Tổng quan'!$B$11,"✖","○"),"")))</f>
        <v/>
      </c>
      <c r="M28" s="24" t="str">
        <f>IF($A28="","",IF(COUNTIFS('Nhật ký bảo trì'!$D$6:$D$405,$A28,'Nhật ký bảo trì'!$Q$6:$Q$405,"Hoàn thành",'Nhật ký bảo trì'!$B$6:$B$405,"&gt;="&amp;M$5,'Nhật ký bảo trì'!$B$6:$B$405,"&lt;="&amp;EOMONTH(M$5,0))&gt;0,"✔",IF(((EOMONTH(M$5,0)&gt;='Kế hoạch định kỳ'!$W28)*(INT((EOMONTH(M$5,0)-'Kế hoạch định kỳ'!$W28)/'Kế hoạch định kỳ'!$X28)+1)-(M$5-1&gt;='Kế hoạch định kỳ'!$W28)*(INT((M$5-1-'Kế hoạch định kỳ'!$W28)/'Kế hoạch định kỳ'!$X28)+1))&gt;0,IF(EOMONTH(M$5,0)&lt;'Tổng quan'!$B$11,"✖","○"),"")))</f>
        <v/>
      </c>
      <c r="N28" s="24" t="str">
        <f>IF($A28="","",IF(COUNTIFS('Nhật ký bảo trì'!$D$6:$D$405,$A28,'Nhật ký bảo trì'!$Q$6:$Q$405,"Hoàn thành",'Nhật ký bảo trì'!$B$6:$B$405,"&gt;="&amp;N$5,'Nhật ký bảo trì'!$B$6:$B$405,"&lt;="&amp;EOMONTH(N$5,0))&gt;0,"✔",IF(((EOMONTH(N$5,0)&gt;='Kế hoạch định kỳ'!$W28)*(INT((EOMONTH(N$5,0)-'Kế hoạch định kỳ'!$W28)/'Kế hoạch định kỳ'!$X28)+1)-(N$5-1&gt;='Kế hoạch định kỳ'!$W28)*(INT((N$5-1-'Kế hoạch định kỳ'!$W28)/'Kế hoạch định kỳ'!$X28)+1))&gt;0,IF(EOMONTH(N$5,0)&lt;'Tổng quan'!$B$11,"✖","○"),"")))</f>
        <v/>
      </c>
      <c r="O28" s="24" t="str">
        <f>IF($A28="","",IF(COUNTIFS('Nhật ký bảo trì'!$D$6:$D$405,$A28,'Nhật ký bảo trì'!$Q$6:$Q$405,"Hoàn thành",'Nhật ký bảo trì'!$B$6:$B$405,"&gt;="&amp;O$5,'Nhật ký bảo trì'!$B$6:$B$405,"&lt;="&amp;EOMONTH(O$5,0))&gt;0,"✔",IF(((EOMONTH(O$5,0)&gt;='Kế hoạch định kỳ'!$W28)*(INT((EOMONTH(O$5,0)-'Kế hoạch định kỳ'!$W28)/'Kế hoạch định kỳ'!$X28)+1)-(O$5-1&gt;='Kế hoạch định kỳ'!$W28)*(INT((O$5-1-'Kế hoạch định kỳ'!$W28)/'Kế hoạch định kỳ'!$X28)+1))&gt;0,IF(EOMONTH(O$5,0)&lt;'Tổng quan'!$B$11,"✖","○"),"")))</f>
        <v/>
      </c>
      <c r="P28" s="24" t="str">
        <f>IF($A28="","",IF(COUNTIFS('Nhật ký bảo trì'!$D$6:$D$405,$A28,'Nhật ký bảo trì'!$Q$6:$Q$405,"Hoàn thành",'Nhật ký bảo trì'!$B$6:$B$405,"&gt;="&amp;P$5,'Nhật ký bảo trì'!$B$6:$B$405,"&lt;="&amp;EOMONTH(P$5,0))&gt;0,"✔",IF(((EOMONTH(P$5,0)&gt;='Kế hoạch định kỳ'!$W28)*(INT((EOMONTH(P$5,0)-'Kế hoạch định kỳ'!$W28)/'Kế hoạch định kỳ'!$X28)+1)-(P$5-1&gt;='Kế hoạch định kỳ'!$W28)*(INT((P$5-1-'Kế hoạch định kỳ'!$W28)/'Kế hoạch định kỳ'!$X28)+1))&gt;0,IF(EOMONTH(P$5,0)&lt;'Tổng quan'!$B$11,"✖","○"),"")))</f>
        <v/>
      </c>
      <c r="Q28" s="16" t="str">
        <f>IF($A28="","",COUNTIFS('Nhật ký bảo trì'!$D$6:$D$405,$A28,'Nhật ký bảo trì'!$Q$6:$Q$405,"Hoàn thành",'Nhật ký bảo trì'!$B$6:$B$405,"&gt;="&amp;DATE('Tổng quan'!$B$6,1,1),'Nhật ký bảo trì'!$B$6:$B$405,"&lt;="&amp;DATE('Tổng quan'!$B$6,12,31)))</f>
        <v/>
      </c>
      <c r="R28" s="16" t="str">
        <f t="shared" si="1"/>
        <v/>
      </c>
    </row>
    <row r="29" ht="24.0" customHeight="1">
      <c r="A29" s="26" t="str">
        <f>IF('Kế hoạch định kỳ'!$B29="","",'Kế hoạch định kỳ'!$B29)</f>
        <v/>
      </c>
      <c r="B29" s="28" t="str">
        <f>IF('Kế hoạch định kỳ'!$B29="","",'Kế hoạch định kỳ'!$D29)</f>
        <v/>
      </c>
      <c r="C29" s="56" t="str">
        <f>IF('Kế hoạch định kỳ'!$B29="","",'Kế hoạch định kỳ'!$F29)</f>
        <v/>
      </c>
      <c r="D29" s="26" t="str">
        <f>IF('Kế hoạch định kỳ'!$B29="","",IF('Kế hoạch định kỳ'!$I29&lt;&gt;"",'Kế hoạch định kỳ'!$I29&amp;" ngày",'Kế hoạch định kỳ'!$H29))</f>
        <v/>
      </c>
      <c r="E29" s="61" t="str">
        <f>IF($A29="","",IF(COUNTIFS('Nhật ký bảo trì'!$D$6:$D$405,$A29,'Nhật ký bảo trì'!$Q$6:$Q$405,"Hoàn thành",'Nhật ký bảo trì'!$B$6:$B$405,"&gt;="&amp;E$5,'Nhật ký bảo trì'!$B$6:$B$405,"&lt;="&amp;EOMONTH(E$5,0))&gt;0,"✔",IF(((EOMONTH(E$5,0)&gt;='Kế hoạch định kỳ'!$W29)*(INT((EOMONTH(E$5,0)-'Kế hoạch định kỳ'!$W29)/'Kế hoạch định kỳ'!$X29)+1)-(E$5-1&gt;='Kế hoạch định kỳ'!$W29)*(INT((E$5-1-'Kế hoạch định kỳ'!$W29)/'Kế hoạch định kỳ'!$X29)+1))&gt;0,IF(EOMONTH(E$5,0)&lt;'Tổng quan'!$B$11,"✖","○"),"")))</f>
        <v/>
      </c>
      <c r="F29" s="61" t="str">
        <f>IF($A29="","",IF(COUNTIFS('Nhật ký bảo trì'!$D$6:$D$405,$A29,'Nhật ký bảo trì'!$Q$6:$Q$405,"Hoàn thành",'Nhật ký bảo trì'!$B$6:$B$405,"&gt;="&amp;F$5,'Nhật ký bảo trì'!$B$6:$B$405,"&lt;="&amp;EOMONTH(F$5,0))&gt;0,"✔",IF(((EOMONTH(F$5,0)&gt;='Kế hoạch định kỳ'!$W29)*(INT((EOMONTH(F$5,0)-'Kế hoạch định kỳ'!$W29)/'Kế hoạch định kỳ'!$X29)+1)-(F$5-1&gt;='Kế hoạch định kỳ'!$W29)*(INT((F$5-1-'Kế hoạch định kỳ'!$W29)/'Kế hoạch định kỳ'!$X29)+1))&gt;0,IF(EOMONTH(F$5,0)&lt;'Tổng quan'!$B$11,"✖","○"),"")))</f>
        <v/>
      </c>
      <c r="G29" s="61" t="str">
        <f>IF($A29="","",IF(COUNTIFS('Nhật ký bảo trì'!$D$6:$D$405,$A29,'Nhật ký bảo trì'!$Q$6:$Q$405,"Hoàn thành",'Nhật ký bảo trì'!$B$6:$B$405,"&gt;="&amp;G$5,'Nhật ký bảo trì'!$B$6:$B$405,"&lt;="&amp;EOMONTH(G$5,0))&gt;0,"✔",IF(((EOMONTH(G$5,0)&gt;='Kế hoạch định kỳ'!$W29)*(INT((EOMONTH(G$5,0)-'Kế hoạch định kỳ'!$W29)/'Kế hoạch định kỳ'!$X29)+1)-(G$5-1&gt;='Kế hoạch định kỳ'!$W29)*(INT((G$5-1-'Kế hoạch định kỳ'!$W29)/'Kế hoạch định kỳ'!$X29)+1))&gt;0,IF(EOMONTH(G$5,0)&lt;'Tổng quan'!$B$11,"✖","○"),"")))</f>
        <v/>
      </c>
      <c r="H29" s="61" t="str">
        <f>IF($A29="","",IF(COUNTIFS('Nhật ký bảo trì'!$D$6:$D$405,$A29,'Nhật ký bảo trì'!$Q$6:$Q$405,"Hoàn thành",'Nhật ký bảo trì'!$B$6:$B$405,"&gt;="&amp;H$5,'Nhật ký bảo trì'!$B$6:$B$405,"&lt;="&amp;EOMONTH(H$5,0))&gt;0,"✔",IF(((EOMONTH(H$5,0)&gt;='Kế hoạch định kỳ'!$W29)*(INT((EOMONTH(H$5,0)-'Kế hoạch định kỳ'!$W29)/'Kế hoạch định kỳ'!$X29)+1)-(H$5-1&gt;='Kế hoạch định kỳ'!$W29)*(INT((H$5-1-'Kế hoạch định kỳ'!$W29)/'Kế hoạch định kỳ'!$X29)+1))&gt;0,IF(EOMONTH(H$5,0)&lt;'Tổng quan'!$B$11,"✖","○"),"")))</f>
        <v/>
      </c>
      <c r="I29" s="61" t="str">
        <f>IF($A29="","",IF(COUNTIFS('Nhật ký bảo trì'!$D$6:$D$405,$A29,'Nhật ký bảo trì'!$Q$6:$Q$405,"Hoàn thành",'Nhật ký bảo trì'!$B$6:$B$405,"&gt;="&amp;I$5,'Nhật ký bảo trì'!$B$6:$B$405,"&lt;="&amp;EOMONTH(I$5,0))&gt;0,"✔",IF(((EOMONTH(I$5,0)&gt;='Kế hoạch định kỳ'!$W29)*(INT((EOMONTH(I$5,0)-'Kế hoạch định kỳ'!$W29)/'Kế hoạch định kỳ'!$X29)+1)-(I$5-1&gt;='Kế hoạch định kỳ'!$W29)*(INT((I$5-1-'Kế hoạch định kỳ'!$W29)/'Kế hoạch định kỳ'!$X29)+1))&gt;0,IF(EOMONTH(I$5,0)&lt;'Tổng quan'!$B$11,"✖","○"),"")))</f>
        <v/>
      </c>
      <c r="J29" s="61" t="str">
        <f>IF($A29="","",IF(COUNTIFS('Nhật ký bảo trì'!$D$6:$D$405,$A29,'Nhật ký bảo trì'!$Q$6:$Q$405,"Hoàn thành",'Nhật ký bảo trì'!$B$6:$B$405,"&gt;="&amp;J$5,'Nhật ký bảo trì'!$B$6:$B$405,"&lt;="&amp;EOMONTH(J$5,0))&gt;0,"✔",IF(((EOMONTH(J$5,0)&gt;='Kế hoạch định kỳ'!$W29)*(INT((EOMONTH(J$5,0)-'Kế hoạch định kỳ'!$W29)/'Kế hoạch định kỳ'!$X29)+1)-(J$5-1&gt;='Kế hoạch định kỳ'!$W29)*(INT((J$5-1-'Kế hoạch định kỳ'!$W29)/'Kế hoạch định kỳ'!$X29)+1))&gt;0,IF(EOMONTH(J$5,0)&lt;'Tổng quan'!$B$11,"✖","○"),"")))</f>
        <v/>
      </c>
      <c r="K29" s="61" t="str">
        <f>IF($A29="","",IF(COUNTIFS('Nhật ký bảo trì'!$D$6:$D$405,$A29,'Nhật ký bảo trì'!$Q$6:$Q$405,"Hoàn thành",'Nhật ký bảo trì'!$B$6:$B$405,"&gt;="&amp;K$5,'Nhật ký bảo trì'!$B$6:$B$405,"&lt;="&amp;EOMONTH(K$5,0))&gt;0,"✔",IF(((EOMONTH(K$5,0)&gt;='Kế hoạch định kỳ'!$W29)*(INT((EOMONTH(K$5,0)-'Kế hoạch định kỳ'!$W29)/'Kế hoạch định kỳ'!$X29)+1)-(K$5-1&gt;='Kế hoạch định kỳ'!$W29)*(INT((K$5-1-'Kế hoạch định kỳ'!$W29)/'Kế hoạch định kỳ'!$X29)+1))&gt;0,IF(EOMONTH(K$5,0)&lt;'Tổng quan'!$B$11,"✖","○"),"")))</f>
        <v/>
      </c>
      <c r="L29" s="61" t="str">
        <f>IF($A29="","",IF(COUNTIFS('Nhật ký bảo trì'!$D$6:$D$405,$A29,'Nhật ký bảo trì'!$Q$6:$Q$405,"Hoàn thành",'Nhật ký bảo trì'!$B$6:$B$405,"&gt;="&amp;L$5,'Nhật ký bảo trì'!$B$6:$B$405,"&lt;="&amp;EOMONTH(L$5,0))&gt;0,"✔",IF(((EOMONTH(L$5,0)&gt;='Kế hoạch định kỳ'!$W29)*(INT((EOMONTH(L$5,0)-'Kế hoạch định kỳ'!$W29)/'Kế hoạch định kỳ'!$X29)+1)-(L$5-1&gt;='Kế hoạch định kỳ'!$W29)*(INT((L$5-1-'Kế hoạch định kỳ'!$W29)/'Kế hoạch định kỳ'!$X29)+1))&gt;0,IF(EOMONTH(L$5,0)&lt;'Tổng quan'!$B$11,"✖","○"),"")))</f>
        <v/>
      </c>
      <c r="M29" s="61" t="str">
        <f>IF($A29="","",IF(COUNTIFS('Nhật ký bảo trì'!$D$6:$D$405,$A29,'Nhật ký bảo trì'!$Q$6:$Q$405,"Hoàn thành",'Nhật ký bảo trì'!$B$6:$B$405,"&gt;="&amp;M$5,'Nhật ký bảo trì'!$B$6:$B$405,"&lt;="&amp;EOMONTH(M$5,0))&gt;0,"✔",IF(((EOMONTH(M$5,0)&gt;='Kế hoạch định kỳ'!$W29)*(INT((EOMONTH(M$5,0)-'Kế hoạch định kỳ'!$W29)/'Kế hoạch định kỳ'!$X29)+1)-(M$5-1&gt;='Kế hoạch định kỳ'!$W29)*(INT((M$5-1-'Kế hoạch định kỳ'!$W29)/'Kế hoạch định kỳ'!$X29)+1))&gt;0,IF(EOMONTH(M$5,0)&lt;'Tổng quan'!$B$11,"✖","○"),"")))</f>
        <v/>
      </c>
      <c r="N29" s="61" t="str">
        <f>IF($A29="","",IF(COUNTIFS('Nhật ký bảo trì'!$D$6:$D$405,$A29,'Nhật ký bảo trì'!$Q$6:$Q$405,"Hoàn thành",'Nhật ký bảo trì'!$B$6:$B$405,"&gt;="&amp;N$5,'Nhật ký bảo trì'!$B$6:$B$405,"&lt;="&amp;EOMONTH(N$5,0))&gt;0,"✔",IF(((EOMONTH(N$5,0)&gt;='Kế hoạch định kỳ'!$W29)*(INT((EOMONTH(N$5,0)-'Kế hoạch định kỳ'!$W29)/'Kế hoạch định kỳ'!$X29)+1)-(N$5-1&gt;='Kế hoạch định kỳ'!$W29)*(INT((N$5-1-'Kế hoạch định kỳ'!$W29)/'Kế hoạch định kỳ'!$X29)+1))&gt;0,IF(EOMONTH(N$5,0)&lt;'Tổng quan'!$B$11,"✖","○"),"")))</f>
        <v/>
      </c>
      <c r="O29" s="61" t="str">
        <f>IF($A29="","",IF(COUNTIFS('Nhật ký bảo trì'!$D$6:$D$405,$A29,'Nhật ký bảo trì'!$Q$6:$Q$405,"Hoàn thành",'Nhật ký bảo trì'!$B$6:$B$405,"&gt;="&amp;O$5,'Nhật ký bảo trì'!$B$6:$B$405,"&lt;="&amp;EOMONTH(O$5,0))&gt;0,"✔",IF(((EOMONTH(O$5,0)&gt;='Kế hoạch định kỳ'!$W29)*(INT((EOMONTH(O$5,0)-'Kế hoạch định kỳ'!$W29)/'Kế hoạch định kỳ'!$X29)+1)-(O$5-1&gt;='Kế hoạch định kỳ'!$W29)*(INT((O$5-1-'Kế hoạch định kỳ'!$W29)/'Kế hoạch định kỳ'!$X29)+1))&gt;0,IF(EOMONTH(O$5,0)&lt;'Tổng quan'!$B$11,"✖","○"),"")))</f>
        <v/>
      </c>
      <c r="P29" s="61" t="str">
        <f>IF($A29="","",IF(COUNTIFS('Nhật ký bảo trì'!$D$6:$D$405,$A29,'Nhật ký bảo trì'!$Q$6:$Q$405,"Hoàn thành",'Nhật ký bảo trì'!$B$6:$B$405,"&gt;="&amp;P$5,'Nhật ký bảo trì'!$B$6:$B$405,"&lt;="&amp;EOMONTH(P$5,0))&gt;0,"✔",IF(((EOMONTH(P$5,0)&gt;='Kế hoạch định kỳ'!$W29)*(INT((EOMONTH(P$5,0)-'Kế hoạch định kỳ'!$W29)/'Kế hoạch định kỳ'!$X29)+1)-(P$5-1&gt;='Kế hoạch định kỳ'!$W29)*(INT((P$5-1-'Kế hoạch định kỳ'!$W29)/'Kế hoạch định kỳ'!$X29)+1))&gt;0,IF(EOMONTH(P$5,0)&lt;'Tổng quan'!$B$11,"✖","○"),"")))</f>
        <v/>
      </c>
      <c r="Q29" s="30" t="str">
        <f>IF($A29="","",COUNTIFS('Nhật ký bảo trì'!$D$6:$D$405,$A29,'Nhật ký bảo trì'!$Q$6:$Q$405,"Hoàn thành",'Nhật ký bảo trì'!$B$6:$B$405,"&gt;="&amp;DATE('Tổng quan'!$B$6,1,1),'Nhật ký bảo trì'!$B$6:$B$405,"&lt;="&amp;DATE('Tổng quan'!$B$6,12,31)))</f>
        <v/>
      </c>
      <c r="R29" s="30" t="str">
        <f t="shared" si="1"/>
        <v/>
      </c>
    </row>
    <row r="30" ht="24.0" customHeight="1">
      <c r="A30" s="10" t="str">
        <f>IF('Kế hoạch định kỳ'!$B30="","",'Kế hoạch định kỳ'!$B30)</f>
        <v/>
      </c>
      <c r="B30" s="14" t="str">
        <f>IF('Kế hoạch định kỳ'!$B30="","",'Kế hoạch định kỳ'!$D30)</f>
        <v/>
      </c>
      <c r="C30" s="18" t="str">
        <f>IF('Kế hoạch định kỳ'!$B30="","",'Kế hoạch định kỳ'!$F30)</f>
        <v/>
      </c>
      <c r="D30" s="10" t="str">
        <f>IF('Kế hoạch định kỳ'!$B30="","",IF('Kế hoạch định kỳ'!$I30&lt;&gt;"",'Kế hoạch định kỳ'!$I30&amp;" ngày",'Kế hoạch định kỳ'!$H30))</f>
        <v/>
      </c>
      <c r="E30" s="24" t="str">
        <f>IF($A30="","",IF(COUNTIFS('Nhật ký bảo trì'!$D$6:$D$405,$A30,'Nhật ký bảo trì'!$Q$6:$Q$405,"Hoàn thành",'Nhật ký bảo trì'!$B$6:$B$405,"&gt;="&amp;E$5,'Nhật ký bảo trì'!$B$6:$B$405,"&lt;="&amp;EOMONTH(E$5,0))&gt;0,"✔",IF(((EOMONTH(E$5,0)&gt;='Kế hoạch định kỳ'!$W30)*(INT((EOMONTH(E$5,0)-'Kế hoạch định kỳ'!$W30)/'Kế hoạch định kỳ'!$X30)+1)-(E$5-1&gt;='Kế hoạch định kỳ'!$W30)*(INT((E$5-1-'Kế hoạch định kỳ'!$W30)/'Kế hoạch định kỳ'!$X30)+1))&gt;0,IF(EOMONTH(E$5,0)&lt;'Tổng quan'!$B$11,"✖","○"),"")))</f>
        <v/>
      </c>
      <c r="F30" s="24" t="str">
        <f>IF($A30="","",IF(COUNTIFS('Nhật ký bảo trì'!$D$6:$D$405,$A30,'Nhật ký bảo trì'!$Q$6:$Q$405,"Hoàn thành",'Nhật ký bảo trì'!$B$6:$B$405,"&gt;="&amp;F$5,'Nhật ký bảo trì'!$B$6:$B$405,"&lt;="&amp;EOMONTH(F$5,0))&gt;0,"✔",IF(((EOMONTH(F$5,0)&gt;='Kế hoạch định kỳ'!$W30)*(INT((EOMONTH(F$5,0)-'Kế hoạch định kỳ'!$W30)/'Kế hoạch định kỳ'!$X30)+1)-(F$5-1&gt;='Kế hoạch định kỳ'!$W30)*(INT((F$5-1-'Kế hoạch định kỳ'!$W30)/'Kế hoạch định kỳ'!$X30)+1))&gt;0,IF(EOMONTH(F$5,0)&lt;'Tổng quan'!$B$11,"✖","○"),"")))</f>
        <v/>
      </c>
      <c r="G30" s="24" t="str">
        <f>IF($A30="","",IF(COUNTIFS('Nhật ký bảo trì'!$D$6:$D$405,$A30,'Nhật ký bảo trì'!$Q$6:$Q$405,"Hoàn thành",'Nhật ký bảo trì'!$B$6:$B$405,"&gt;="&amp;G$5,'Nhật ký bảo trì'!$B$6:$B$405,"&lt;="&amp;EOMONTH(G$5,0))&gt;0,"✔",IF(((EOMONTH(G$5,0)&gt;='Kế hoạch định kỳ'!$W30)*(INT((EOMONTH(G$5,0)-'Kế hoạch định kỳ'!$W30)/'Kế hoạch định kỳ'!$X30)+1)-(G$5-1&gt;='Kế hoạch định kỳ'!$W30)*(INT((G$5-1-'Kế hoạch định kỳ'!$W30)/'Kế hoạch định kỳ'!$X30)+1))&gt;0,IF(EOMONTH(G$5,0)&lt;'Tổng quan'!$B$11,"✖","○"),"")))</f>
        <v/>
      </c>
      <c r="H30" s="24" t="str">
        <f>IF($A30="","",IF(COUNTIFS('Nhật ký bảo trì'!$D$6:$D$405,$A30,'Nhật ký bảo trì'!$Q$6:$Q$405,"Hoàn thành",'Nhật ký bảo trì'!$B$6:$B$405,"&gt;="&amp;H$5,'Nhật ký bảo trì'!$B$6:$B$405,"&lt;="&amp;EOMONTH(H$5,0))&gt;0,"✔",IF(((EOMONTH(H$5,0)&gt;='Kế hoạch định kỳ'!$W30)*(INT((EOMONTH(H$5,0)-'Kế hoạch định kỳ'!$W30)/'Kế hoạch định kỳ'!$X30)+1)-(H$5-1&gt;='Kế hoạch định kỳ'!$W30)*(INT((H$5-1-'Kế hoạch định kỳ'!$W30)/'Kế hoạch định kỳ'!$X30)+1))&gt;0,IF(EOMONTH(H$5,0)&lt;'Tổng quan'!$B$11,"✖","○"),"")))</f>
        <v/>
      </c>
      <c r="I30" s="24" t="str">
        <f>IF($A30="","",IF(COUNTIFS('Nhật ký bảo trì'!$D$6:$D$405,$A30,'Nhật ký bảo trì'!$Q$6:$Q$405,"Hoàn thành",'Nhật ký bảo trì'!$B$6:$B$405,"&gt;="&amp;I$5,'Nhật ký bảo trì'!$B$6:$B$405,"&lt;="&amp;EOMONTH(I$5,0))&gt;0,"✔",IF(((EOMONTH(I$5,0)&gt;='Kế hoạch định kỳ'!$W30)*(INT((EOMONTH(I$5,0)-'Kế hoạch định kỳ'!$W30)/'Kế hoạch định kỳ'!$X30)+1)-(I$5-1&gt;='Kế hoạch định kỳ'!$W30)*(INT((I$5-1-'Kế hoạch định kỳ'!$W30)/'Kế hoạch định kỳ'!$X30)+1))&gt;0,IF(EOMONTH(I$5,0)&lt;'Tổng quan'!$B$11,"✖","○"),"")))</f>
        <v/>
      </c>
      <c r="J30" s="24" t="str">
        <f>IF($A30="","",IF(COUNTIFS('Nhật ký bảo trì'!$D$6:$D$405,$A30,'Nhật ký bảo trì'!$Q$6:$Q$405,"Hoàn thành",'Nhật ký bảo trì'!$B$6:$B$405,"&gt;="&amp;J$5,'Nhật ký bảo trì'!$B$6:$B$405,"&lt;="&amp;EOMONTH(J$5,0))&gt;0,"✔",IF(((EOMONTH(J$5,0)&gt;='Kế hoạch định kỳ'!$W30)*(INT((EOMONTH(J$5,0)-'Kế hoạch định kỳ'!$W30)/'Kế hoạch định kỳ'!$X30)+1)-(J$5-1&gt;='Kế hoạch định kỳ'!$W30)*(INT((J$5-1-'Kế hoạch định kỳ'!$W30)/'Kế hoạch định kỳ'!$X30)+1))&gt;0,IF(EOMONTH(J$5,0)&lt;'Tổng quan'!$B$11,"✖","○"),"")))</f>
        <v/>
      </c>
      <c r="K30" s="24" t="str">
        <f>IF($A30="","",IF(COUNTIFS('Nhật ký bảo trì'!$D$6:$D$405,$A30,'Nhật ký bảo trì'!$Q$6:$Q$405,"Hoàn thành",'Nhật ký bảo trì'!$B$6:$B$405,"&gt;="&amp;K$5,'Nhật ký bảo trì'!$B$6:$B$405,"&lt;="&amp;EOMONTH(K$5,0))&gt;0,"✔",IF(((EOMONTH(K$5,0)&gt;='Kế hoạch định kỳ'!$W30)*(INT((EOMONTH(K$5,0)-'Kế hoạch định kỳ'!$W30)/'Kế hoạch định kỳ'!$X30)+1)-(K$5-1&gt;='Kế hoạch định kỳ'!$W30)*(INT((K$5-1-'Kế hoạch định kỳ'!$W30)/'Kế hoạch định kỳ'!$X30)+1))&gt;0,IF(EOMONTH(K$5,0)&lt;'Tổng quan'!$B$11,"✖","○"),"")))</f>
        <v/>
      </c>
      <c r="L30" s="24" t="str">
        <f>IF($A30="","",IF(COUNTIFS('Nhật ký bảo trì'!$D$6:$D$405,$A30,'Nhật ký bảo trì'!$Q$6:$Q$405,"Hoàn thành",'Nhật ký bảo trì'!$B$6:$B$405,"&gt;="&amp;L$5,'Nhật ký bảo trì'!$B$6:$B$405,"&lt;="&amp;EOMONTH(L$5,0))&gt;0,"✔",IF(((EOMONTH(L$5,0)&gt;='Kế hoạch định kỳ'!$W30)*(INT((EOMONTH(L$5,0)-'Kế hoạch định kỳ'!$W30)/'Kế hoạch định kỳ'!$X30)+1)-(L$5-1&gt;='Kế hoạch định kỳ'!$W30)*(INT((L$5-1-'Kế hoạch định kỳ'!$W30)/'Kế hoạch định kỳ'!$X30)+1))&gt;0,IF(EOMONTH(L$5,0)&lt;'Tổng quan'!$B$11,"✖","○"),"")))</f>
        <v/>
      </c>
      <c r="M30" s="24" t="str">
        <f>IF($A30="","",IF(COUNTIFS('Nhật ký bảo trì'!$D$6:$D$405,$A30,'Nhật ký bảo trì'!$Q$6:$Q$405,"Hoàn thành",'Nhật ký bảo trì'!$B$6:$B$405,"&gt;="&amp;M$5,'Nhật ký bảo trì'!$B$6:$B$405,"&lt;="&amp;EOMONTH(M$5,0))&gt;0,"✔",IF(((EOMONTH(M$5,0)&gt;='Kế hoạch định kỳ'!$W30)*(INT((EOMONTH(M$5,0)-'Kế hoạch định kỳ'!$W30)/'Kế hoạch định kỳ'!$X30)+1)-(M$5-1&gt;='Kế hoạch định kỳ'!$W30)*(INT((M$5-1-'Kế hoạch định kỳ'!$W30)/'Kế hoạch định kỳ'!$X30)+1))&gt;0,IF(EOMONTH(M$5,0)&lt;'Tổng quan'!$B$11,"✖","○"),"")))</f>
        <v/>
      </c>
      <c r="N30" s="24" t="str">
        <f>IF($A30="","",IF(COUNTIFS('Nhật ký bảo trì'!$D$6:$D$405,$A30,'Nhật ký bảo trì'!$Q$6:$Q$405,"Hoàn thành",'Nhật ký bảo trì'!$B$6:$B$405,"&gt;="&amp;N$5,'Nhật ký bảo trì'!$B$6:$B$405,"&lt;="&amp;EOMONTH(N$5,0))&gt;0,"✔",IF(((EOMONTH(N$5,0)&gt;='Kế hoạch định kỳ'!$W30)*(INT((EOMONTH(N$5,0)-'Kế hoạch định kỳ'!$W30)/'Kế hoạch định kỳ'!$X30)+1)-(N$5-1&gt;='Kế hoạch định kỳ'!$W30)*(INT((N$5-1-'Kế hoạch định kỳ'!$W30)/'Kế hoạch định kỳ'!$X30)+1))&gt;0,IF(EOMONTH(N$5,0)&lt;'Tổng quan'!$B$11,"✖","○"),"")))</f>
        <v/>
      </c>
      <c r="O30" s="24" t="str">
        <f>IF($A30="","",IF(COUNTIFS('Nhật ký bảo trì'!$D$6:$D$405,$A30,'Nhật ký bảo trì'!$Q$6:$Q$405,"Hoàn thành",'Nhật ký bảo trì'!$B$6:$B$405,"&gt;="&amp;O$5,'Nhật ký bảo trì'!$B$6:$B$405,"&lt;="&amp;EOMONTH(O$5,0))&gt;0,"✔",IF(((EOMONTH(O$5,0)&gt;='Kế hoạch định kỳ'!$W30)*(INT((EOMONTH(O$5,0)-'Kế hoạch định kỳ'!$W30)/'Kế hoạch định kỳ'!$X30)+1)-(O$5-1&gt;='Kế hoạch định kỳ'!$W30)*(INT((O$5-1-'Kế hoạch định kỳ'!$W30)/'Kế hoạch định kỳ'!$X30)+1))&gt;0,IF(EOMONTH(O$5,0)&lt;'Tổng quan'!$B$11,"✖","○"),"")))</f>
        <v/>
      </c>
      <c r="P30" s="24" t="str">
        <f>IF($A30="","",IF(COUNTIFS('Nhật ký bảo trì'!$D$6:$D$405,$A30,'Nhật ký bảo trì'!$Q$6:$Q$405,"Hoàn thành",'Nhật ký bảo trì'!$B$6:$B$405,"&gt;="&amp;P$5,'Nhật ký bảo trì'!$B$6:$B$405,"&lt;="&amp;EOMONTH(P$5,0))&gt;0,"✔",IF(((EOMONTH(P$5,0)&gt;='Kế hoạch định kỳ'!$W30)*(INT((EOMONTH(P$5,0)-'Kế hoạch định kỳ'!$W30)/'Kế hoạch định kỳ'!$X30)+1)-(P$5-1&gt;='Kế hoạch định kỳ'!$W30)*(INT((P$5-1-'Kế hoạch định kỳ'!$W30)/'Kế hoạch định kỳ'!$X30)+1))&gt;0,IF(EOMONTH(P$5,0)&lt;'Tổng quan'!$B$11,"✖","○"),"")))</f>
        <v/>
      </c>
      <c r="Q30" s="16" t="str">
        <f>IF($A30="","",COUNTIFS('Nhật ký bảo trì'!$D$6:$D$405,$A30,'Nhật ký bảo trì'!$Q$6:$Q$405,"Hoàn thành",'Nhật ký bảo trì'!$B$6:$B$405,"&gt;="&amp;DATE('Tổng quan'!$B$6,1,1),'Nhật ký bảo trì'!$B$6:$B$405,"&lt;="&amp;DATE('Tổng quan'!$B$6,12,31)))</f>
        <v/>
      </c>
      <c r="R30" s="16" t="str">
        <f t="shared" si="1"/>
        <v/>
      </c>
    </row>
    <row r="31" ht="24.0" customHeight="1">
      <c r="A31" s="26" t="str">
        <f>IF('Kế hoạch định kỳ'!$B31="","",'Kế hoạch định kỳ'!$B31)</f>
        <v/>
      </c>
      <c r="B31" s="28" t="str">
        <f>IF('Kế hoạch định kỳ'!$B31="","",'Kế hoạch định kỳ'!$D31)</f>
        <v/>
      </c>
      <c r="C31" s="56" t="str">
        <f>IF('Kế hoạch định kỳ'!$B31="","",'Kế hoạch định kỳ'!$F31)</f>
        <v/>
      </c>
      <c r="D31" s="26" t="str">
        <f>IF('Kế hoạch định kỳ'!$B31="","",IF('Kế hoạch định kỳ'!$I31&lt;&gt;"",'Kế hoạch định kỳ'!$I31&amp;" ngày",'Kế hoạch định kỳ'!$H31))</f>
        <v/>
      </c>
      <c r="E31" s="61" t="str">
        <f>IF($A31="","",IF(COUNTIFS('Nhật ký bảo trì'!$D$6:$D$405,$A31,'Nhật ký bảo trì'!$Q$6:$Q$405,"Hoàn thành",'Nhật ký bảo trì'!$B$6:$B$405,"&gt;="&amp;E$5,'Nhật ký bảo trì'!$B$6:$B$405,"&lt;="&amp;EOMONTH(E$5,0))&gt;0,"✔",IF(((EOMONTH(E$5,0)&gt;='Kế hoạch định kỳ'!$W31)*(INT((EOMONTH(E$5,0)-'Kế hoạch định kỳ'!$W31)/'Kế hoạch định kỳ'!$X31)+1)-(E$5-1&gt;='Kế hoạch định kỳ'!$W31)*(INT((E$5-1-'Kế hoạch định kỳ'!$W31)/'Kế hoạch định kỳ'!$X31)+1))&gt;0,IF(EOMONTH(E$5,0)&lt;'Tổng quan'!$B$11,"✖","○"),"")))</f>
        <v/>
      </c>
      <c r="F31" s="61" t="str">
        <f>IF($A31="","",IF(COUNTIFS('Nhật ký bảo trì'!$D$6:$D$405,$A31,'Nhật ký bảo trì'!$Q$6:$Q$405,"Hoàn thành",'Nhật ký bảo trì'!$B$6:$B$405,"&gt;="&amp;F$5,'Nhật ký bảo trì'!$B$6:$B$405,"&lt;="&amp;EOMONTH(F$5,0))&gt;0,"✔",IF(((EOMONTH(F$5,0)&gt;='Kế hoạch định kỳ'!$W31)*(INT((EOMONTH(F$5,0)-'Kế hoạch định kỳ'!$W31)/'Kế hoạch định kỳ'!$X31)+1)-(F$5-1&gt;='Kế hoạch định kỳ'!$W31)*(INT((F$5-1-'Kế hoạch định kỳ'!$W31)/'Kế hoạch định kỳ'!$X31)+1))&gt;0,IF(EOMONTH(F$5,0)&lt;'Tổng quan'!$B$11,"✖","○"),"")))</f>
        <v/>
      </c>
      <c r="G31" s="61" t="str">
        <f>IF($A31="","",IF(COUNTIFS('Nhật ký bảo trì'!$D$6:$D$405,$A31,'Nhật ký bảo trì'!$Q$6:$Q$405,"Hoàn thành",'Nhật ký bảo trì'!$B$6:$B$405,"&gt;="&amp;G$5,'Nhật ký bảo trì'!$B$6:$B$405,"&lt;="&amp;EOMONTH(G$5,0))&gt;0,"✔",IF(((EOMONTH(G$5,0)&gt;='Kế hoạch định kỳ'!$W31)*(INT((EOMONTH(G$5,0)-'Kế hoạch định kỳ'!$W31)/'Kế hoạch định kỳ'!$X31)+1)-(G$5-1&gt;='Kế hoạch định kỳ'!$W31)*(INT((G$5-1-'Kế hoạch định kỳ'!$W31)/'Kế hoạch định kỳ'!$X31)+1))&gt;0,IF(EOMONTH(G$5,0)&lt;'Tổng quan'!$B$11,"✖","○"),"")))</f>
        <v/>
      </c>
      <c r="H31" s="61" t="str">
        <f>IF($A31="","",IF(COUNTIFS('Nhật ký bảo trì'!$D$6:$D$405,$A31,'Nhật ký bảo trì'!$Q$6:$Q$405,"Hoàn thành",'Nhật ký bảo trì'!$B$6:$B$405,"&gt;="&amp;H$5,'Nhật ký bảo trì'!$B$6:$B$405,"&lt;="&amp;EOMONTH(H$5,0))&gt;0,"✔",IF(((EOMONTH(H$5,0)&gt;='Kế hoạch định kỳ'!$W31)*(INT((EOMONTH(H$5,0)-'Kế hoạch định kỳ'!$W31)/'Kế hoạch định kỳ'!$X31)+1)-(H$5-1&gt;='Kế hoạch định kỳ'!$W31)*(INT((H$5-1-'Kế hoạch định kỳ'!$W31)/'Kế hoạch định kỳ'!$X31)+1))&gt;0,IF(EOMONTH(H$5,0)&lt;'Tổng quan'!$B$11,"✖","○"),"")))</f>
        <v/>
      </c>
      <c r="I31" s="61" t="str">
        <f>IF($A31="","",IF(COUNTIFS('Nhật ký bảo trì'!$D$6:$D$405,$A31,'Nhật ký bảo trì'!$Q$6:$Q$405,"Hoàn thành",'Nhật ký bảo trì'!$B$6:$B$405,"&gt;="&amp;I$5,'Nhật ký bảo trì'!$B$6:$B$405,"&lt;="&amp;EOMONTH(I$5,0))&gt;0,"✔",IF(((EOMONTH(I$5,0)&gt;='Kế hoạch định kỳ'!$W31)*(INT((EOMONTH(I$5,0)-'Kế hoạch định kỳ'!$W31)/'Kế hoạch định kỳ'!$X31)+1)-(I$5-1&gt;='Kế hoạch định kỳ'!$W31)*(INT((I$5-1-'Kế hoạch định kỳ'!$W31)/'Kế hoạch định kỳ'!$X31)+1))&gt;0,IF(EOMONTH(I$5,0)&lt;'Tổng quan'!$B$11,"✖","○"),"")))</f>
        <v/>
      </c>
      <c r="J31" s="61" t="str">
        <f>IF($A31="","",IF(COUNTIFS('Nhật ký bảo trì'!$D$6:$D$405,$A31,'Nhật ký bảo trì'!$Q$6:$Q$405,"Hoàn thành",'Nhật ký bảo trì'!$B$6:$B$405,"&gt;="&amp;J$5,'Nhật ký bảo trì'!$B$6:$B$405,"&lt;="&amp;EOMONTH(J$5,0))&gt;0,"✔",IF(((EOMONTH(J$5,0)&gt;='Kế hoạch định kỳ'!$W31)*(INT((EOMONTH(J$5,0)-'Kế hoạch định kỳ'!$W31)/'Kế hoạch định kỳ'!$X31)+1)-(J$5-1&gt;='Kế hoạch định kỳ'!$W31)*(INT((J$5-1-'Kế hoạch định kỳ'!$W31)/'Kế hoạch định kỳ'!$X31)+1))&gt;0,IF(EOMONTH(J$5,0)&lt;'Tổng quan'!$B$11,"✖","○"),"")))</f>
        <v/>
      </c>
      <c r="K31" s="61" t="str">
        <f>IF($A31="","",IF(COUNTIFS('Nhật ký bảo trì'!$D$6:$D$405,$A31,'Nhật ký bảo trì'!$Q$6:$Q$405,"Hoàn thành",'Nhật ký bảo trì'!$B$6:$B$405,"&gt;="&amp;K$5,'Nhật ký bảo trì'!$B$6:$B$405,"&lt;="&amp;EOMONTH(K$5,0))&gt;0,"✔",IF(((EOMONTH(K$5,0)&gt;='Kế hoạch định kỳ'!$W31)*(INT((EOMONTH(K$5,0)-'Kế hoạch định kỳ'!$W31)/'Kế hoạch định kỳ'!$X31)+1)-(K$5-1&gt;='Kế hoạch định kỳ'!$W31)*(INT((K$5-1-'Kế hoạch định kỳ'!$W31)/'Kế hoạch định kỳ'!$X31)+1))&gt;0,IF(EOMONTH(K$5,0)&lt;'Tổng quan'!$B$11,"✖","○"),"")))</f>
        <v/>
      </c>
      <c r="L31" s="61" t="str">
        <f>IF($A31="","",IF(COUNTIFS('Nhật ký bảo trì'!$D$6:$D$405,$A31,'Nhật ký bảo trì'!$Q$6:$Q$405,"Hoàn thành",'Nhật ký bảo trì'!$B$6:$B$405,"&gt;="&amp;L$5,'Nhật ký bảo trì'!$B$6:$B$405,"&lt;="&amp;EOMONTH(L$5,0))&gt;0,"✔",IF(((EOMONTH(L$5,0)&gt;='Kế hoạch định kỳ'!$W31)*(INT((EOMONTH(L$5,0)-'Kế hoạch định kỳ'!$W31)/'Kế hoạch định kỳ'!$X31)+1)-(L$5-1&gt;='Kế hoạch định kỳ'!$W31)*(INT((L$5-1-'Kế hoạch định kỳ'!$W31)/'Kế hoạch định kỳ'!$X31)+1))&gt;0,IF(EOMONTH(L$5,0)&lt;'Tổng quan'!$B$11,"✖","○"),"")))</f>
        <v/>
      </c>
      <c r="M31" s="61" t="str">
        <f>IF($A31="","",IF(COUNTIFS('Nhật ký bảo trì'!$D$6:$D$405,$A31,'Nhật ký bảo trì'!$Q$6:$Q$405,"Hoàn thành",'Nhật ký bảo trì'!$B$6:$B$405,"&gt;="&amp;M$5,'Nhật ký bảo trì'!$B$6:$B$405,"&lt;="&amp;EOMONTH(M$5,0))&gt;0,"✔",IF(((EOMONTH(M$5,0)&gt;='Kế hoạch định kỳ'!$W31)*(INT((EOMONTH(M$5,0)-'Kế hoạch định kỳ'!$W31)/'Kế hoạch định kỳ'!$X31)+1)-(M$5-1&gt;='Kế hoạch định kỳ'!$W31)*(INT((M$5-1-'Kế hoạch định kỳ'!$W31)/'Kế hoạch định kỳ'!$X31)+1))&gt;0,IF(EOMONTH(M$5,0)&lt;'Tổng quan'!$B$11,"✖","○"),"")))</f>
        <v/>
      </c>
      <c r="N31" s="61" t="str">
        <f>IF($A31="","",IF(COUNTIFS('Nhật ký bảo trì'!$D$6:$D$405,$A31,'Nhật ký bảo trì'!$Q$6:$Q$405,"Hoàn thành",'Nhật ký bảo trì'!$B$6:$B$405,"&gt;="&amp;N$5,'Nhật ký bảo trì'!$B$6:$B$405,"&lt;="&amp;EOMONTH(N$5,0))&gt;0,"✔",IF(((EOMONTH(N$5,0)&gt;='Kế hoạch định kỳ'!$W31)*(INT((EOMONTH(N$5,0)-'Kế hoạch định kỳ'!$W31)/'Kế hoạch định kỳ'!$X31)+1)-(N$5-1&gt;='Kế hoạch định kỳ'!$W31)*(INT((N$5-1-'Kế hoạch định kỳ'!$W31)/'Kế hoạch định kỳ'!$X31)+1))&gt;0,IF(EOMONTH(N$5,0)&lt;'Tổng quan'!$B$11,"✖","○"),"")))</f>
        <v/>
      </c>
      <c r="O31" s="61" t="str">
        <f>IF($A31="","",IF(COUNTIFS('Nhật ký bảo trì'!$D$6:$D$405,$A31,'Nhật ký bảo trì'!$Q$6:$Q$405,"Hoàn thành",'Nhật ký bảo trì'!$B$6:$B$405,"&gt;="&amp;O$5,'Nhật ký bảo trì'!$B$6:$B$405,"&lt;="&amp;EOMONTH(O$5,0))&gt;0,"✔",IF(((EOMONTH(O$5,0)&gt;='Kế hoạch định kỳ'!$W31)*(INT((EOMONTH(O$5,0)-'Kế hoạch định kỳ'!$W31)/'Kế hoạch định kỳ'!$X31)+1)-(O$5-1&gt;='Kế hoạch định kỳ'!$W31)*(INT((O$5-1-'Kế hoạch định kỳ'!$W31)/'Kế hoạch định kỳ'!$X31)+1))&gt;0,IF(EOMONTH(O$5,0)&lt;'Tổng quan'!$B$11,"✖","○"),"")))</f>
        <v/>
      </c>
      <c r="P31" s="61" t="str">
        <f>IF($A31="","",IF(COUNTIFS('Nhật ký bảo trì'!$D$6:$D$405,$A31,'Nhật ký bảo trì'!$Q$6:$Q$405,"Hoàn thành",'Nhật ký bảo trì'!$B$6:$B$405,"&gt;="&amp;P$5,'Nhật ký bảo trì'!$B$6:$B$405,"&lt;="&amp;EOMONTH(P$5,0))&gt;0,"✔",IF(((EOMONTH(P$5,0)&gt;='Kế hoạch định kỳ'!$W31)*(INT((EOMONTH(P$5,0)-'Kế hoạch định kỳ'!$W31)/'Kế hoạch định kỳ'!$X31)+1)-(P$5-1&gt;='Kế hoạch định kỳ'!$W31)*(INT((P$5-1-'Kế hoạch định kỳ'!$W31)/'Kế hoạch định kỳ'!$X31)+1))&gt;0,IF(EOMONTH(P$5,0)&lt;'Tổng quan'!$B$11,"✖","○"),"")))</f>
        <v/>
      </c>
      <c r="Q31" s="30" t="str">
        <f>IF($A31="","",COUNTIFS('Nhật ký bảo trì'!$D$6:$D$405,$A31,'Nhật ký bảo trì'!$Q$6:$Q$405,"Hoàn thành",'Nhật ký bảo trì'!$B$6:$B$405,"&gt;="&amp;DATE('Tổng quan'!$B$6,1,1),'Nhật ký bảo trì'!$B$6:$B$405,"&lt;="&amp;DATE('Tổng quan'!$B$6,12,31)))</f>
        <v/>
      </c>
      <c r="R31" s="30" t="str">
        <f t="shared" si="1"/>
        <v/>
      </c>
    </row>
    <row r="32" ht="24.0" customHeight="1">
      <c r="A32" s="10" t="str">
        <f>IF('Kế hoạch định kỳ'!$B32="","",'Kế hoạch định kỳ'!$B32)</f>
        <v/>
      </c>
      <c r="B32" s="14" t="str">
        <f>IF('Kế hoạch định kỳ'!$B32="","",'Kế hoạch định kỳ'!$D32)</f>
        <v/>
      </c>
      <c r="C32" s="18" t="str">
        <f>IF('Kế hoạch định kỳ'!$B32="","",'Kế hoạch định kỳ'!$F32)</f>
        <v/>
      </c>
      <c r="D32" s="10" t="str">
        <f>IF('Kế hoạch định kỳ'!$B32="","",IF('Kế hoạch định kỳ'!$I32&lt;&gt;"",'Kế hoạch định kỳ'!$I32&amp;" ngày",'Kế hoạch định kỳ'!$H32))</f>
        <v/>
      </c>
      <c r="E32" s="24" t="str">
        <f>IF($A32="","",IF(COUNTIFS('Nhật ký bảo trì'!$D$6:$D$405,$A32,'Nhật ký bảo trì'!$Q$6:$Q$405,"Hoàn thành",'Nhật ký bảo trì'!$B$6:$B$405,"&gt;="&amp;E$5,'Nhật ký bảo trì'!$B$6:$B$405,"&lt;="&amp;EOMONTH(E$5,0))&gt;0,"✔",IF(((EOMONTH(E$5,0)&gt;='Kế hoạch định kỳ'!$W32)*(INT((EOMONTH(E$5,0)-'Kế hoạch định kỳ'!$W32)/'Kế hoạch định kỳ'!$X32)+1)-(E$5-1&gt;='Kế hoạch định kỳ'!$W32)*(INT((E$5-1-'Kế hoạch định kỳ'!$W32)/'Kế hoạch định kỳ'!$X32)+1))&gt;0,IF(EOMONTH(E$5,0)&lt;'Tổng quan'!$B$11,"✖","○"),"")))</f>
        <v/>
      </c>
      <c r="F32" s="24" t="str">
        <f>IF($A32="","",IF(COUNTIFS('Nhật ký bảo trì'!$D$6:$D$405,$A32,'Nhật ký bảo trì'!$Q$6:$Q$405,"Hoàn thành",'Nhật ký bảo trì'!$B$6:$B$405,"&gt;="&amp;F$5,'Nhật ký bảo trì'!$B$6:$B$405,"&lt;="&amp;EOMONTH(F$5,0))&gt;0,"✔",IF(((EOMONTH(F$5,0)&gt;='Kế hoạch định kỳ'!$W32)*(INT((EOMONTH(F$5,0)-'Kế hoạch định kỳ'!$W32)/'Kế hoạch định kỳ'!$X32)+1)-(F$5-1&gt;='Kế hoạch định kỳ'!$W32)*(INT((F$5-1-'Kế hoạch định kỳ'!$W32)/'Kế hoạch định kỳ'!$X32)+1))&gt;0,IF(EOMONTH(F$5,0)&lt;'Tổng quan'!$B$11,"✖","○"),"")))</f>
        <v/>
      </c>
      <c r="G32" s="24" t="str">
        <f>IF($A32="","",IF(COUNTIFS('Nhật ký bảo trì'!$D$6:$D$405,$A32,'Nhật ký bảo trì'!$Q$6:$Q$405,"Hoàn thành",'Nhật ký bảo trì'!$B$6:$B$405,"&gt;="&amp;G$5,'Nhật ký bảo trì'!$B$6:$B$405,"&lt;="&amp;EOMONTH(G$5,0))&gt;0,"✔",IF(((EOMONTH(G$5,0)&gt;='Kế hoạch định kỳ'!$W32)*(INT((EOMONTH(G$5,0)-'Kế hoạch định kỳ'!$W32)/'Kế hoạch định kỳ'!$X32)+1)-(G$5-1&gt;='Kế hoạch định kỳ'!$W32)*(INT((G$5-1-'Kế hoạch định kỳ'!$W32)/'Kế hoạch định kỳ'!$X32)+1))&gt;0,IF(EOMONTH(G$5,0)&lt;'Tổng quan'!$B$11,"✖","○"),"")))</f>
        <v/>
      </c>
      <c r="H32" s="24" t="str">
        <f>IF($A32="","",IF(COUNTIFS('Nhật ký bảo trì'!$D$6:$D$405,$A32,'Nhật ký bảo trì'!$Q$6:$Q$405,"Hoàn thành",'Nhật ký bảo trì'!$B$6:$B$405,"&gt;="&amp;H$5,'Nhật ký bảo trì'!$B$6:$B$405,"&lt;="&amp;EOMONTH(H$5,0))&gt;0,"✔",IF(((EOMONTH(H$5,0)&gt;='Kế hoạch định kỳ'!$W32)*(INT((EOMONTH(H$5,0)-'Kế hoạch định kỳ'!$W32)/'Kế hoạch định kỳ'!$X32)+1)-(H$5-1&gt;='Kế hoạch định kỳ'!$W32)*(INT((H$5-1-'Kế hoạch định kỳ'!$W32)/'Kế hoạch định kỳ'!$X32)+1))&gt;0,IF(EOMONTH(H$5,0)&lt;'Tổng quan'!$B$11,"✖","○"),"")))</f>
        <v/>
      </c>
      <c r="I32" s="24" t="str">
        <f>IF($A32="","",IF(COUNTIFS('Nhật ký bảo trì'!$D$6:$D$405,$A32,'Nhật ký bảo trì'!$Q$6:$Q$405,"Hoàn thành",'Nhật ký bảo trì'!$B$6:$B$405,"&gt;="&amp;I$5,'Nhật ký bảo trì'!$B$6:$B$405,"&lt;="&amp;EOMONTH(I$5,0))&gt;0,"✔",IF(((EOMONTH(I$5,0)&gt;='Kế hoạch định kỳ'!$W32)*(INT((EOMONTH(I$5,0)-'Kế hoạch định kỳ'!$W32)/'Kế hoạch định kỳ'!$X32)+1)-(I$5-1&gt;='Kế hoạch định kỳ'!$W32)*(INT((I$5-1-'Kế hoạch định kỳ'!$W32)/'Kế hoạch định kỳ'!$X32)+1))&gt;0,IF(EOMONTH(I$5,0)&lt;'Tổng quan'!$B$11,"✖","○"),"")))</f>
        <v/>
      </c>
      <c r="J32" s="24" t="str">
        <f>IF($A32="","",IF(COUNTIFS('Nhật ký bảo trì'!$D$6:$D$405,$A32,'Nhật ký bảo trì'!$Q$6:$Q$405,"Hoàn thành",'Nhật ký bảo trì'!$B$6:$B$405,"&gt;="&amp;J$5,'Nhật ký bảo trì'!$B$6:$B$405,"&lt;="&amp;EOMONTH(J$5,0))&gt;0,"✔",IF(((EOMONTH(J$5,0)&gt;='Kế hoạch định kỳ'!$W32)*(INT((EOMONTH(J$5,0)-'Kế hoạch định kỳ'!$W32)/'Kế hoạch định kỳ'!$X32)+1)-(J$5-1&gt;='Kế hoạch định kỳ'!$W32)*(INT((J$5-1-'Kế hoạch định kỳ'!$W32)/'Kế hoạch định kỳ'!$X32)+1))&gt;0,IF(EOMONTH(J$5,0)&lt;'Tổng quan'!$B$11,"✖","○"),"")))</f>
        <v/>
      </c>
      <c r="K32" s="24" t="str">
        <f>IF($A32="","",IF(COUNTIFS('Nhật ký bảo trì'!$D$6:$D$405,$A32,'Nhật ký bảo trì'!$Q$6:$Q$405,"Hoàn thành",'Nhật ký bảo trì'!$B$6:$B$405,"&gt;="&amp;K$5,'Nhật ký bảo trì'!$B$6:$B$405,"&lt;="&amp;EOMONTH(K$5,0))&gt;0,"✔",IF(((EOMONTH(K$5,0)&gt;='Kế hoạch định kỳ'!$W32)*(INT((EOMONTH(K$5,0)-'Kế hoạch định kỳ'!$W32)/'Kế hoạch định kỳ'!$X32)+1)-(K$5-1&gt;='Kế hoạch định kỳ'!$W32)*(INT((K$5-1-'Kế hoạch định kỳ'!$W32)/'Kế hoạch định kỳ'!$X32)+1))&gt;0,IF(EOMONTH(K$5,0)&lt;'Tổng quan'!$B$11,"✖","○"),"")))</f>
        <v/>
      </c>
      <c r="L32" s="24" t="str">
        <f>IF($A32="","",IF(COUNTIFS('Nhật ký bảo trì'!$D$6:$D$405,$A32,'Nhật ký bảo trì'!$Q$6:$Q$405,"Hoàn thành",'Nhật ký bảo trì'!$B$6:$B$405,"&gt;="&amp;L$5,'Nhật ký bảo trì'!$B$6:$B$405,"&lt;="&amp;EOMONTH(L$5,0))&gt;0,"✔",IF(((EOMONTH(L$5,0)&gt;='Kế hoạch định kỳ'!$W32)*(INT((EOMONTH(L$5,0)-'Kế hoạch định kỳ'!$W32)/'Kế hoạch định kỳ'!$X32)+1)-(L$5-1&gt;='Kế hoạch định kỳ'!$W32)*(INT((L$5-1-'Kế hoạch định kỳ'!$W32)/'Kế hoạch định kỳ'!$X32)+1))&gt;0,IF(EOMONTH(L$5,0)&lt;'Tổng quan'!$B$11,"✖","○"),"")))</f>
        <v/>
      </c>
      <c r="M32" s="24" t="str">
        <f>IF($A32="","",IF(COUNTIFS('Nhật ký bảo trì'!$D$6:$D$405,$A32,'Nhật ký bảo trì'!$Q$6:$Q$405,"Hoàn thành",'Nhật ký bảo trì'!$B$6:$B$405,"&gt;="&amp;M$5,'Nhật ký bảo trì'!$B$6:$B$405,"&lt;="&amp;EOMONTH(M$5,0))&gt;0,"✔",IF(((EOMONTH(M$5,0)&gt;='Kế hoạch định kỳ'!$W32)*(INT((EOMONTH(M$5,0)-'Kế hoạch định kỳ'!$W32)/'Kế hoạch định kỳ'!$X32)+1)-(M$5-1&gt;='Kế hoạch định kỳ'!$W32)*(INT((M$5-1-'Kế hoạch định kỳ'!$W32)/'Kế hoạch định kỳ'!$X32)+1))&gt;0,IF(EOMONTH(M$5,0)&lt;'Tổng quan'!$B$11,"✖","○"),"")))</f>
        <v/>
      </c>
      <c r="N32" s="24" t="str">
        <f>IF($A32="","",IF(COUNTIFS('Nhật ký bảo trì'!$D$6:$D$405,$A32,'Nhật ký bảo trì'!$Q$6:$Q$405,"Hoàn thành",'Nhật ký bảo trì'!$B$6:$B$405,"&gt;="&amp;N$5,'Nhật ký bảo trì'!$B$6:$B$405,"&lt;="&amp;EOMONTH(N$5,0))&gt;0,"✔",IF(((EOMONTH(N$5,0)&gt;='Kế hoạch định kỳ'!$W32)*(INT((EOMONTH(N$5,0)-'Kế hoạch định kỳ'!$W32)/'Kế hoạch định kỳ'!$X32)+1)-(N$5-1&gt;='Kế hoạch định kỳ'!$W32)*(INT((N$5-1-'Kế hoạch định kỳ'!$W32)/'Kế hoạch định kỳ'!$X32)+1))&gt;0,IF(EOMONTH(N$5,0)&lt;'Tổng quan'!$B$11,"✖","○"),"")))</f>
        <v/>
      </c>
      <c r="O32" s="24" t="str">
        <f>IF($A32="","",IF(COUNTIFS('Nhật ký bảo trì'!$D$6:$D$405,$A32,'Nhật ký bảo trì'!$Q$6:$Q$405,"Hoàn thành",'Nhật ký bảo trì'!$B$6:$B$405,"&gt;="&amp;O$5,'Nhật ký bảo trì'!$B$6:$B$405,"&lt;="&amp;EOMONTH(O$5,0))&gt;0,"✔",IF(((EOMONTH(O$5,0)&gt;='Kế hoạch định kỳ'!$W32)*(INT((EOMONTH(O$5,0)-'Kế hoạch định kỳ'!$W32)/'Kế hoạch định kỳ'!$X32)+1)-(O$5-1&gt;='Kế hoạch định kỳ'!$W32)*(INT((O$5-1-'Kế hoạch định kỳ'!$W32)/'Kế hoạch định kỳ'!$X32)+1))&gt;0,IF(EOMONTH(O$5,0)&lt;'Tổng quan'!$B$11,"✖","○"),"")))</f>
        <v/>
      </c>
      <c r="P32" s="24" t="str">
        <f>IF($A32="","",IF(COUNTIFS('Nhật ký bảo trì'!$D$6:$D$405,$A32,'Nhật ký bảo trì'!$Q$6:$Q$405,"Hoàn thành",'Nhật ký bảo trì'!$B$6:$B$405,"&gt;="&amp;P$5,'Nhật ký bảo trì'!$B$6:$B$405,"&lt;="&amp;EOMONTH(P$5,0))&gt;0,"✔",IF(((EOMONTH(P$5,0)&gt;='Kế hoạch định kỳ'!$W32)*(INT((EOMONTH(P$5,0)-'Kế hoạch định kỳ'!$W32)/'Kế hoạch định kỳ'!$X32)+1)-(P$5-1&gt;='Kế hoạch định kỳ'!$W32)*(INT((P$5-1-'Kế hoạch định kỳ'!$W32)/'Kế hoạch định kỳ'!$X32)+1))&gt;0,IF(EOMONTH(P$5,0)&lt;'Tổng quan'!$B$11,"✖","○"),"")))</f>
        <v/>
      </c>
      <c r="Q32" s="16" t="str">
        <f>IF($A32="","",COUNTIFS('Nhật ký bảo trì'!$D$6:$D$405,$A32,'Nhật ký bảo trì'!$Q$6:$Q$405,"Hoàn thành",'Nhật ký bảo trì'!$B$6:$B$405,"&gt;="&amp;DATE('Tổng quan'!$B$6,1,1),'Nhật ký bảo trì'!$B$6:$B$405,"&lt;="&amp;DATE('Tổng quan'!$B$6,12,31)))</f>
        <v/>
      </c>
      <c r="R32" s="16" t="str">
        <f t="shared" si="1"/>
        <v/>
      </c>
    </row>
    <row r="33" ht="24.0" customHeight="1">
      <c r="A33" s="26" t="str">
        <f>IF('Kế hoạch định kỳ'!$B33="","",'Kế hoạch định kỳ'!$B33)</f>
        <v/>
      </c>
      <c r="B33" s="28" t="str">
        <f>IF('Kế hoạch định kỳ'!$B33="","",'Kế hoạch định kỳ'!$D33)</f>
        <v/>
      </c>
      <c r="C33" s="56" t="str">
        <f>IF('Kế hoạch định kỳ'!$B33="","",'Kế hoạch định kỳ'!$F33)</f>
        <v/>
      </c>
      <c r="D33" s="26" t="str">
        <f>IF('Kế hoạch định kỳ'!$B33="","",IF('Kế hoạch định kỳ'!$I33&lt;&gt;"",'Kế hoạch định kỳ'!$I33&amp;" ngày",'Kế hoạch định kỳ'!$H33))</f>
        <v/>
      </c>
      <c r="E33" s="61" t="str">
        <f>IF($A33="","",IF(COUNTIFS('Nhật ký bảo trì'!$D$6:$D$405,$A33,'Nhật ký bảo trì'!$Q$6:$Q$405,"Hoàn thành",'Nhật ký bảo trì'!$B$6:$B$405,"&gt;="&amp;E$5,'Nhật ký bảo trì'!$B$6:$B$405,"&lt;="&amp;EOMONTH(E$5,0))&gt;0,"✔",IF(((EOMONTH(E$5,0)&gt;='Kế hoạch định kỳ'!$W33)*(INT((EOMONTH(E$5,0)-'Kế hoạch định kỳ'!$W33)/'Kế hoạch định kỳ'!$X33)+1)-(E$5-1&gt;='Kế hoạch định kỳ'!$W33)*(INT((E$5-1-'Kế hoạch định kỳ'!$W33)/'Kế hoạch định kỳ'!$X33)+1))&gt;0,IF(EOMONTH(E$5,0)&lt;'Tổng quan'!$B$11,"✖","○"),"")))</f>
        <v/>
      </c>
      <c r="F33" s="61" t="str">
        <f>IF($A33="","",IF(COUNTIFS('Nhật ký bảo trì'!$D$6:$D$405,$A33,'Nhật ký bảo trì'!$Q$6:$Q$405,"Hoàn thành",'Nhật ký bảo trì'!$B$6:$B$405,"&gt;="&amp;F$5,'Nhật ký bảo trì'!$B$6:$B$405,"&lt;="&amp;EOMONTH(F$5,0))&gt;0,"✔",IF(((EOMONTH(F$5,0)&gt;='Kế hoạch định kỳ'!$W33)*(INT((EOMONTH(F$5,0)-'Kế hoạch định kỳ'!$W33)/'Kế hoạch định kỳ'!$X33)+1)-(F$5-1&gt;='Kế hoạch định kỳ'!$W33)*(INT((F$5-1-'Kế hoạch định kỳ'!$W33)/'Kế hoạch định kỳ'!$X33)+1))&gt;0,IF(EOMONTH(F$5,0)&lt;'Tổng quan'!$B$11,"✖","○"),"")))</f>
        <v/>
      </c>
      <c r="G33" s="61" t="str">
        <f>IF($A33="","",IF(COUNTIFS('Nhật ký bảo trì'!$D$6:$D$405,$A33,'Nhật ký bảo trì'!$Q$6:$Q$405,"Hoàn thành",'Nhật ký bảo trì'!$B$6:$B$405,"&gt;="&amp;G$5,'Nhật ký bảo trì'!$B$6:$B$405,"&lt;="&amp;EOMONTH(G$5,0))&gt;0,"✔",IF(((EOMONTH(G$5,0)&gt;='Kế hoạch định kỳ'!$W33)*(INT((EOMONTH(G$5,0)-'Kế hoạch định kỳ'!$W33)/'Kế hoạch định kỳ'!$X33)+1)-(G$5-1&gt;='Kế hoạch định kỳ'!$W33)*(INT((G$5-1-'Kế hoạch định kỳ'!$W33)/'Kế hoạch định kỳ'!$X33)+1))&gt;0,IF(EOMONTH(G$5,0)&lt;'Tổng quan'!$B$11,"✖","○"),"")))</f>
        <v/>
      </c>
      <c r="H33" s="61" t="str">
        <f>IF($A33="","",IF(COUNTIFS('Nhật ký bảo trì'!$D$6:$D$405,$A33,'Nhật ký bảo trì'!$Q$6:$Q$405,"Hoàn thành",'Nhật ký bảo trì'!$B$6:$B$405,"&gt;="&amp;H$5,'Nhật ký bảo trì'!$B$6:$B$405,"&lt;="&amp;EOMONTH(H$5,0))&gt;0,"✔",IF(((EOMONTH(H$5,0)&gt;='Kế hoạch định kỳ'!$W33)*(INT((EOMONTH(H$5,0)-'Kế hoạch định kỳ'!$W33)/'Kế hoạch định kỳ'!$X33)+1)-(H$5-1&gt;='Kế hoạch định kỳ'!$W33)*(INT((H$5-1-'Kế hoạch định kỳ'!$W33)/'Kế hoạch định kỳ'!$X33)+1))&gt;0,IF(EOMONTH(H$5,0)&lt;'Tổng quan'!$B$11,"✖","○"),"")))</f>
        <v/>
      </c>
      <c r="I33" s="61" t="str">
        <f>IF($A33="","",IF(COUNTIFS('Nhật ký bảo trì'!$D$6:$D$405,$A33,'Nhật ký bảo trì'!$Q$6:$Q$405,"Hoàn thành",'Nhật ký bảo trì'!$B$6:$B$405,"&gt;="&amp;I$5,'Nhật ký bảo trì'!$B$6:$B$405,"&lt;="&amp;EOMONTH(I$5,0))&gt;0,"✔",IF(((EOMONTH(I$5,0)&gt;='Kế hoạch định kỳ'!$W33)*(INT((EOMONTH(I$5,0)-'Kế hoạch định kỳ'!$W33)/'Kế hoạch định kỳ'!$X33)+1)-(I$5-1&gt;='Kế hoạch định kỳ'!$W33)*(INT((I$5-1-'Kế hoạch định kỳ'!$W33)/'Kế hoạch định kỳ'!$X33)+1))&gt;0,IF(EOMONTH(I$5,0)&lt;'Tổng quan'!$B$11,"✖","○"),"")))</f>
        <v/>
      </c>
      <c r="J33" s="61" t="str">
        <f>IF($A33="","",IF(COUNTIFS('Nhật ký bảo trì'!$D$6:$D$405,$A33,'Nhật ký bảo trì'!$Q$6:$Q$405,"Hoàn thành",'Nhật ký bảo trì'!$B$6:$B$405,"&gt;="&amp;J$5,'Nhật ký bảo trì'!$B$6:$B$405,"&lt;="&amp;EOMONTH(J$5,0))&gt;0,"✔",IF(((EOMONTH(J$5,0)&gt;='Kế hoạch định kỳ'!$W33)*(INT((EOMONTH(J$5,0)-'Kế hoạch định kỳ'!$W33)/'Kế hoạch định kỳ'!$X33)+1)-(J$5-1&gt;='Kế hoạch định kỳ'!$W33)*(INT((J$5-1-'Kế hoạch định kỳ'!$W33)/'Kế hoạch định kỳ'!$X33)+1))&gt;0,IF(EOMONTH(J$5,0)&lt;'Tổng quan'!$B$11,"✖","○"),"")))</f>
        <v/>
      </c>
      <c r="K33" s="61" t="str">
        <f>IF($A33="","",IF(COUNTIFS('Nhật ký bảo trì'!$D$6:$D$405,$A33,'Nhật ký bảo trì'!$Q$6:$Q$405,"Hoàn thành",'Nhật ký bảo trì'!$B$6:$B$405,"&gt;="&amp;K$5,'Nhật ký bảo trì'!$B$6:$B$405,"&lt;="&amp;EOMONTH(K$5,0))&gt;0,"✔",IF(((EOMONTH(K$5,0)&gt;='Kế hoạch định kỳ'!$W33)*(INT((EOMONTH(K$5,0)-'Kế hoạch định kỳ'!$W33)/'Kế hoạch định kỳ'!$X33)+1)-(K$5-1&gt;='Kế hoạch định kỳ'!$W33)*(INT((K$5-1-'Kế hoạch định kỳ'!$W33)/'Kế hoạch định kỳ'!$X33)+1))&gt;0,IF(EOMONTH(K$5,0)&lt;'Tổng quan'!$B$11,"✖","○"),"")))</f>
        <v/>
      </c>
      <c r="L33" s="61" t="str">
        <f>IF($A33="","",IF(COUNTIFS('Nhật ký bảo trì'!$D$6:$D$405,$A33,'Nhật ký bảo trì'!$Q$6:$Q$405,"Hoàn thành",'Nhật ký bảo trì'!$B$6:$B$405,"&gt;="&amp;L$5,'Nhật ký bảo trì'!$B$6:$B$405,"&lt;="&amp;EOMONTH(L$5,0))&gt;0,"✔",IF(((EOMONTH(L$5,0)&gt;='Kế hoạch định kỳ'!$W33)*(INT((EOMONTH(L$5,0)-'Kế hoạch định kỳ'!$W33)/'Kế hoạch định kỳ'!$X33)+1)-(L$5-1&gt;='Kế hoạch định kỳ'!$W33)*(INT((L$5-1-'Kế hoạch định kỳ'!$W33)/'Kế hoạch định kỳ'!$X33)+1))&gt;0,IF(EOMONTH(L$5,0)&lt;'Tổng quan'!$B$11,"✖","○"),"")))</f>
        <v/>
      </c>
      <c r="M33" s="61" t="str">
        <f>IF($A33="","",IF(COUNTIFS('Nhật ký bảo trì'!$D$6:$D$405,$A33,'Nhật ký bảo trì'!$Q$6:$Q$405,"Hoàn thành",'Nhật ký bảo trì'!$B$6:$B$405,"&gt;="&amp;M$5,'Nhật ký bảo trì'!$B$6:$B$405,"&lt;="&amp;EOMONTH(M$5,0))&gt;0,"✔",IF(((EOMONTH(M$5,0)&gt;='Kế hoạch định kỳ'!$W33)*(INT((EOMONTH(M$5,0)-'Kế hoạch định kỳ'!$W33)/'Kế hoạch định kỳ'!$X33)+1)-(M$5-1&gt;='Kế hoạch định kỳ'!$W33)*(INT((M$5-1-'Kế hoạch định kỳ'!$W33)/'Kế hoạch định kỳ'!$X33)+1))&gt;0,IF(EOMONTH(M$5,0)&lt;'Tổng quan'!$B$11,"✖","○"),"")))</f>
        <v/>
      </c>
      <c r="N33" s="61" t="str">
        <f>IF($A33="","",IF(COUNTIFS('Nhật ký bảo trì'!$D$6:$D$405,$A33,'Nhật ký bảo trì'!$Q$6:$Q$405,"Hoàn thành",'Nhật ký bảo trì'!$B$6:$B$405,"&gt;="&amp;N$5,'Nhật ký bảo trì'!$B$6:$B$405,"&lt;="&amp;EOMONTH(N$5,0))&gt;0,"✔",IF(((EOMONTH(N$5,0)&gt;='Kế hoạch định kỳ'!$W33)*(INT((EOMONTH(N$5,0)-'Kế hoạch định kỳ'!$W33)/'Kế hoạch định kỳ'!$X33)+1)-(N$5-1&gt;='Kế hoạch định kỳ'!$W33)*(INT((N$5-1-'Kế hoạch định kỳ'!$W33)/'Kế hoạch định kỳ'!$X33)+1))&gt;0,IF(EOMONTH(N$5,0)&lt;'Tổng quan'!$B$11,"✖","○"),"")))</f>
        <v/>
      </c>
      <c r="O33" s="61" t="str">
        <f>IF($A33="","",IF(COUNTIFS('Nhật ký bảo trì'!$D$6:$D$405,$A33,'Nhật ký bảo trì'!$Q$6:$Q$405,"Hoàn thành",'Nhật ký bảo trì'!$B$6:$B$405,"&gt;="&amp;O$5,'Nhật ký bảo trì'!$B$6:$B$405,"&lt;="&amp;EOMONTH(O$5,0))&gt;0,"✔",IF(((EOMONTH(O$5,0)&gt;='Kế hoạch định kỳ'!$W33)*(INT((EOMONTH(O$5,0)-'Kế hoạch định kỳ'!$W33)/'Kế hoạch định kỳ'!$X33)+1)-(O$5-1&gt;='Kế hoạch định kỳ'!$W33)*(INT((O$5-1-'Kế hoạch định kỳ'!$W33)/'Kế hoạch định kỳ'!$X33)+1))&gt;0,IF(EOMONTH(O$5,0)&lt;'Tổng quan'!$B$11,"✖","○"),"")))</f>
        <v/>
      </c>
      <c r="P33" s="61" t="str">
        <f>IF($A33="","",IF(COUNTIFS('Nhật ký bảo trì'!$D$6:$D$405,$A33,'Nhật ký bảo trì'!$Q$6:$Q$405,"Hoàn thành",'Nhật ký bảo trì'!$B$6:$B$405,"&gt;="&amp;P$5,'Nhật ký bảo trì'!$B$6:$B$405,"&lt;="&amp;EOMONTH(P$5,0))&gt;0,"✔",IF(((EOMONTH(P$5,0)&gt;='Kế hoạch định kỳ'!$W33)*(INT((EOMONTH(P$5,0)-'Kế hoạch định kỳ'!$W33)/'Kế hoạch định kỳ'!$X33)+1)-(P$5-1&gt;='Kế hoạch định kỳ'!$W33)*(INT((P$5-1-'Kế hoạch định kỳ'!$W33)/'Kế hoạch định kỳ'!$X33)+1))&gt;0,IF(EOMONTH(P$5,0)&lt;'Tổng quan'!$B$11,"✖","○"),"")))</f>
        <v/>
      </c>
      <c r="Q33" s="30" t="str">
        <f>IF($A33="","",COUNTIFS('Nhật ký bảo trì'!$D$6:$D$405,$A33,'Nhật ký bảo trì'!$Q$6:$Q$405,"Hoàn thành",'Nhật ký bảo trì'!$B$6:$B$405,"&gt;="&amp;DATE('Tổng quan'!$B$6,1,1),'Nhật ký bảo trì'!$B$6:$B$405,"&lt;="&amp;DATE('Tổng quan'!$B$6,12,31)))</f>
        <v/>
      </c>
      <c r="R33" s="30" t="str">
        <f t="shared" si="1"/>
        <v/>
      </c>
    </row>
    <row r="34" ht="24.0" customHeight="1">
      <c r="A34" s="10" t="str">
        <f>IF('Kế hoạch định kỳ'!$B34="","",'Kế hoạch định kỳ'!$B34)</f>
        <v/>
      </c>
      <c r="B34" s="14" t="str">
        <f>IF('Kế hoạch định kỳ'!$B34="","",'Kế hoạch định kỳ'!$D34)</f>
        <v/>
      </c>
      <c r="C34" s="18" t="str">
        <f>IF('Kế hoạch định kỳ'!$B34="","",'Kế hoạch định kỳ'!$F34)</f>
        <v/>
      </c>
      <c r="D34" s="10" t="str">
        <f>IF('Kế hoạch định kỳ'!$B34="","",IF('Kế hoạch định kỳ'!$I34&lt;&gt;"",'Kế hoạch định kỳ'!$I34&amp;" ngày",'Kế hoạch định kỳ'!$H34))</f>
        <v/>
      </c>
      <c r="E34" s="24" t="str">
        <f>IF($A34="","",IF(COUNTIFS('Nhật ký bảo trì'!$D$6:$D$405,$A34,'Nhật ký bảo trì'!$Q$6:$Q$405,"Hoàn thành",'Nhật ký bảo trì'!$B$6:$B$405,"&gt;="&amp;E$5,'Nhật ký bảo trì'!$B$6:$B$405,"&lt;="&amp;EOMONTH(E$5,0))&gt;0,"✔",IF(((EOMONTH(E$5,0)&gt;='Kế hoạch định kỳ'!$W34)*(INT((EOMONTH(E$5,0)-'Kế hoạch định kỳ'!$W34)/'Kế hoạch định kỳ'!$X34)+1)-(E$5-1&gt;='Kế hoạch định kỳ'!$W34)*(INT((E$5-1-'Kế hoạch định kỳ'!$W34)/'Kế hoạch định kỳ'!$X34)+1))&gt;0,IF(EOMONTH(E$5,0)&lt;'Tổng quan'!$B$11,"✖","○"),"")))</f>
        <v/>
      </c>
      <c r="F34" s="24" t="str">
        <f>IF($A34="","",IF(COUNTIFS('Nhật ký bảo trì'!$D$6:$D$405,$A34,'Nhật ký bảo trì'!$Q$6:$Q$405,"Hoàn thành",'Nhật ký bảo trì'!$B$6:$B$405,"&gt;="&amp;F$5,'Nhật ký bảo trì'!$B$6:$B$405,"&lt;="&amp;EOMONTH(F$5,0))&gt;0,"✔",IF(((EOMONTH(F$5,0)&gt;='Kế hoạch định kỳ'!$W34)*(INT((EOMONTH(F$5,0)-'Kế hoạch định kỳ'!$W34)/'Kế hoạch định kỳ'!$X34)+1)-(F$5-1&gt;='Kế hoạch định kỳ'!$W34)*(INT((F$5-1-'Kế hoạch định kỳ'!$W34)/'Kế hoạch định kỳ'!$X34)+1))&gt;0,IF(EOMONTH(F$5,0)&lt;'Tổng quan'!$B$11,"✖","○"),"")))</f>
        <v/>
      </c>
      <c r="G34" s="24" t="str">
        <f>IF($A34="","",IF(COUNTIFS('Nhật ký bảo trì'!$D$6:$D$405,$A34,'Nhật ký bảo trì'!$Q$6:$Q$405,"Hoàn thành",'Nhật ký bảo trì'!$B$6:$B$405,"&gt;="&amp;G$5,'Nhật ký bảo trì'!$B$6:$B$405,"&lt;="&amp;EOMONTH(G$5,0))&gt;0,"✔",IF(((EOMONTH(G$5,0)&gt;='Kế hoạch định kỳ'!$W34)*(INT((EOMONTH(G$5,0)-'Kế hoạch định kỳ'!$W34)/'Kế hoạch định kỳ'!$X34)+1)-(G$5-1&gt;='Kế hoạch định kỳ'!$W34)*(INT((G$5-1-'Kế hoạch định kỳ'!$W34)/'Kế hoạch định kỳ'!$X34)+1))&gt;0,IF(EOMONTH(G$5,0)&lt;'Tổng quan'!$B$11,"✖","○"),"")))</f>
        <v/>
      </c>
      <c r="H34" s="24" t="str">
        <f>IF($A34="","",IF(COUNTIFS('Nhật ký bảo trì'!$D$6:$D$405,$A34,'Nhật ký bảo trì'!$Q$6:$Q$405,"Hoàn thành",'Nhật ký bảo trì'!$B$6:$B$405,"&gt;="&amp;H$5,'Nhật ký bảo trì'!$B$6:$B$405,"&lt;="&amp;EOMONTH(H$5,0))&gt;0,"✔",IF(((EOMONTH(H$5,0)&gt;='Kế hoạch định kỳ'!$W34)*(INT((EOMONTH(H$5,0)-'Kế hoạch định kỳ'!$W34)/'Kế hoạch định kỳ'!$X34)+1)-(H$5-1&gt;='Kế hoạch định kỳ'!$W34)*(INT((H$5-1-'Kế hoạch định kỳ'!$W34)/'Kế hoạch định kỳ'!$X34)+1))&gt;0,IF(EOMONTH(H$5,0)&lt;'Tổng quan'!$B$11,"✖","○"),"")))</f>
        <v/>
      </c>
      <c r="I34" s="24" t="str">
        <f>IF($A34="","",IF(COUNTIFS('Nhật ký bảo trì'!$D$6:$D$405,$A34,'Nhật ký bảo trì'!$Q$6:$Q$405,"Hoàn thành",'Nhật ký bảo trì'!$B$6:$B$405,"&gt;="&amp;I$5,'Nhật ký bảo trì'!$B$6:$B$405,"&lt;="&amp;EOMONTH(I$5,0))&gt;0,"✔",IF(((EOMONTH(I$5,0)&gt;='Kế hoạch định kỳ'!$W34)*(INT((EOMONTH(I$5,0)-'Kế hoạch định kỳ'!$W34)/'Kế hoạch định kỳ'!$X34)+1)-(I$5-1&gt;='Kế hoạch định kỳ'!$W34)*(INT((I$5-1-'Kế hoạch định kỳ'!$W34)/'Kế hoạch định kỳ'!$X34)+1))&gt;0,IF(EOMONTH(I$5,0)&lt;'Tổng quan'!$B$11,"✖","○"),"")))</f>
        <v/>
      </c>
      <c r="J34" s="24" t="str">
        <f>IF($A34="","",IF(COUNTIFS('Nhật ký bảo trì'!$D$6:$D$405,$A34,'Nhật ký bảo trì'!$Q$6:$Q$405,"Hoàn thành",'Nhật ký bảo trì'!$B$6:$B$405,"&gt;="&amp;J$5,'Nhật ký bảo trì'!$B$6:$B$405,"&lt;="&amp;EOMONTH(J$5,0))&gt;0,"✔",IF(((EOMONTH(J$5,0)&gt;='Kế hoạch định kỳ'!$W34)*(INT((EOMONTH(J$5,0)-'Kế hoạch định kỳ'!$W34)/'Kế hoạch định kỳ'!$X34)+1)-(J$5-1&gt;='Kế hoạch định kỳ'!$W34)*(INT((J$5-1-'Kế hoạch định kỳ'!$W34)/'Kế hoạch định kỳ'!$X34)+1))&gt;0,IF(EOMONTH(J$5,0)&lt;'Tổng quan'!$B$11,"✖","○"),"")))</f>
        <v/>
      </c>
      <c r="K34" s="24" t="str">
        <f>IF($A34="","",IF(COUNTIFS('Nhật ký bảo trì'!$D$6:$D$405,$A34,'Nhật ký bảo trì'!$Q$6:$Q$405,"Hoàn thành",'Nhật ký bảo trì'!$B$6:$B$405,"&gt;="&amp;K$5,'Nhật ký bảo trì'!$B$6:$B$405,"&lt;="&amp;EOMONTH(K$5,0))&gt;0,"✔",IF(((EOMONTH(K$5,0)&gt;='Kế hoạch định kỳ'!$W34)*(INT((EOMONTH(K$5,0)-'Kế hoạch định kỳ'!$W34)/'Kế hoạch định kỳ'!$X34)+1)-(K$5-1&gt;='Kế hoạch định kỳ'!$W34)*(INT((K$5-1-'Kế hoạch định kỳ'!$W34)/'Kế hoạch định kỳ'!$X34)+1))&gt;0,IF(EOMONTH(K$5,0)&lt;'Tổng quan'!$B$11,"✖","○"),"")))</f>
        <v/>
      </c>
      <c r="L34" s="24" t="str">
        <f>IF($A34="","",IF(COUNTIFS('Nhật ký bảo trì'!$D$6:$D$405,$A34,'Nhật ký bảo trì'!$Q$6:$Q$405,"Hoàn thành",'Nhật ký bảo trì'!$B$6:$B$405,"&gt;="&amp;L$5,'Nhật ký bảo trì'!$B$6:$B$405,"&lt;="&amp;EOMONTH(L$5,0))&gt;0,"✔",IF(((EOMONTH(L$5,0)&gt;='Kế hoạch định kỳ'!$W34)*(INT((EOMONTH(L$5,0)-'Kế hoạch định kỳ'!$W34)/'Kế hoạch định kỳ'!$X34)+1)-(L$5-1&gt;='Kế hoạch định kỳ'!$W34)*(INT((L$5-1-'Kế hoạch định kỳ'!$W34)/'Kế hoạch định kỳ'!$X34)+1))&gt;0,IF(EOMONTH(L$5,0)&lt;'Tổng quan'!$B$11,"✖","○"),"")))</f>
        <v/>
      </c>
      <c r="M34" s="24" t="str">
        <f>IF($A34="","",IF(COUNTIFS('Nhật ký bảo trì'!$D$6:$D$405,$A34,'Nhật ký bảo trì'!$Q$6:$Q$405,"Hoàn thành",'Nhật ký bảo trì'!$B$6:$B$405,"&gt;="&amp;M$5,'Nhật ký bảo trì'!$B$6:$B$405,"&lt;="&amp;EOMONTH(M$5,0))&gt;0,"✔",IF(((EOMONTH(M$5,0)&gt;='Kế hoạch định kỳ'!$W34)*(INT((EOMONTH(M$5,0)-'Kế hoạch định kỳ'!$W34)/'Kế hoạch định kỳ'!$X34)+1)-(M$5-1&gt;='Kế hoạch định kỳ'!$W34)*(INT((M$5-1-'Kế hoạch định kỳ'!$W34)/'Kế hoạch định kỳ'!$X34)+1))&gt;0,IF(EOMONTH(M$5,0)&lt;'Tổng quan'!$B$11,"✖","○"),"")))</f>
        <v/>
      </c>
      <c r="N34" s="24" t="str">
        <f>IF($A34="","",IF(COUNTIFS('Nhật ký bảo trì'!$D$6:$D$405,$A34,'Nhật ký bảo trì'!$Q$6:$Q$405,"Hoàn thành",'Nhật ký bảo trì'!$B$6:$B$405,"&gt;="&amp;N$5,'Nhật ký bảo trì'!$B$6:$B$405,"&lt;="&amp;EOMONTH(N$5,0))&gt;0,"✔",IF(((EOMONTH(N$5,0)&gt;='Kế hoạch định kỳ'!$W34)*(INT((EOMONTH(N$5,0)-'Kế hoạch định kỳ'!$W34)/'Kế hoạch định kỳ'!$X34)+1)-(N$5-1&gt;='Kế hoạch định kỳ'!$W34)*(INT((N$5-1-'Kế hoạch định kỳ'!$W34)/'Kế hoạch định kỳ'!$X34)+1))&gt;0,IF(EOMONTH(N$5,0)&lt;'Tổng quan'!$B$11,"✖","○"),"")))</f>
        <v/>
      </c>
      <c r="O34" s="24" t="str">
        <f>IF($A34="","",IF(COUNTIFS('Nhật ký bảo trì'!$D$6:$D$405,$A34,'Nhật ký bảo trì'!$Q$6:$Q$405,"Hoàn thành",'Nhật ký bảo trì'!$B$6:$B$405,"&gt;="&amp;O$5,'Nhật ký bảo trì'!$B$6:$B$405,"&lt;="&amp;EOMONTH(O$5,0))&gt;0,"✔",IF(((EOMONTH(O$5,0)&gt;='Kế hoạch định kỳ'!$W34)*(INT((EOMONTH(O$5,0)-'Kế hoạch định kỳ'!$W34)/'Kế hoạch định kỳ'!$X34)+1)-(O$5-1&gt;='Kế hoạch định kỳ'!$W34)*(INT((O$5-1-'Kế hoạch định kỳ'!$W34)/'Kế hoạch định kỳ'!$X34)+1))&gt;0,IF(EOMONTH(O$5,0)&lt;'Tổng quan'!$B$11,"✖","○"),"")))</f>
        <v/>
      </c>
      <c r="P34" s="24" t="str">
        <f>IF($A34="","",IF(COUNTIFS('Nhật ký bảo trì'!$D$6:$D$405,$A34,'Nhật ký bảo trì'!$Q$6:$Q$405,"Hoàn thành",'Nhật ký bảo trì'!$B$6:$B$405,"&gt;="&amp;P$5,'Nhật ký bảo trì'!$B$6:$B$405,"&lt;="&amp;EOMONTH(P$5,0))&gt;0,"✔",IF(((EOMONTH(P$5,0)&gt;='Kế hoạch định kỳ'!$W34)*(INT((EOMONTH(P$5,0)-'Kế hoạch định kỳ'!$W34)/'Kế hoạch định kỳ'!$X34)+1)-(P$5-1&gt;='Kế hoạch định kỳ'!$W34)*(INT((P$5-1-'Kế hoạch định kỳ'!$W34)/'Kế hoạch định kỳ'!$X34)+1))&gt;0,IF(EOMONTH(P$5,0)&lt;'Tổng quan'!$B$11,"✖","○"),"")))</f>
        <v/>
      </c>
      <c r="Q34" s="16" t="str">
        <f>IF($A34="","",COUNTIFS('Nhật ký bảo trì'!$D$6:$D$405,$A34,'Nhật ký bảo trì'!$Q$6:$Q$405,"Hoàn thành",'Nhật ký bảo trì'!$B$6:$B$405,"&gt;="&amp;DATE('Tổng quan'!$B$6,1,1),'Nhật ký bảo trì'!$B$6:$B$405,"&lt;="&amp;DATE('Tổng quan'!$B$6,12,31)))</f>
        <v/>
      </c>
      <c r="R34" s="16" t="str">
        <f t="shared" si="1"/>
        <v/>
      </c>
    </row>
    <row r="35" ht="24.0" customHeight="1">
      <c r="A35" s="26" t="str">
        <f>IF('Kế hoạch định kỳ'!$B35="","",'Kế hoạch định kỳ'!$B35)</f>
        <v/>
      </c>
      <c r="B35" s="28" t="str">
        <f>IF('Kế hoạch định kỳ'!$B35="","",'Kế hoạch định kỳ'!$D35)</f>
        <v/>
      </c>
      <c r="C35" s="56" t="str">
        <f>IF('Kế hoạch định kỳ'!$B35="","",'Kế hoạch định kỳ'!$F35)</f>
        <v/>
      </c>
      <c r="D35" s="26" t="str">
        <f>IF('Kế hoạch định kỳ'!$B35="","",IF('Kế hoạch định kỳ'!$I35&lt;&gt;"",'Kế hoạch định kỳ'!$I35&amp;" ngày",'Kế hoạch định kỳ'!$H35))</f>
        <v/>
      </c>
      <c r="E35" s="61" t="str">
        <f>IF($A35="","",IF(COUNTIFS('Nhật ký bảo trì'!$D$6:$D$405,$A35,'Nhật ký bảo trì'!$Q$6:$Q$405,"Hoàn thành",'Nhật ký bảo trì'!$B$6:$B$405,"&gt;="&amp;E$5,'Nhật ký bảo trì'!$B$6:$B$405,"&lt;="&amp;EOMONTH(E$5,0))&gt;0,"✔",IF(((EOMONTH(E$5,0)&gt;='Kế hoạch định kỳ'!$W35)*(INT((EOMONTH(E$5,0)-'Kế hoạch định kỳ'!$W35)/'Kế hoạch định kỳ'!$X35)+1)-(E$5-1&gt;='Kế hoạch định kỳ'!$W35)*(INT((E$5-1-'Kế hoạch định kỳ'!$W35)/'Kế hoạch định kỳ'!$X35)+1))&gt;0,IF(EOMONTH(E$5,0)&lt;'Tổng quan'!$B$11,"✖","○"),"")))</f>
        <v/>
      </c>
      <c r="F35" s="61" t="str">
        <f>IF($A35="","",IF(COUNTIFS('Nhật ký bảo trì'!$D$6:$D$405,$A35,'Nhật ký bảo trì'!$Q$6:$Q$405,"Hoàn thành",'Nhật ký bảo trì'!$B$6:$B$405,"&gt;="&amp;F$5,'Nhật ký bảo trì'!$B$6:$B$405,"&lt;="&amp;EOMONTH(F$5,0))&gt;0,"✔",IF(((EOMONTH(F$5,0)&gt;='Kế hoạch định kỳ'!$W35)*(INT((EOMONTH(F$5,0)-'Kế hoạch định kỳ'!$W35)/'Kế hoạch định kỳ'!$X35)+1)-(F$5-1&gt;='Kế hoạch định kỳ'!$W35)*(INT((F$5-1-'Kế hoạch định kỳ'!$W35)/'Kế hoạch định kỳ'!$X35)+1))&gt;0,IF(EOMONTH(F$5,0)&lt;'Tổng quan'!$B$11,"✖","○"),"")))</f>
        <v/>
      </c>
      <c r="G35" s="61" t="str">
        <f>IF($A35="","",IF(COUNTIFS('Nhật ký bảo trì'!$D$6:$D$405,$A35,'Nhật ký bảo trì'!$Q$6:$Q$405,"Hoàn thành",'Nhật ký bảo trì'!$B$6:$B$405,"&gt;="&amp;G$5,'Nhật ký bảo trì'!$B$6:$B$405,"&lt;="&amp;EOMONTH(G$5,0))&gt;0,"✔",IF(((EOMONTH(G$5,0)&gt;='Kế hoạch định kỳ'!$W35)*(INT((EOMONTH(G$5,0)-'Kế hoạch định kỳ'!$W35)/'Kế hoạch định kỳ'!$X35)+1)-(G$5-1&gt;='Kế hoạch định kỳ'!$W35)*(INT((G$5-1-'Kế hoạch định kỳ'!$W35)/'Kế hoạch định kỳ'!$X35)+1))&gt;0,IF(EOMONTH(G$5,0)&lt;'Tổng quan'!$B$11,"✖","○"),"")))</f>
        <v/>
      </c>
      <c r="H35" s="61" t="str">
        <f>IF($A35="","",IF(COUNTIFS('Nhật ký bảo trì'!$D$6:$D$405,$A35,'Nhật ký bảo trì'!$Q$6:$Q$405,"Hoàn thành",'Nhật ký bảo trì'!$B$6:$B$405,"&gt;="&amp;H$5,'Nhật ký bảo trì'!$B$6:$B$405,"&lt;="&amp;EOMONTH(H$5,0))&gt;0,"✔",IF(((EOMONTH(H$5,0)&gt;='Kế hoạch định kỳ'!$W35)*(INT((EOMONTH(H$5,0)-'Kế hoạch định kỳ'!$W35)/'Kế hoạch định kỳ'!$X35)+1)-(H$5-1&gt;='Kế hoạch định kỳ'!$W35)*(INT((H$5-1-'Kế hoạch định kỳ'!$W35)/'Kế hoạch định kỳ'!$X35)+1))&gt;0,IF(EOMONTH(H$5,0)&lt;'Tổng quan'!$B$11,"✖","○"),"")))</f>
        <v/>
      </c>
      <c r="I35" s="61" t="str">
        <f>IF($A35="","",IF(COUNTIFS('Nhật ký bảo trì'!$D$6:$D$405,$A35,'Nhật ký bảo trì'!$Q$6:$Q$405,"Hoàn thành",'Nhật ký bảo trì'!$B$6:$B$405,"&gt;="&amp;I$5,'Nhật ký bảo trì'!$B$6:$B$405,"&lt;="&amp;EOMONTH(I$5,0))&gt;0,"✔",IF(((EOMONTH(I$5,0)&gt;='Kế hoạch định kỳ'!$W35)*(INT((EOMONTH(I$5,0)-'Kế hoạch định kỳ'!$W35)/'Kế hoạch định kỳ'!$X35)+1)-(I$5-1&gt;='Kế hoạch định kỳ'!$W35)*(INT((I$5-1-'Kế hoạch định kỳ'!$W35)/'Kế hoạch định kỳ'!$X35)+1))&gt;0,IF(EOMONTH(I$5,0)&lt;'Tổng quan'!$B$11,"✖","○"),"")))</f>
        <v/>
      </c>
      <c r="J35" s="61" t="str">
        <f>IF($A35="","",IF(COUNTIFS('Nhật ký bảo trì'!$D$6:$D$405,$A35,'Nhật ký bảo trì'!$Q$6:$Q$405,"Hoàn thành",'Nhật ký bảo trì'!$B$6:$B$405,"&gt;="&amp;J$5,'Nhật ký bảo trì'!$B$6:$B$405,"&lt;="&amp;EOMONTH(J$5,0))&gt;0,"✔",IF(((EOMONTH(J$5,0)&gt;='Kế hoạch định kỳ'!$W35)*(INT((EOMONTH(J$5,0)-'Kế hoạch định kỳ'!$W35)/'Kế hoạch định kỳ'!$X35)+1)-(J$5-1&gt;='Kế hoạch định kỳ'!$W35)*(INT((J$5-1-'Kế hoạch định kỳ'!$W35)/'Kế hoạch định kỳ'!$X35)+1))&gt;0,IF(EOMONTH(J$5,0)&lt;'Tổng quan'!$B$11,"✖","○"),"")))</f>
        <v/>
      </c>
      <c r="K35" s="61" t="str">
        <f>IF($A35="","",IF(COUNTIFS('Nhật ký bảo trì'!$D$6:$D$405,$A35,'Nhật ký bảo trì'!$Q$6:$Q$405,"Hoàn thành",'Nhật ký bảo trì'!$B$6:$B$405,"&gt;="&amp;K$5,'Nhật ký bảo trì'!$B$6:$B$405,"&lt;="&amp;EOMONTH(K$5,0))&gt;0,"✔",IF(((EOMONTH(K$5,0)&gt;='Kế hoạch định kỳ'!$W35)*(INT((EOMONTH(K$5,0)-'Kế hoạch định kỳ'!$W35)/'Kế hoạch định kỳ'!$X35)+1)-(K$5-1&gt;='Kế hoạch định kỳ'!$W35)*(INT((K$5-1-'Kế hoạch định kỳ'!$W35)/'Kế hoạch định kỳ'!$X35)+1))&gt;0,IF(EOMONTH(K$5,0)&lt;'Tổng quan'!$B$11,"✖","○"),"")))</f>
        <v/>
      </c>
      <c r="L35" s="61" t="str">
        <f>IF($A35="","",IF(COUNTIFS('Nhật ký bảo trì'!$D$6:$D$405,$A35,'Nhật ký bảo trì'!$Q$6:$Q$405,"Hoàn thành",'Nhật ký bảo trì'!$B$6:$B$405,"&gt;="&amp;L$5,'Nhật ký bảo trì'!$B$6:$B$405,"&lt;="&amp;EOMONTH(L$5,0))&gt;0,"✔",IF(((EOMONTH(L$5,0)&gt;='Kế hoạch định kỳ'!$W35)*(INT((EOMONTH(L$5,0)-'Kế hoạch định kỳ'!$W35)/'Kế hoạch định kỳ'!$X35)+1)-(L$5-1&gt;='Kế hoạch định kỳ'!$W35)*(INT((L$5-1-'Kế hoạch định kỳ'!$W35)/'Kế hoạch định kỳ'!$X35)+1))&gt;0,IF(EOMONTH(L$5,0)&lt;'Tổng quan'!$B$11,"✖","○"),"")))</f>
        <v/>
      </c>
      <c r="M35" s="61" t="str">
        <f>IF($A35="","",IF(COUNTIFS('Nhật ký bảo trì'!$D$6:$D$405,$A35,'Nhật ký bảo trì'!$Q$6:$Q$405,"Hoàn thành",'Nhật ký bảo trì'!$B$6:$B$405,"&gt;="&amp;M$5,'Nhật ký bảo trì'!$B$6:$B$405,"&lt;="&amp;EOMONTH(M$5,0))&gt;0,"✔",IF(((EOMONTH(M$5,0)&gt;='Kế hoạch định kỳ'!$W35)*(INT((EOMONTH(M$5,0)-'Kế hoạch định kỳ'!$W35)/'Kế hoạch định kỳ'!$X35)+1)-(M$5-1&gt;='Kế hoạch định kỳ'!$W35)*(INT((M$5-1-'Kế hoạch định kỳ'!$W35)/'Kế hoạch định kỳ'!$X35)+1))&gt;0,IF(EOMONTH(M$5,0)&lt;'Tổng quan'!$B$11,"✖","○"),"")))</f>
        <v/>
      </c>
      <c r="N35" s="61" t="str">
        <f>IF($A35="","",IF(COUNTIFS('Nhật ký bảo trì'!$D$6:$D$405,$A35,'Nhật ký bảo trì'!$Q$6:$Q$405,"Hoàn thành",'Nhật ký bảo trì'!$B$6:$B$405,"&gt;="&amp;N$5,'Nhật ký bảo trì'!$B$6:$B$405,"&lt;="&amp;EOMONTH(N$5,0))&gt;0,"✔",IF(((EOMONTH(N$5,0)&gt;='Kế hoạch định kỳ'!$W35)*(INT((EOMONTH(N$5,0)-'Kế hoạch định kỳ'!$W35)/'Kế hoạch định kỳ'!$X35)+1)-(N$5-1&gt;='Kế hoạch định kỳ'!$W35)*(INT((N$5-1-'Kế hoạch định kỳ'!$W35)/'Kế hoạch định kỳ'!$X35)+1))&gt;0,IF(EOMONTH(N$5,0)&lt;'Tổng quan'!$B$11,"✖","○"),"")))</f>
        <v/>
      </c>
      <c r="O35" s="61" t="str">
        <f>IF($A35="","",IF(COUNTIFS('Nhật ký bảo trì'!$D$6:$D$405,$A35,'Nhật ký bảo trì'!$Q$6:$Q$405,"Hoàn thành",'Nhật ký bảo trì'!$B$6:$B$405,"&gt;="&amp;O$5,'Nhật ký bảo trì'!$B$6:$B$405,"&lt;="&amp;EOMONTH(O$5,0))&gt;0,"✔",IF(((EOMONTH(O$5,0)&gt;='Kế hoạch định kỳ'!$W35)*(INT((EOMONTH(O$5,0)-'Kế hoạch định kỳ'!$W35)/'Kế hoạch định kỳ'!$X35)+1)-(O$5-1&gt;='Kế hoạch định kỳ'!$W35)*(INT((O$5-1-'Kế hoạch định kỳ'!$W35)/'Kế hoạch định kỳ'!$X35)+1))&gt;0,IF(EOMONTH(O$5,0)&lt;'Tổng quan'!$B$11,"✖","○"),"")))</f>
        <v/>
      </c>
      <c r="P35" s="61" t="str">
        <f>IF($A35="","",IF(COUNTIFS('Nhật ký bảo trì'!$D$6:$D$405,$A35,'Nhật ký bảo trì'!$Q$6:$Q$405,"Hoàn thành",'Nhật ký bảo trì'!$B$6:$B$405,"&gt;="&amp;P$5,'Nhật ký bảo trì'!$B$6:$B$405,"&lt;="&amp;EOMONTH(P$5,0))&gt;0,"✔",IF(((EOMONTH(P$5,0)&gt;='Kế hoạch định kỳ'!$W35)*(INT((EOMONTH(P$5,0)-'Kế hoạch định kỳ'!$W35)/'Kế hoạch định kỳ'!$X35)+1)-(P$5-1&gt;='Kế hoạch định kỳ'!$W35)*(INT((P$5-1-'Kế hoạch định kỳ'!$W35)/'Kế hoạch định kỳ'!$X35)+1))&gt;0,IF(EOMONTH(P$5,0)&lt;'Tổng quan'!$B$11,"✖","○"),"")))</f>
        <v/>
      </c>
      <c r="Q35" s="30" t="str">
        <f>IF($A35="","",COUNTIFS('Nhật ký bảo trì'!$D$6:$D$405,$A35,'Nhật ký bảo trì'!$Q$6:$Q$405,"Hoàn thành",'Nhật ký bảo trì'!$B$6:$B$405,"&gt;="&amp;DATE('Tổng quan'!$B$6,1,1),'Nhật ký bảo trì'!$B$6:$B$405,"&lt;="&amp;DATE('Tổng quan'!$B$6,12,31)))</f>
        <v/>
      </c>
      <c r="R35" s="30" t="str">
        <f t="shared" si="1"/>
        <v/>
      </c>
    </row>
    <row r="36" ht="24.0" customHeight="1">
      <c r="A36" s="10" t="str">
        <f>IF('Kế hoạch định kỳ'!$B36="","",'Kế hoạch định kỳ'!$B36)</f>
        <v/>
      </c>
      <c r="B36" s="14" t="str">
        <f>IF('Kế hoạch định kỳ'!$B36="","",'Kế hoạch định kỳ'!$D36)</f>
        <v/>
      </c>
      <c r="C36" s="18" t="str">
        <f>IF('Kế hoạch định kỳ'!$B36="","",'Kế hoạch định kỳ'!$F36)</f>
        <v/>
      </c>
      <c r="D36" s="10" t="str">
        <f>IF('Kế hoạch định kỳ'!$B36="","",IF('Kế hoạch định kỳ'!$I36&lt;&gt;"",'Kế hoạch định kỳ'!$I36&amp;" ngày",'Kế hoạch định kỳ'!$H36))</f>
        <v/>
      </c>
      <c r="E36" s="24" t="str">
        <f>IF($A36="","",IF(COUNTIFS('Nhật ký bảo trì'!$D$6:$D$405,$A36,'Nhật ký bảo trì'!$Q$6:$Q$405,"Hoàn thành",'Nhật ký bảo trì'!$B$6:$B$405,"&gt;="&amp;E$5,'Nhật ký bảo trì'!$B$6:$B$405,"&lt;="&amp;EOMONTH(E$5,0))&gt;0,"✔",IF(((EOMONTH(E$5,0)&gt;='Kế hoạch định kỳ'!$W36)*(INT((EOMONTH(E$5,0)-'Kế hoạch định kỳ'!$W36)/'Kế hoạch định kỳ'!$X36)+1)-(E$5-1&gt;='Kế hoạch định kỳ'!$W36)*(INT((E$5-1-'Kế hoạch định kỳ'!$W36)/'Kế hoạch định kỳ'!$X36)+1))&gt;0,IF(EOMONTH(E$5,0)&lt;'Tổng quan'!$B$11,"✖","○"),"")))</f>
        <v/>
      </c>
      <c r="F36" s="24" t="str">
        <f>IF($A36="","",IF(COUNTIFS('Nhật ký bảo trì'!$D$6:$D$405,$A36,'Nhật ký bảo trì'!$Q$6:$Q$405,"Hoàn thành",'Nhật ký bảo trì'!$B$6:$B$405,"&gt;="&amp;F$5,'Nhật ký bảo trì'!$B$6:$B$405,"&lt;="&amp;EOMONTH(F$5,0))&gt;0,"✔",IF(((EOMONTH(F$5,0)&gt;='Kế hoạch định kỳ'!$W36)*(INT((EOMONTH(F$5,0)-'Kế hoạch định kỳ'!$W36)/'Kế hoạch định kỳ'!$X36)+1)-(F$5-1&gt;='Kế hoạch định kỳ'!$W36)*(INT((F$5-1-'Kế hoạch định kỳ'!$W36)/'Kế hoạch định kỳ'!$X36)+1))&gt;0,IF(EOMONTH(F$5,0)&lt;'Tổng quan'!$B$11,"✖","○"),"")))</f>
        <v/>
      </c>
      <c r="G36" s="24" t="str">
        <f>IF($A36="","",IF(COUNTIFS('Nhật ký bảo trì'!$D$6:$D$405,$A36,'Nhật ký bảo trì'!$Q$6:$Q$405,"Hoàn thành",'Nhật ký bảo trì'!$B$6:$B$405,"&gt;="&amp;G$5,'Nhật ký bảo trì'!$B$6:$B$405,"&lt;="&amp;EOMONTH(G$5,0))&gt;0,"✔",IF(((EOMONTH(G$5,0)&gt;='Kế hoạch định kỳ'!$W36)*(INT((EOMONTH(G$5,0)-'Kế hoạch định kỳ'!$W36)/'Kế hoạch định kỳ'!$X36)+1)-(G$5-1&gt;='Kế hoạch định kỳ'!$W36)*(INT((G$5-1-'Kế hoạch định kỳ'!$W36)/'Kế hoạch định kỳ'!$X36)+1))&gt;0,IF(EOMONTH(G$5,0)&lt;'Tổng quan'!$B$11,"✖","○"),"")))</f>
        <v/>
      </c>
      <c r="H36" s="24" t="str">
        <f>IF($A36="","",IF(COUNTIFS('Nhật ký bảo trì'!$D$6:$D$405,$A36,'Nhật ký bảo trì'!$Q$6:$Q$405,"Hoàn thành",'Nhật ký bảo trì'!$B$6:$B$405,"&gt;="&amp;H$5,'Nhật ký bảo trì'!$B$6:$B$405,"&lt;="&amp;EOMONTH(H$5,0))&gt;0,"✔",IF(((EOMONTH(H$5,0)&gt;='Kế hoạch định kỳ'!$W36)*(INT((EOMONTH(H$5,0)-'Kế hoạch định kỳ'!$W36)/'Kế hoạch định kỳ'!$X36)+1)-(H$5-1&gt;='Kế hoạch định kỳ'!$W36)*(INT((H$5-1-'Kế hoạch định kỳ'!$W36)/'Kế hoạch định kỳ'!$X36)+1))&gt;0,IF(EOMONTH(H$5,0)&lt;'Tổng quan'!$B$11,"✖","○"),"")))</f>
        <v/>
      </c>
      <c r="I36" s="24" t="str">
        <f>IF($A36="","",IF(COUNTIFS('Nhật ký bảo trì'!$D$6:$D$405,$A36,'Nhật ký bảo trì'!$Q$6:$Q$405,"Hoàn thành",'Nhật ký bảo trì'!$B$6:$B$405,"&gt;="&amp;I$5,'Nhật ký bảo trì'!$B$6:$B$405,"&lt;="&amp;EOMONTH(I$5,0))&gt;0,"✔",IF(((EOMONTH(I$5,0)&gt;='Kế hoạch định kỳ'!$W36)*(INT((EOMONTH(I$5,0)-'Kế hoạch định kỳ'!$W36)/'Kế hoạch định kỳ'!$X36)+1)-(I$5-1&gt;='Kế hoạch định kỳ'!$W36)*(INT((I$5-1-'Kế hoạch định kỳ'!$W36)/'Kế hoạch định kỳ'!$X36)+1))&gt;0,IF(EOMONTH(I$5,0)&lt;'Tổng quan'!$B$11,"✖","○"),"")))</f>
        <v/>
      </c>
      <c r="J36" s="24" t="str">
        <f>IF($A36="","",IF(COUNTIFS('Nhật ký bảo trì'!$D$6:$D$405,$A36,'Nhật ký bảo trì'!$Q$6:$Q$405,"Hoàn thành",'Nhật ký bảo trì'!$B$6:$B$405,"&gt;="&amp;J$5,'Nhật ký bảo trì'!$B$6:$B$405,"&lt;="&amp;EOMONTH(J$5,0))&gt;0,"✔",IF(((EOMONTH(J$5,0)&gt;='Kế hoạch định kỳ'!$W36)*(INT((EOMONTH(J$5,0)-'Kế hoạch định kỳ'!$W36)/'Kế hoạch định kỳ'!$X36)+1)-(J$5-1&gt;='Kế hoạch định kỳ'!$W36)*(INT((J$5-1-'Kế hoạch định kỳ'!$W36)/'Kế hoạch định kỳ'!$X36)+1))&gt;0,IF(EOMONTH(J$5,0)&lt;'Tổng quan'!$B$11,"✖","○"),"")))</f>
        <v/>
      </c>
      <c r="K36" s="24" t="str">
        <f>IF($A36="","",IF(COUNTIFS('Nhật ký bảo trì'!$D$6:$D$405,$A36,'Nhật ký bảo trì'!$Q$6:$Q$405,"Hoàn thành",'Nhật ký bảo trì'!$B$6:$B$405,"&gt;="&amp;K$5,'Nhật ký bảo trì'!$B$6:$B$405,"&lt;="&amp;EOMONTH(K$5,0))&gt;0,"✔",IF(((EOMONTH(K$5,0)&gt;='Kế hoạch định kỳ'!$W36)*(INT((EOMONTH(K$5,0)-'Kế hoạch định kỳ'!$W36)/'Kế hoạch định kỳ'!$X36)+1)-(K$5-1&gt;='Kế hoạch định kỳ'!$W36)*(INT((K$5-1-'Kế hoạch định kỳ'!$W36)/'Kế hoạch định kỳ'!$X36)+1))&gt;0,IF(EOMONTH(K$5,0)&lt;'Tổng quan'!$B$11,"✖","○"),"")))</f>
        <v/>
      </c>
      <c r="L36" s="24" t="str">
        <f>IF($A36="","",IF(COUNTIFS('Nhật ký bảo trì'!$D$6:$D$405,$A36,'Nhật ký bảo trì'!$Q$6:$Q$405,"Hoàn thành",'Nhật ký bảo trì'!$B$6:$B$405,"&gt;="&amp;L$5,'Nhật ký bảo trì'!$B$6:$B$405,"&lt;="&amp;EOMONTH(L$5,0))&gt;0,"✔",IF(((EOMONTH(L$5,0)&gt;='Kế hoạch định kỳ'!$W36)*(INT((EOMONTH(L$5,0)-'Kế hoạch định kỳ'!$W36)/'Kế hoạch định kỳ'!$X36)+1)-(L$5-1&gt;='Kế hoạch định kỳ'!$W36)*(INT((L$5-1-'Kế hoạch định kỳ'!$W36)/'Kế hoạch định kỳ'!$X36)+1))&gt;0,IF(EOMONTH(L$5,0)&lt;'Tổng quan'!$B$11,"✖","○"),"")))</f>
        <v/>
      </c>
      <c r="M36" s="24" t="str">
        <f>IF($A36="","",IF(COUNTIFS('Nhật ký bảo trì'!$D$6:$D$405,$A36,'Nhật ký bảo trì'!$Q$6:$Q$405,"Hoàn thành",'Nhật ký bảo trì'!$B$6:$B$405,"&gt;="&amp;M$5,'Nhật ký bảo trì'!$B$6:$B$405,"&lt;="&amp;EOMONTH(M$5,0))&gt;0,"✔",IF(((EOMONTH(M$5,0)&gt;='Kế hoạch định kỳ'!$W36)*(INT((EOMONTH(M$5,0)-'Kế hoạch định kỳ'!$W36)/'Kế hoạch định kỳ'!$X36)+1)-(M$5-1&gt;='Kế hoạch định kỳ'!$W36)*(INT((M$5-1-'Kế hoạch định kỳ'!$W36)/'Kế hoạch định kỳ'!$X36)+1))&gt;0,IF(EOMONTH(M$5,0)&lt;'Tổng quan'!$B$11,"✖","○"),"")))</f>
        <v/>
      </c>
      <c r="N36" s="24" t="str">
        <f>IF($A36="","",IF(COUNTIFS('Nhật ký bảo trì'!$D$6:$D$405,$A36,'Nhật ký bảo trì'!$Q$6:$Q$405,"Hoàn thành",'Nhật ký bảo trì'!$B$6:$B$405,"&gt;="&amp;N$5,'Nhật ký bảo trì'!$B$6:$B$405,"&lt;="&amp;EOMONTH(N$5,0))&gt;0,"✔",IF(((EOMONTH(N$5,0)&gt;='Kế hoạch định kỳ'!$W36)*(INT((EOMONTH(N$5,0)-'Kế hoạch định kỳ'!$W36)/'Kế hoạch định kỳ'!$X36)+1)-(N$5-1&gt;='Kế hoạch định kỳ'!$W36)*(INT((N$5-1-'Kế hoạch định kỳ'!$W36)/'Kế hoạch định kỳ'!$X36)+1))&gt;0,IF(EOMONTH(N$5,0)&lt;'Tổng quan'!$B$11,"✖","○"),"")))</f>
        <v/>
      </c>
      <c r="O36" s="24" t="str">
        <f>IF($A36="","",IF(COUNTIFS('Nhật ký bảo trì'!$D$6:$D$405,$A36,'Nhật ký bảo trì'!$Q$6:$Q$405,"Hoàn thành",'Nhật ký bảo trì'!$B$6:$B$405,"&gt;="&amp;O$5,'Nhật ký bảo trì'!$B$6:$B$405,"&lt;="&amp;EOMONTH(O$5,0))&gt;0,"✔",IF(((EOMONTH(O$5,0)&gt;='Kế hoạch định kỳ'!$W36)*(INT((EOMONTH(O$5,0)-'Kế hoạch định kỳ'!$W36)/'Kế hoạch định kỳ'!$X36)+1)-(O$5-1&gt;='Kế hoạch định kỳ'!$W36)*(INT((O$5-1-'Kế hoạch định kỳ'!$W36)/'Kế hoạch định kỳ'!$X36)+1))&gt;0,IF(EOMONTH(O$5,0)&lt;'Tổng quan'!$B$11,"✖","○"),"")))</f>
        <v/>
      </c>
      <c r="P36" s="24" t="str">
        <f>IF($A36="","",IF(COUNTIFS('Nhật ký bảo trì'!$D$6:$D$405,$A36,'Nhật ký bảo trì'!$Q$6:$Q$405,"Hoàn thành",'Nhật ký bảo trì'!$B$6:$B$405,"&gt;="&amp;P$5,'Nhật ký bảo trì'!$B$6:$B$405,"&lt;="&amp;EOMONTH(P$5,0))&gt;0,"✔",IF(((EOMONTH(P$5,0)&gt;='Kế hoạch định kỳ'!$W36)*(INT((EOMONTH(P$5,0)-'Kế hoạch định kỳ'!$W36)/'Kế hoạch định kỳ'!$X36)+1)-(P$5-1&gt;='Kế hoạch định kỳ'!$W36)*(INT((P$5-1-'Kế hoạch định kỳ'!$W36)/'Kế hoạch định kỳ'!$X36)+1))&gt;0,IF(EOMONTH(P$5,0)&lt;'Tổng quan'!$B$11,"✖","○"),"")))</f>
        <v/>
      </c>
      <c r="Q36" s="16" t="str">
        <f>IF($A36="","",COUNTIFS('Nhật ký bảo trì'!$D$6:$D$405,$A36,'Nhật ký bảo trì'!$Q$6:$Q$405,"Hoàn thành",'Nhật ký bảo trì'!$B$6:$B$405,"&gt;="&amp;DATE('Tổng quan'!$B$6,1,1),'Nhật ký bảo trì'!$B$6:$B$405,"&lt;="&amp;DATE('Tổng quan'!$B$6,12,31)))</f>
        <v/>
      </c>
      <c r="R36" s="16" t="str">
        <f t="shared" si="1"/>
        <v/>
      </c>
    </row>
    <row r="37" ht="24.0" customHeight="1">
      <c r="A37" s="26" t="str">
        <f>IF('Kế hoạch định kỳ'!$B37="","",'Kế hoạch định kỳ'!$B37)</f>
        <v/>
      </c>
      <c r="B37" s="28" t="str">
        <f>IF('Kế hoạch định kỳ'!$B37="","",'Kế hoạch định kỳ'!$D37)</f>
        <v/>
      </c>
      <c r="C37" s="56" t="str">
        <f>IF('Kế hoạch định kỳ'!$B37="","",'Kế hoạch định kỳ'!$F37)</f>
        <v/>
      </c>
      <c r="D37" s="26" t="str">
        <f>IF('Kế hoạch định kỳ'!$B37="","",IF('Kế hoạch định kỳ'!$I37&lt;&gt;"",'Kế hoạch định kỳ'!$I37&amp;" ngày",'Kế hoạch định kỳ'!$H37))</f>
        <v/>
      </c>
      <c r="E37" s="61" t="str">
        <f>IF($A37="","",IF(COUNTIFS('Nhật ký bảo trì'!$D$6:$D$405,$A37,'Nhật ký bảo trì'!$Q$6:$Q$405,"Hoàn thành",'Nhật ký bảo trì'!$B$6:$B$405,"&gt;="&amp;E$5,'Nhật ký bảo trì'!$B$6:$B$405,"&lt;="&amp;EOMONTH(E$5,0))&gt;0,"✔",IF(((EOMONTH(E$5,0)&gt;='Kế hoạch định kỳ'!$W37)*(INT((EOMONTH(E$5,0)-'Kế hoạch định kỳ'!$W37)/'Kế hoạch định kỳ'!$X37)+1)-(E$5-1&gt;='Kế hoạch định kỳ'!$W37)*(INT((E$5-1-'Kế hoạch định kỳ'!$W37)/'Kế hoạch định kỳ'!$X37)+1))&gt;0,IF(EOMONTH(E$5,0)&lt;'Tổng quan'!$B$11,"✖","○"),"")))</f>
        <v/>
      </c>
      <c r="F37" s="61" t="str">
        <f>IF($A37="","",IF(COUNTIFS('Nhật ký bảo trì'!$D$6:$D$405,$A37,'Nhật ký bảo trì'!$Q$6:$Q$405,"Hoàn thành",'Nhật ký bảo trì'!$B$6:$B$405,"&gt;="&amp;F$5,'Nhật ký bảo trì'!$B$6:$B$405,"&lt;="&amp;EOMONTH(F$5,0))&gt;0,"✔",IF(((EOMONTH(F$5,0)&gt;='Kế hoạch định kỳ'!$W37)*(INT((EOMONTH(F$5,0)-'Kế hoạch định kỳ'!$W37)/'Kế hoạch định kỳ'!$X37)+1)-(F$5-1&gt;='Kế hoạch định kỳ'!$W37)*(INT((F$5-1-'Kế hoạch định kỳ'!$W37)/'Kế hoạch định kỳ'!$X37)+1))&gt;0,IF(EOMONTH(F$5,0)&lt;'Tổng quan'!$B$11,"✖","○"),"")))</f>
        <v/>
      </c>
      <c r="G37" s="61" t="str">
        <f>IF($A37="","",IF(COUNTIFS('Nhật ký bảo trì'!$D$6:$D$405,$A37,'Nhật ký bảo trì'!$Q$6:$Q$405,"Hoàn thành",'Nhật ký bảo trì'!$B$6:$B$405,"&gt;="&amp;G$5,'Nhật ký bảo trì'!$B$6:$B$405,"&lt;="&amp;EOMONTH(G$5,0))&gt;0,"✔",IF(((EOMONTH(G$5,0)&gt;='Kế hoạch định kỳ'!$W37)*(INT((EOMONTH(G$5,0)-'Kế hoạch định kỳ'!$W37)/'Kế hoạch định kỳ'!$X37)+1)-(G$5-1&gt;='Kế hoạch định kỳ'!$W37)*(INT((G$5-1-'Kế hoạch định kỳ'!$W37)/'Kế hoạch định kỳ'!$X37)+1))&gt;0,IF(EOMONTH(G$5,0)&lt;'Tổng quan'!$B$11,"✖","○"),"")))</f>
        <v/>
      </c>
      <c r="H37" s="61" t="str">
        <f>IF($A37="","",IF(COUNTIFS('Nhật ký bảo trì'!$D$6:$D$405,$A37,'Nhật ký bảo trì'!$Q$6:$Q$405,"Hoàn thành",'Nhật ký bảo trì'!$B$6:$B$405,"&gt;="&amp;H$5,'Nhật ký bảo trì'!$B$6:$B$405,"&lt;="&amp;EOMONTH(H$5,0))&gt;0,"✔",IF(((EOMONTH(H$5,0)&gt;='Kế hoạch định kỳ'!$W37)*(INT((EOMONTH(H$5,0)-'Kế hoạch định kỳ'!$W37)/'Kế hoạch định kỳ'!$X37)+1)-(H$5-1&gt;='Kế hoạch định kỳ'!$W37)*(INT((H$5-1-'Kế hoạch định kỳ'!$W37)/'Kế hoạch định kỳ'!$X37)+1))&gt;0,IF(EOMONTH(H$5,0)&lt;'Tổng quan'!$B$11,"✖","○"),"")))</f>
        <v/>
      </c>
      <c r="I37" s="61" t="str">
        <f>IF($A37="","",IF(COUNTIFS('Nhật ký bảo trì'!$D$6:$D$405,$A37,'Nhật ký bảo trì'!$Q$6:$Q$405,"Hoàn thành",'Nhật ký bảo trì'!$B$6:$B$405,"&gt;="&amp;I$5,'Nhật ký bảo trì'!$B$6:$B$405,"&lt;="&amp;EOMONTH(I$5,0))&gt;0,"✔",IF(((EOMONTH(I$5,0)&gt;='Kế hoạch định kỳ'!$W37)*(INT((EOMONTH(I$5,0)-'Kế hoạch định kỳ'!$W37)/'Kế hoạch định kỳ'!$X37)+1)-(I$5-1&gt;='Kế hoạch định kỳ'!$W37)*(INT((I$5-1-'Kế hoạch định kỳ'!$W37)/'Kế hoạch định kỳ'!$X37)+1))&gt;0,IF(EOMONTH(I$5,0)&lt;'Tổng quan'!$B$11,"✖","○"),"")))</f>
        <v/>
      </c>
      <c r="J37" s="61" t="str">
        <f>IF($A37="","",IF(COUNTIFS('Nhật ký bảo trì'!$D$6:$D$405,$A37,'Nhật ký bảo trì'!$Q$6:$Q$405,"Hoàn thành",'Nhật ký bảo trì'!$B$6:$B$405,"&gt;="&amp;J$5,'Nhật ký bảo trì'!$B$6:$B$405,"&lt;="&amp;EOMONTH(J$5,0))&gt;0,"✔",IF(((EOMONTH(J$5,0)&gt;='Kế hoạch định kỳ'!$W37)*(INT((EOMONTH(J$5,0)-'Kế hoạch định kỳ'!$W37)/'Kế hoạch định kỳ'!$X37)+1)-(J$5-1&gt;='Kế hoạch định kỳ'!$W37)*(INT((J$5-1-'Kế hoạch định kỳ'!$W37)/'Kế hoạch định kỳ'!$X37)+1))&gt;0,IF(EOMONTH(J$5,0)&lt;'Tổng quan'!$B$11,"✖","○"),"")))</f>
        <v/>
      </c>
      <c r="K37" s="61" t="str">
        <f>IF($A37="","",IF(COUNTIFS('Nhật ký bảo trì'!$D$6:$D$405,$A37,'Nhật ký bảo trì'!$Q$6:$Q$405,"Hoàn thành",'Nhật ký bảo trì'!$B$6:$B$405,"&gt;="&amp;K$5,'Nhật ký bảo trì'!$B$6:$B$405,"&lt;="&amp;EOMONTH(K$5,0))&gt;0,"✔",IF(((EOMONTH(K$5,0)&gt;='Kế hoạch định kỳ'!$W37)*(INT((EOMONTH(K$5,0)-'Kế hoạch định kỳ'!$W37)/'Kế hoạch định kỳ'!$X37)+1)-(K$5-1&gt;='Kế hoạch định kỳ'!$W37)*(INT((K$5-1-'Kế hoạch định kỳ'!$W37)/'Kế hoạch định kỳ'!$X37)+1))&gt;0,IF(EOMONTH(K$5,0)&lt;'Tổng quan'!$B$11,"✖","○"),"")))</f>
        <v/>
      </c>
      <c r="L37" s="61" t="str">
        <f>IF($A37="","",IF(COUNTIFS('Nhật ký bảo trì'!$D$6:$D$405,$A37,'Nhật ký bảo trì'!$Q$6:$Q$405,"Hoàn thành",'Nhật ký bảo trì'!$B$6:$B$405,"&gt;="&amp;L$5,'Nhật ký bảo trì'!$B$6:$B$405,"&lt;="&amp;EOMONTH(L$5,0))&gt;0,"✔",IF(((EOMONTH(L$5,0)&gt;='Kế hoạch định kỳ'!$W37)*(INT((EOMONTH(L$5,0)-'Kế hoạch định kỳ'!$W37)/'Kế hoạch định kỳ'!$X37)+1)-(L$5-1&gt;='Kế hoạch định kỳ'!$W37)*(INT((L$5-1-'Kế hoạch định kỳ'!$W37)/'Kế hoạch định kỳ'!$X37)+1))&gt;0,IF(EOMONTH(L$5,0)&lt;'Tổng quan'!$B$11,"✖","○"),"")))</f>
        <v/>
      </c>
      <c r="M37" s="61" t="str">
        <f>IF($A37="","",IF(COUNTIFS('Nhật ký bảo trì'!$D$6:$D$405,$A37,'Nhật ký bảo trì'!$Q$6:$Q$405,"Hoàn thành",'Nhật ký bảo trì'!$B$6:$B$405,"&gt;="&amp;M$5,'Nhật ký bảo trì'!$B$6:$B$405,"&lt;="&amp;EOMONTH(M$5,0))&gt;0,"✔",IF(((EOMONTH(M$5,0)&gt;='Kế hoạch định kỳ'!$W37)*(INT((EOMONTH(M$5,0)-'Kế hoạch định kỳ'!$W37)/'Kế hoạch định kỳ'!$X37)+1)-(M$5-1&gt;='Kế hoạch định kỳ'!$W37)*(INT((M$5-1-'Kế hoạch định kỳ'!$W37)/'Kế hoạch định kỳ'!$X37)+1))&gt;0,IF(EOMONTH(M$5,0)&lt;'Tổng quan'!$B$11,"✖","○"),"")))</f>
        <v/>
      </c>
      <c r="N37" s="61" t="str">
        <f>IF($A37="","",IF(COUNTIFS('Nhật ký bảo trì'!$D$6:$D$405,$A37,'Nhật ký bảo trì'!$Q$6:$Q$405,"Hoàn thành",'Nhật ký bảo trì'!$B$6:$B$405,"&gt;="&amp;N$5,'Nhật ký bảo trì'!$B$6:$B$405,"&lt;="&amp;EOMONTH(N$5,0))&gt;0,"✔",IF(((EOMONTH(N$5,0)&gt;='Kế hoạch định kỳ'!$W37)*(INT((EOMONTH(N$5,0)-'Kế hoạch định kỳ'!$W37)/'Kế hoạch định kỳ'!$X37)+1)-(N$5-1&gt;='Kế hoạch định kỳ'!$W37)*(INT((N$5-1-'Kế hoạch định kỳ'!$W37)/'Kế hoạch định kỳ'!$X37)+1))&gt;0,IF(EOMONTH(N$5,0)&lt;'Tổng quan'!$B$11,"✖","○"),"")))</f>
        <v/>
      </c>
      <c r="O37" s="61" t="str">
        <f>IF($A37="","",IF(COUNTIFS('Nhật ký bảo trì'!$D$6:$D$405,$A37,'Nhật ký bảo trì'!$Q$6:$Q$405,"Hoàn thành",'Nhật ký bảo trì'!$B$6:$B$405,"&gt;="&amp;O$5,'Nhật ký bảo trì'!$B$6:$B$405,"&lt;="&amp;EOMONTH(O$5,0))&gt;0,"✔",IF(((EOMONTH(O$5,0)&gt;='Kế hoạch định kỳ'!$W37)*(INT((EOMONTH(O$5,0)-'Kế hoạch định kỳ'!$W37)/'Kế hoạch định kỳ'!$X37)+1)-(O$5-1&gt;='Kế hoạch định kỳ'!$W37)*(INT((O$5-1-'Kế hoạch định kỳ'!$W37)/'Kế hoạch định kỳ'!$X37)+1))&gt;0,IF(EOMONTH(O$5,0)&lt;'Tổng quan'!$B$11,"✖","○"),"")))</f>
        <v/>
      </c>
      <c r="P37" s="61" t="str">
        <f>IF($A37="","",IF(COUNTIFS('Nhật ký bảo trì'!$D$6:$D$405,$A37,'Nhật ký bảo trì'!$Q$6:$Q$405,"Hoàn thành",'Nhật ký bảo trì'!$B$6:$B$405,"&gt;="&amp;P$5,'Nhật ký bảo trì'!$B$6:$B$405,"&lt;="&amp;EOMONTH(P$5,0))&gt;0,"✔",IF(((EOMONTH(P$5,0)&gt;='Kế hoạch định kỳ'!$W37)*(INT((EOMONTH(P$5,0)-'Kế hoạch định kỳ'!$W37)/'Kế hoạch định kỳ'!$X37)+1)-(P$5-1&gt;='Kế hoạch định kỳ'!$W37)*(INT((P$5-1-'Kế hoạch định kỳ'!$W37)/'Kế hoạch định kỳ'!$X37)+1))&gt;0,IF(EOMONTH(P$5,0)&lt;'Tổng quan'!$B$11,"✖","○"),"")))</f>
        <v/>
      </c>
      <c r="Q37" s="30" t="str">
        <f>IF($A37="","",COUNTIFS('Nhật ký bảo trì'!$D$6:$D$405,$A37,'Nhật ký bảo trì'!$Q$6:$Q$405,"Hoàn thành",'Nhật ký bảo trì'!$B$6:$B$405,"&gt;="&amp;DATE('Tổng quan'!$B$6,1,1),'Nhật ký bảo trì'!$B$6:$B$405,"&lt;="&amp;DATE('Tổng quan'!$B$6,12,31)))</f>
        <v/>
      </c>
      <c r="R37" s="30" t="str">
        <f t="shared" si="1"/>
        <v/>
      </c>
    </row>
    <row r="38" ht="24.0" customHeight="1">
      <c r="A38" s="10" t="str">
        <f>IF('Kế hoạch định kỳ'!$B38="","",'Kế hoạch định kỳ'!$B38)</f>
        <v/>
      </c>
      <c r="B38" s="14" t="str">
        <f>IF('Kế hoạch định kỳ'!$B38="","",'Kế hoạch định kỳ'!$D38)</f>
        <v/>
      </c>
      <c r="C38" s="18" t="str">
        <f>IF('Kế hoạch định kỳ'!$B38="","",'Kế hoạch định kỳ'!$F38)</f>
        <v/>
      </c>
      <c r="D38" s="10" t="str">
        <f>IF('Kế hoạch định kỳ'!$B38="","",IF('Kế hoạch định kỳ'!$I38&lt;&gt;"",'Kế hoạch định kỳ'!$I38&amp;" ngày",'Kế hoạch định kỳ'!$H38))</f>
        <v/>
      </c>
      <c r="E38" s="24" t="str">
        <f>IF($A38="","",IF(COUNTIFS('Nhật ký bảo trì'!$D$6:$D$405,$A38,'Nhật ký bảo trì'!$Q$6:$Q$405,"Hoàn thành",'Nhật ký bảo trì'!$B$6:$B$405,"&gt;="&amp;E$5,'Nhật ký bảo trì'!$B$6:$B$405,"&lt;="&amp;EOMONTH(E$5,0))&gt;0,"✔",IF(((EOMONTH(E$5,0)&gt;='Kế hoạch định kỳ'!$W38)*(INT((EOMONTH(E$5,0)-'Kế hoạch định kỳ'!$W38)/'Kế hoạch định kỳ'!$X38)+1)-(E$5-1&gt;='Kế hoạch định kỳ'!$W38)*(INT((E$5-1-'Kế hoạch định kỳ'!$W38)/'Kế hoạch định kỳ'!$X38)+1))&gt;0,IF(EOMONTH(E$5,0)&lt;'Tổng quan'!$B$11,"✖","○"),"")))</f>
        <v/>
      </c>
      <c r="F38" s="24" t="str">
        <f>IF($A38="","",IF(COUNTIFS('Nhật ký bảo trì'!$D$6:$D$405,$A38,'Nhật ký bảo trì'!$Q$6:$Q$405,"Hoàn thành",'Nhật ký bảo trì'!$B$6:$B$405,"&gt;="&amp;F$5,'Nhật ký bảo trì'!$B$6:$B$405,"&lt;="&amp;EOMONTH(F$5,0))&gt;0,"✔",IF(((EOMONTH(F$5,0)&gt;='Kế hoạch định kỳ'!$W38)*(INT((EOMONTH(F$5,0)-'Kế hoạch định kỳ'!$W38)/'Kế hoạch định kỳ'!$X38)+1)-(F$5-1&gt;='Kế hoạch định kỳ'!$W38)*(INT((F$5-1-'Kế hoạch định kỳ'!$W38)/'Kế hoạch định kỳ'!$X38)+1))&gt;0,IF(EOMONTH(F$5,0)&lt;'Tổng quan'!$B$11,"✖","○"),"")))</f>
        <v/>
      </c>
      <c r="G38" s="24" t="str">
        <f>IF($A38="","",IF(COUNTIFS('Nhật ký bảo trì'!$D$6:$D$405,$A38,'Nhật ký bảo trì'!$Q$6:$Q$405,"Hoàn thành",'Nhật ký bảo trì'!$B$6:$B$405,"&gt;="&amp;G$5,'Nhật ký bảo trì'!$B$6:$B$405,"&lt;="&amp;EOMONTH(G$5,0))&gt;0,"✔",IF(((EOMONTH(G$5,0)&gt;='Kế hoạch định kỳ'!$W38)*(INT((EOMONTH(G$5,0)-'Kế hoạch định kỳ'!$W38)/'Kế hoạch định kỳ'!$X38)+1)-(G$5-1&gt;='Kế hoạch định kỳ'!$W38)*(INT((G$5-1-'Kế hoạch định kỳ'!$W38)/'Kế hoạch định kỳ'!$X38)+1))&gt;0,IF(EOMONTH(G$5,0)&lt;'Tổng quan'!$B$11,"✖","○"),"")))</f>
        <v/>
      </c>
      <c r="H38" s="24" t="str">
        <f>IF($A38="","",IF(COUNTIFS('Nhật ký bảo trì'!$D$6:$D$405,$A38,'Nhật ký bảo trì'!$Q$6:$Q$405,"Hoàn thành",'Nhật ký bảo trì'!$B$6:$B$405,"&gt;="&amp;H$5,'Nhật ký bảo trì'!$B$6:$B$405,"&lt;="&amp;EOMONTH(H$5,0))&gt;0,"✔",IF(((EOMONTH(H$5,0)&gt;='Kế hoạch định kỳ'!$W38)*(INT((EOMONTH(H$5,0)-'Kế hoạch định kỳ'!$W38)/'Kế hoạch định kỳ'!$X38)+1)-(H$5-1&gt;='Kế hoạch định kỳ'!$W38)*(INT((H$5-1-'Kế hoạch định kỳ'!$W38)/'Kế hoạch định kỳ'!$X38)+1))&gt;0,IF(EOMONTH(H$5,0)&lt;'Tổng quan'!$B$11,"✖","○"),"")))</f>
        <v/>
      </c>
      <c r="I38" s="24" t="str">
        <f>IF($A38="","",IF(COUNTIFS('Nhật ký bảo trì'!$D$6:$D$405,$A38,'Nhật ký bảo trì'!$Q$6:$Q$405,"Hoàn thành",'Nhật ký bảo trì'!$B$6:$B$405,"&gt;="&amp;I$5,'Nhật ký bảo trì'!$B$6:$B$405,"&lt;="&amp;EOMONTH(I$5,0))&gt;0,"✔",IF(((EOMONTH(I$5,0)&gt;='Kế hoạch định kỳ'!$W38)*(INT((EOMONTH(I$5,0)-'Kế hoạch định kỳ'!$W38)/'Kế hoạch định kỳ'!$X38)+1)-(I$5-1&gt;='Kế hoạch định kỳ'!$W38)*(INT((I$5-1-'Kế hoạch định kỳ'!$W38)/'Kế hoạch định kỳ'!$X38)+1))&gt;0,IF(EOMONTH(I$5,0)&lt;'Tổng quan'!$B$11,"✖","○"),"")))</f>
        <v/>
      </c>
      <c r="J38" s="24" t="str">
        <f>IF($A38="","",IF(COUNTIFS('Nhật ký bảo trì'!$D$6:$D$405,$A38,'Nhật ký bảo trì'!$Q$6:$Q$405,"Hoàn thành",'Nhật ký bảo trì'!$B$6:$B$405,"&gt;="&amp;J$5,'Nhật ký bảo trì'!$B$6:$B$405,"&lt;="&amp;EOMONTH(J$5,0))&gt;0,"✔",IF(((EOMONTH(J$5,0)&gt;='Kế hoạch định kỳ'!$W38)*(INT((EOMONTH(J$5,0)-'Kế hoạch định kỳ'!$W38)/'Kế hoạch định kỳ'!$X38)+1)-(J$5-1&gt;='Kế hoạch định kỳ'!$W38)*(INT((J$5-1-'Kế hoạch định kỳ'!$W38)/'Kế hoạch định kỳ'!$X38)+1))&gt;0,IF(EOMONTH(J$5,0)&lt;'Tổng quan'!$B$11,"✖","○"),"")))</f>
        <v/>
      </c>
      <c r="K38" s="24" t="str">
        <f>IF($A38="","",IF(COUNTIFS('Nhật ký bảo trì'!$D$6:$D$405,$A38,'Nhật ký bảo trì'!$Q$6:$Q$405,"Hoàn thành",'Nhật ký bảo trì'!$B$6:$B$405,"&gt;="&amp;K$5,'Nhật ký bảo trì'!$B$6:$B$405,"&lt;="&amp;EOMONTH(K$5,0))&gt;0,"✔",IF(((EOMONTH(K$5,0)&gt;='Kế hoạch định kỳ'!$W38)*(INT((EOMONTH(K$5,0)-'Kế hoạch định kỳ'!$W38)/'Kế hoạch định kỳ'!$X38)+1)-(K$5-1&gt;='Kế hoạch định kỳ'!$W38)*(INT((K$5-1-'Kế hoạch định kỳ'!$W38)/'Kế hoạch định kỳ'!$X38)+1))&gt;0,IF(EOMONTH(K$5,0)&lt;'Tổng quan'!$B$11,"✖","○"),"")))</f>
        <v/>
      </c>
      <c r="L38" s="24" t="str">
        <f>IF($A38="","",IF(COUNTIFS('Nhật ký bảo trì'!$D$6:$D$405,$A38,'Nhật ký bảo trì'!$Q$6:$Q$405,"Hoàn thành",'Nhật ký bảo trì'!$B$6:$B$405,"&gt;="&amp;L$5,'Nhật ký bảo trì'!$B$6:$B$405,"&lt;="&amp;EOMONTH(L$5,0))&gt;0,"✔",IF(((EOMONTH(L$5,0)&gt;='Kế hoạch định kỳ'!$W38)*(INT((EOMONTH(L$5,0)-'Kế hoạch định kỳ'!$W38)/'Kế hoạch định kỳ'!$X38)+1)-(L$5-1&gt;='Kế hoạch định kỳ'!$W38)*(INT((L$5-1-'Kế hoạch định kỳ'!$W38)/'Kế hoạch định kỳ'!$X38)+1))&gt;0,IF(EOMONTH(L$5,0)&lt;'Tổng quan'!$B$11,"✖","○"),"")))</f>
        <v/>
      </c>
      <c r="M38" s="24" t="str">
        <f>IF($A38="","",IF(COUNTIFS('Nhật ký bảo trì'!$D$6:$D$405,$A38,'Nhật ký bảo trì'!$Q$6:$Q$405,"Hoàn thành",'Nhật ký bảo trì'!$B$6:$B$405,"&gt;="&amp;M$5,'Nhật ký bảo trì'!$B$6:$B$405,"&lt;="&amp;EOMONTH(M$5,0))&gt;0,"✔",IF(((EOMONTH(M$5,0)&gt;='Kế hoạch định kỳ'!$W38)*(INT((EOMONTH(M$5,0)-'Kế hoạch định kỳ'!$W38)/'Kế hoạch định kỳ'!$X38)+1)-(M$5-1&gt;='Kế hoạch định kỳ'!$W38)*(INT((M$5-1-'Kế hoạch định kỳ'!$W38)/'Kế hoạch định kỳ'!$X38)+1))&gt;0,IF(EOMONTH(M$5,0)&lt;'Tổng quan'!$B$11,"✖","○"),"")))</f>
        <v/>
      </c>
      <c r="N38" s="24" t="str">
        <f>IF($A38="","",IF(COUNTIFS('Nhật ký bảo trì'!$D$6:$D$405,$A38,'Nhật ký bảo trì'!$Q$6:$Q$405,"Hoàn thành",'Nhật ký bảo trì'!$B$6:$B$405,"&gt;="&amp;N$5,'Nhật ký bảo trì'!$B$6:$B$405,"&lt;="&amp;EOMONTH(N$5,0))&gt;0,"✔",IF(((EOMONTH(N$5,0)&gt;='Kế hoạch định kỳ'!$W38)*(INT((EOMONTH(N$5,0)-'Kế hoạch định kỳ'!$W38)/'Kế hoạch định kỳ'!$X38)+1)-(N$5-1&gt;='Kế hoạch định kỳ'!$W38)*(INT((N$5-1-'Kế hoạch định kỳ'!$W38)/'Kế hoạch định kỳ'!$X38)+1))&gt;0,IF(EOMONTH(N$5,0)&lt;'Tổng quan'!$B$11,"✖","○"),"")))</f>
        <v/>
      </c>
      <c r="O38" s="24" t="str">
        <f>IF($A38="","",IF(COUNTIFS('Nhật ký bảo trì'!$D$6:$D$405,$A38,'Nhật ký bảo trì'!$Q$6:$Q$405,"Hoàn thành",'Nhật ký bảo trì'!$B$6:$B$405,"&gt;="&amp;O$5,'Nhật ký bảo trì'!$B$6:$B$405,"&lt;="&amp;EOMONTH(O$5,0))&gt;0,"✔",IF(((EOMONTH(O$5,0)&gt;='Kế hoạch định kỳ'!$W38)*(INT((EOMONTH(O$5,0)-'Kế hoạch định kỳ'!$W38)/'Kế hoạch định kỳ'!$X38)+1)-(O$5-1&gt;='Kế hoạch định kỳ'!$W38)*(INT((O$5-1-'Kế hoạch định kỳ'!$W38)/'Kế hoạch định kỳ'!$X38)+1))&gt;0,IF(EOMONTH(O$5,0)&lt;'Tổng quan'!$B$11,"✖","○"),"")))</f>
        <v/>
      </c>
      <c r="P38" s="24" t="str">
        <f>IF($A38="","",IF(COUNTIFS('Nhật ký bảo trì'!$D$6:$D$405,$A38,'Nhật ký bảo trì'!$Q$6:$Q$405,"Hoàn thành",'Nhật ký bảo trì'!$B$6:$B$405,"&gt;="&amp;P$5,'Nhật ký bảo trì'!$B$6:$B$405,"&lt;="&amp;EOMONTH(P$5,0))&gt;0,"✔",IF(((EOMONTH(P$5,0)&gt;='Kế hoạch định kỳ'!$W38)*(INT((EOMONTH(P$5,0)-'Kế hoạch định kỳ'!$W38)/'Kế hoạch định kỳ'!$X38)+1)-(P$5-1&gt;='Kế hoạch định kỳ'!$W38)*(INT((P$5-1-'Kế hoạch định kỳ'!$W38)/'Kế hoạch định kỳ'!$X38)+1))&gt;0,IF(EOMONTH(P$5,0)&lt;'Tổng quan'!$B$11,"✖","○"),"")))</f>
        <v/>
      </c>
      <c r="Q38" s="16" t="str">
        <f>IF($A38="","",COUNTIFS('Nhật ký bảo trì'!$D$6:$D$405,$A38,'Nhật ký bảo trì'!$Q$6:$Q$405,"Hoàn thành",'Nhật ký bảo trì'!$B$6:$B$405,"&gt;="&amp;DATE('Tổng quan'!$B$6,1,1),'Nhật ký bảo trì'!$B$6:$B$405,"&lt;="&amp;DATE('Tổng quan'!$B$6,12,31)))</f>
        <v/>
      </c>
      <c r="R38" s="16" t="str">
        <f t="shared" si="1"/>
        <v/>
      </c>
    </row>
    <row r="39" ht="24.0" customHeight="1">
      <c r="A39" s="26" t="str">
        <f>IF('Kế hoạch định kỳ'!$B39="","",'Kế hoạch định kỳ'!$B39)</f>
        <v/>
      </c>
      <c r="B39" s="28" t="str">
        <f>IF('Kế hoạch định kỳ'!$B39="","",'Kế hoạch định kỳ'!$D39)</f>
        <v/>
      </c>
      <c r="C39" s="56" t="str">
        <f>IF('Kế hoạch định kỳ'!$B39="","",'Kế hoạch định kỳ'!$F39)</f>
        <v/>
      </c>
      <c r="D39" s="26" t="str">
        <f>IF('Kế hoạch định kỳ'!$B39="","",IF('Kế hoạch định kỳ'!$I39&lt;&gt;"",'Kế hoạch định kỳ'!$I39&amp;" ngày",'Kế hoạch định kỳ'!$H39))</f>
        <v/>
      </c>
      <c r="E39" s="61" t="str">
        <f>IF($A39="","",IF(COUNTIFS('Nhật ký bảo trì'!$D$6:$D$405,$A39,'Nhật ký bảo trì'!$Q$6:$Q$405,"Hoàn thành",'Nhật ký bảo trì'!$B$6:$B$405,"&gt;="&amp;E$5,'Nhật ký bảo trì'!$B$6:$B$405,"&lt;="&amp;EOMONTH(E$5,0))&gt;0,"✔",IF(((EOMONTH(E$5,0)&gt;='Kế hoạch định kỳ'!$W39)*(INT((EOMONTH(E$5,0)-'Kế hoạch định kỳ'!$W39)/'Kế hoạch định kỳ'!$X39)+1)-(E$5-1&gt;='Kế hoạch định kỳ'!$W39)*(INT((E$5-1-'Kế hoạch định kỳ'!$W39)/'Kế hoạch định kỳ'!$X39)+1))&gt;0,IF(EOMONTH(E$5,0)&lt;'Tổng quan'!$B$11,"✖","○"),"")))</f>
        <v/>
      </c>
      <c r="F39" s="61" t="str">
        <f>IF($A39="","",IF(COUNTIFS('Nhật ký bảo trì'!$D$6:$D$405,$A39,'Nhật ký bảo trì'!$Q$6:$Q$405,"Hoàn thành",'Nhật ký bảo trì'!$B$6:$B$405,"&gt;="&amp;F$5,'Nhật ký bảo trì'!$B$6:$B$405,"&lt;="&amp;EOMONTH(F$5,0))&gt;0,"✔",IF(((EOMONTH(F$5,0)&gt;='Kế hoạch định kỳ'!$W39)*(INT((EOMONTH(F$5,0)-'Kế hoạch định kỳ'!$W39)/'Kế hoạch định kỳ'!$X39)+1)-(F$5-1&gt;='Kế hoạch định kỳ'!$W39)*(INT((F$5-1-'Kế hoạch định kỳ'!$W39)/'Kế hoạch định kỳ'!$X39)+1))&gt;0,IF(EOMONTH(F$5,0)&lt;'Tổng quan'!$B$11,"✖","○"),"")))</f>
        <v/>
      </c>
      <c r="G39" s="61" t="str">
        <f>IF($A39="","",IF(COUNTIFS('Nhật ký bảo trì'!$D$6:$D$405,$A39,'Nhật ký bảo trì'!$Q$6:$Q$405,"Hoàn thành",'Nhật ký bảo trì'!$B$6:$B$405,"&gt;="&amp;G$5,'Nhật ký bảo trì'!$B$6:$B$405,"&lt;="&amp;EOMONTH(G$5,0))&gt;0,"✔",IF(((EOMONTH(G$5,0)&gt;='Kế hoạch định kỳ'!$W39)*(INT((EOMONTH(G$5,0)-'Kế hoạch định kỳ'!$W39)/'Kế hoạch định kỳ'!$X39)+1)-(G$5-1&gt;='Kế hoạch định kỳ'!$W39)*(INT((G$5-1-'Kế hoạch định kỳ'!$W39)/'Kế hoạch định kỳ'!$X39)+1))&gt;0,IF(EOMONTH(G$5,0)&lt;'Tổng quan'!$B$11,"✖","○"),"")))</f>
        <v/>
      </c>
      <c r="H39" s="61" t="str">
        <f>IF($A39="","",IF(COUNTIFS('Nhật ký bảo trì'!$D$6:$D$405,$A39,'Nhật ký bảo trì'!$Q$6:$Q$405,"Hoàn thành",'Nhật ký bảo trì'!$B$6:$B$405,"&gt;="&amp;H$5,'Nhật ký bảo trì'!$B$6:$B$405,"&lt;="&amp;EOMONTH(H$5,0))&gt;0,"✔",IF(((EOMONTH(H$5,0)&gt;='Kế hoạch định kỳ'!$W39)*(INT((EOMONTH(H$5,0)-'Kế hoạch định kỳ'!$W39)/'Kế hoạch định kỳ'!$X39)+1)-(H$5-1&gt;='Kế hoạch định kỳ'!$W39)*(INT((H$5-1-'Kế hoạch định kỳ'!$W39)/'Kế hoạch định kỳ'!$X39)+1))&gt;0,IF(EOMONTH(H$5,0)&lt;'Tổng quan'!$B$11,"✖","○"),"")))</f>
        <v/>
      </c>
      <c r="I39" s="61" t="str">
        <f>IF($A39="","",IF(COUNTIFS('Nhật ký bảo trì'!$D$6:$D$405,$A39,'Nhật ký bảo trì'!$Q$6:$Q$405,"Hoàn thành",'Nhật ký bảo trì'!$B$6:$B$405,"&gt;="&amp;I$5,'Nhật ký bảo trì'!$B$6:$B$405,"&lt;="&amp;EOMONTH(I$5,0))&gt;0,"✔",IF(((EOMONTH(I$5,0)&gt;='Kế hoạch định kỳ'!$W39)*(INT((EOMONTH(I$5,0)-'Kế hoạch định kỳ'!$W39)/'Kế hoạch định kỳ'!$X39)+1)-(I$5-1&gt;='Kế hoạch định kỳ'!$W39)*(INT((I$5-1-'Kế hoạch định kỳ'!$W39)/'Kế hoạch định kỳ'!$X39)+1))&gt;0,IF(EOMONTH(I$5,0)&lt;'Tổng quan'!$B$11,"✖","○"),"")))</f>
        <v/>
      </c>
      <c r="J39" s="61" t="str">
        <f>IF($A39="","",IF(COUNTIFS('Nhật ký bảo trì'!$D$6:$D$405,$A39,'Nhật ký bảo trì'!$Q$6:$Q$405,"Hoàn thành",'Nhật ký bảo trì'!$B$6:$B$405,"&gt;="&amp;J$5,'Nhật ký bảo trì'!$B$6:$B$405,"&lt;="&amp;EOMONTH(J$5,0))&gt;0,"✔",IF(((EOMONTH(J$5,0)&gt;='Kế hoạch định kỳ'!$W39)*(INT((EOMONTH(J$5,0)-'Kế hoạch định kỳ'!$W39)/'Kế hoạch định kỳ'!$X39)+1)-(J$5-1&gt;='Kế hoạch định kỳ'!$W39)*(INT((J$5-1-'Kế hoạch định kỳ'!$W39)/'Kế hoạch định kỳ'!$X39)+1))&gt;0,IF(EOMONTH(J$5,0)&lt;'Tổng quan'!$B$11,"✖","○"),"")))</f>
        <v/>
      </c>
      <c r="K39" s="61" t="str">
        <f>IF($A39="","",IF(COUNTIFS('Nhật ký bảo trì'!$D$6:$D$405,$A39,'Nhật ký bảo trì'!$Q$6:$Q$405,"Hoàn thành",'Nhật ký bảo trì'!$B$6:$B$405,"&gt;="&amp;K$5,'Nhật ký bảo trì'!$B$6:$B$405,"&lt;="&amp;EOMONTH(K$5,0))&gt;0,"✔",IF(((EOMONTH(K$5,0)&gt;='Kế hoạch định kỳ'!$W39)*(INT((EOMONTH(K$5,0)-'Kế hoạch định kỳ'!$W39)/'Kế hoạch định kỳ'!$X39)+1)-(K$5-1&gt;='Kế hoạch định kỳ'!$W39)*(INT((K$5-1-'Kế hoạch định kỳ'!$W39)/'Kế hoạch định kỳ'!$X39)+1))&gt;0,IF(EOMONTH(K$5,0)&lt;'Tổng quan'!$B$11,"✖","○"),"")))</f>
        <v/>
      </c>
      <c r="L39" s="61" t="str">
        <f>IF($A39="","",IF(COUNTIFS('Nhật ký bảo trì'!$D$6:$D$405,$A39,'Nhật ký bảo trì'!$Q$6:$Q$405,"Hoàn thành",'Nhật ký bảo trì'!$B$6:$B$405,"&gt;="&amp;L$5,'Nhật ký bảo trì'!$B$6:$B$405,"&lt;="&amp;EOMONTH(L$5,0))&gt;0,"✔",IF(((EOMONTH(L$5,0)&gt;='Kế hoạch định kỳ'!$W39)*(INT((EOMONTH(L$5,0)-'Kế hoạch định kỳ'!$W39)/'Kế hoạch định kỳ'!$X39)+1)-(L$5-1&gt;='Kế hoạch định kỳ'!$W39)*(INT((L$5-1-'Kế hoạch định kỳ'!$W39)/'Kế hoạch định kỳ'!$X39)+1))&gt;0,IF(EOMONTH(L$5,0)&lt;'Tổng quan'!$B$11,"✖","○"),"")))</f>
        <v/>
      </c>
      <c r="M39" s="61" t="str">
        <f>IF($A39="","",IF(COUNTIFS('Nhật ký bảo trì'!$D$6:$D$405,$A39,'Nhật ký bảo trì'!$Q$6:$Q$405,"Hoàn thành",'Nhật ký bảo trì'!$B$6:$B$405,"&gt;="&amp;M$5,'Nhật ký bảo trì'!$B$6:$B$405,"&lt;="&amp;EOMONTH(M$5,0))&gt;0,"✔",IF(((EOMONTH(M$5,0)&gt;='Kế hoạch định kỳ'!$W39)*(INT((EOMONTH(M$5,0)-'Kế hoạch định kỳ'!$W39)/'Kế hoạch định kỳ'!$X39)+1)-(M$5-1&gt;='Kế hoạch định kỳ'!$W39)*(INT((M$5-1-'Kế hoạch định kỳ'!$W39)/'Kế hoạch định kỳ'!$X39)+1))&gt;0,IF(EOMONTH(M$5,0)&lt;'Tổng quan'!$B$11,"✖","○"),"")))</f>
        <v/>
      </c>
      <c r="N39" s="61" t="str">
        <f>IF($A39="","",IF(COUNTIFS('Nhật ký bảo trì'!$D$6:$D$405,$A39,'Nhật ký bảo trì'!$Q$6:$Q$405,"Hoàn thành",'Nhật ký bảo trì'!$B$6:$B$405,"&gt;="&amp;N$5,'Nhật ký bảo trì'!$B$6:$B$405,"&lt;="&amp;EOMONTH(N$5,0))&gt;0,"✔",IF(((EOMONTH(N$5,0)&gt;='Kế hoạch định kỳ'!$W39)*(INT((EOMONTH(N$5,0)-'Kế hoạch định kỳ'!$W39)/'Kế hoạch định kỳ'!$X39)+1)-(N$5-1&gt;='Kế hoạch định kỳ'!$W39)*(INT((N$5-1-'Kế hoạch định kỳ'!$W39)/'Kế hoạch định kỳ'!$X39)+1))&gt;0,IF(EOMONTH(N$5,0)&lt;'Tổng quan'!$B$11,"✖","○"),"")))</f>
        <v/>
      </c>
      <c r="O39" s="61" t="str">
        <f>IF($A39="","",IF(COUNTIFS('Nhật ký bảo trì'!$D$6:$D$405,$A39,'Nhật ký bảo trì'!$Q$6:$Q$405,"Hoàn thành",'Nhật ký bảo trì'!$B$6:$B$405,"&gt;="&amp;O$5,'Nhật ký bảo trì'!$B$6:$B$405,"&lt;="&amp;EOMONTH(O$5,0))&gt;0,"✔",IF(((EOMONTH(O$5,0)&gt;='Kế hoạch định kỳ'!$W39)*(INT((EOMONTH(O$5,0)-'Kế hoạch định kỳ'!$W39)/'Kế hoạch định kỳ'!$X39)+1)-(O$5-1&gt;='Kế hoạch định kỳ'!$W39)*(INT((O$5-1-'Kế hoạch định kỳ'!$W39)/'Kế hoạch định kỳ'!$X39)+1))&gt;0,IF(EOMONTH(O$5,0)&lt;'Tổng quan'!$B$11,"✖","○"),"")))</f>
        <v/>
      </c>
      <c r="P39" s="61" t="str">
        <f>IF($A39="","",IF(COUNTIFS('Nhật ký bảo trì'!$D$6:$D$405,$A39,'Nhật ký bảo trì'!$Q$6:$Q$405,"Hoàn thành",'Nhật ký bảo trì'!$B$6:$B$405,"&gt;="&amp;P$5,'Nhật ký bảo trì'!$B$6:$B$405,"&lt;="&amp;EOMONTH(P$5,0))&gt;0,"✔",IF(((EOMONTH(P$5,0)&gt;='Kế hoạch định kỳ'!$W39)*(INT((EOMONTH(P$5,0)-'Kế hoạch định kỳ'!$W39)/'Kế hoạch định kỳ'!$X39)+1)-(P$5-1&gt;='Kế hoạch định kỳ'!$W39)*(INT((P$5-1-'Kế hoạch định kỳ'!$W39)/'Kế hoạch định kỳ'!$X39)+1))&gt;0,IF(EOMONTH(P$5,0)&lt;'Tổng quan'!$B$11,"✖","○"),"")))</f>
        <v/>
      </c>
      <c r="Q39" s="30" t="str">
        <f>IF($A39="","",COUNTIFS('Nhật ký bảo trì'!$D$6:$D$405,$A39,'Nhật ký bảo trì'!$Q$6:$Q$405,"Hoàn thành",'Nhật ký bảo trì'!$B$6:$B$405,"&gt;="&amp;DATE('Tổng quan'!$B$6,1,1),'Nhật ký bảo trì'!$B$6:$B$405,"&lt;="&amp;DATE('Tổng quan'!$B$6,12,31)))</f>
        <v/>
      </c>
      <c r="R39" s="30" t="str">
        <f t="shared" si="1"/>
        <v/>
      </c>
    </row>
    <row r="40" ht="24.0" customHeight="1">
      <c r="A40" s="10" t="str">
        <f>IF('Kế hoạch định kỳ'!$B40="","",'Kế hoạch định kỳ'!$B40)</f>
        <v/>
      </c>
      <c r="B40" s="14" t="str">
        <f>IF('Kế hoạch định kỳ'!$B40="","",'Kế hoạch định kỳ'!$D40)</f>
        <v/>
      </c>
      <c r="C40" s="18" t="str">
        <f>IF('Kế hoạch định kỳ'!$B40="","",'Kế hoạch định kỳ'!$F40)</f>
        <v/>
      </c>
      <c r="D40" s="10" t="str">
        <f>IF('Kế hoạch định kỳ'!$B40="","",IF('Kế hoạch định kỳ'!$I40&lt;&gt;"",'Kế hoạch định kỳ'!$I40&amp;" ngày",'Kế hoạch định kỳ'!$H40))</f>
        <v/>
      </c>
      <c r="E40" s="24" t="str">
        <f>IF($A40="","",IF(COUNTIFS('Nhật ký bảo trì'!$D$6:$D$405,$A40,'Nhật ký bảo trì'!$Q$6:$Q$405,"Hoàn thành",'Nhật ký bảo trì'!$B$6:$B$405,"&gt;="&amp;E$5,'Nhật ký bảo trì'!$B$6:$B$405,"&lt;="&amp;EOMONTH(E$5,0))&gt;0,"✔",IF(((EOMONTH(E$5,0)&gt;='Kế hoạch định kỳ'!$W40)*(INT((EOMONTH(E$5,0)-'Kế hoạch định kỳ'!$W40)/'Kế hoạch định kỳ'!$X40)+1)-(E$5-1&gt;='Kế hoạch định kỳ'!$W40)*(INT((E$5-1-'Kế hoạch định kỳ'!$W40)/'Kế hoạch định kỳ'!$X40)+1))&gt;0,IF(EOMONTH(E$5,0)&lt;'Tổng quan'!$B$11,"✖","○"),"")))</f>
        <v/>
      </c>
      <c r="F40" s="24" t="str">
        <f>IF($A40="","",IF(COUNTIFS('Nhật ký bảo trì'!$D$6:$D$405,$A40,'Nhật ký bảo trì'!$Q$6:$Q$405,"Hoàn thành",'Nhật ký bảo trì'!$B$6:$B$405,"&gt;="&amp;F$5,'Nhật ký bảo trì'!$B$6:$B$405,"&lt;="&amp;EOMONTH(F$5,0))&gt;0,"✔",IF(((EOMONTH(F$5,0)&gt;='Kế hoạch định kỳ'!$W40)*(INT((EOMONTH(F$5,0)-'Kế hoạch định kỳ'!$W40)/'Kế hoạch định kỳ'!$X40)+1)-(F$5-1&gt;='Kế hoạch định kỳ'!$W40)*(INT((F$5-1-'Kế hoạch định kỳ'!$W40)/'Kế hoạch định kỳ'!$X40)+1))&gt;0,IF(EOMONTH(F$5,0)&lt;'Tổng quan'!$B$11,"✖","○"),"")))</f>
        <v/>
      </c>
      <c r="G40" s="24" t="str">
        <f>IF($A40="","",IF(COUNTIFS('Nhật ký bảo trì'!$D$6:$D$405,$A40,'Nhật ký bảo trì'!$Q$6:$Q$405,"Hoàn thành",'Nhật ký bảo trì'!$B$6:$B$405,"&gt;="&amp;G$5,'Nhật ký bảo trì'!$B$6:$B$405,"&lt;="&amp;EOMONTH(G$5,0))&gt;0,"✔",IF(((EOMONTH(G$5,0)&gt;='Kế hoạch định kỳ'!$W40)*(INT((EOMONTH(G$5,0)-'Kế hoạch định kỳ'!$W40)/'Kế hoạch định kỳ'!$X40)+1)-(G$5-1&gt;='Kế hoạch định kỳ'!$W40)*(INT((G$5-1-'Kế hoạch định kỳ'!$W40)/'Kế hoạch định kỳ'!$X40)+1))&gt;0,IF(EOMONTH(G$5,0)&lt;'Tổng quan'!$B$11,"✖","○"),"")))</f>
        <v/>
      </c>
      <c r="H40" s="24" t="str">
        <f>IF($A40="","",IF(COUNTIFS('Nhật ký bảo trì'!$D$6:$D$405,$A40,'Nhật ký bảo trì'!$Q$6:$Q$405,"Hoàn thành",'Nhật ký bảo trì'!$B$6:$B$405,"&gt;="&amp;H$5,'Nhật ký bảo trì'!$B$6:$B$405,"&lt;="&amp;EOMONTH(H$5,0))&gt;0,"✔",IF(((EOMONTH(H$5,0)&gt;='Kế hoạch định kỳ'!$W40)*(INT((EOMONTH(H$5,0)-'Kế hoạch định kỳ'!$W40)/'Kế hoạch định kỳ'!$X40)+1)-(H$5-1&gt;='Kế hoạch định kỳ'!$W40)*(INT((H$5-1-'Kế hoạch định kỳ'!$W40)/'Kế hoạch định kỳ'!$X40)+1))&gt;0,IF(EOMONTH(H$5,0)&lt;'Tổng quan'!$B$11,"✖","○"),"")))</f>
        <v/>
      </c>
      <c r="I40" s="24" t="str">
        <f>IF($A40="","",IF(COUNTIFS('Nhật ký bảo trì'!$D$6:$D$405,$A40,'Nhật ký bảo trì'!$Q$6:$Q$405,"Hoàn thành",'Nhật ký bảo trì'!$B$6:$B$405,"&gt;="&amp;I$5,'Nhật ký bảo trì'!$B$6:$B$405,"&lt;="&amp;EOMONTH(I$5,0))&gt;0,"✔",IF(((EOMONTH(I$5,0)&gt;='Kế hoạch định kỳ'!$W40)*(INT((EOMONTH(I$5,0)-'Kế hoạch định kỳ'!$W40)/'Kế hoạch định kỳ'!$X40)+1)-(I$5-1&gt;='Kế hoạch định kỳ'!$W40)*(INT((I$5-1-'Kế hoạch định kỳ'!$W40)/'Kế hoạch định kỳ'!$X40)+1))&gt;0,IF(EOMONTH(I$5,0)&lt;'Tổng quan'!$B$11,"✖","○"),"")))</f>
        <v/>
      </c>
      <c r="J40" s="24" t="str">
        <f>IF($A40="","",IF(COUNTIFS('Nhật ký bảo trì'!$D$6:$D$405,$A40,'Nhật ký bảo trì'!$Q$6:$Q$405,"Hoàn thành",'Nhật ký bảo trì'!$B$6:$B$405,"&gt;="&amp;J$5,'Nhật ký bảo trì'!$B$6:$B$405,"&lt;="&amp;EOMONTH(J$5,0))&gt;0,"✔",IF(((EOMONTH(J$5,0)&gt;='Kế hoạch định kỳ'!$W40)*(INT((EOMONTH(J$5,0)-'Kế hoạch định kỳ'!$W40)/'Kế hoạch định kỳ'!$X40)+1)-(J$5-1&gt;='Kế hoạch định kỳ'!$W40)*(INT((J$5-1-'Kế hoạch định kỳ'!$W40)/'Kế hoạch định kỳ'!$X40)+1))&gt;0,IF(EOMONTH(J$5,0)&lt;'Tổng quan'!$B$11,"✖","○"),"")))</f>
        <v/>
      </c>
      <c r="K40" s="24" t="str">
        <f>IF($A40="","",IF(COUNTIFS('Nhật ký bảo trì'!$D$6:$D$405,$A40,'Nhật ký bảo trì'!$Q$6:$Q$405,"Hoàn thành",'Nhật ký bảo trì'!$B$6:$B$405,"&gt;="&amp;K$5,'Nhật ký bảo trì'!$B$6:$B$405,"&lt;="&amp;EOMONTH(K$5,0))&gt;0,"✔",IF(((EOMONTH(K$5,0)&gt;='Kế hoạch định kỳ'!$W40)*(INT((EOMONTH(K$5,0)-'Kế hoạch định kỳ'!$W40)/'Kế hoạch định kỳ'!$X40)+1)-(K$5-1&gt;='Kế hoạch định kỳ'!$W40)*(INT((K$5-1-'Kế hoạch định kỳ'!$W40)/'Kế hoạch định kỳ'!$X40)+1))&gt;0,IF(EOMONTH(K$5,0)&lt;'Tổng quan'!$B$11,"✖","○"),"")))</f>
        <v/>
      </c>
      <c r="L40" s="24" t="str">
        <f>IF($A40="","",IF(COUNTIFS('Nhật ký bảo trì'!$D$6:$D$405,$A40,'Nhật ký bảo trì'!$Q$6:$Q$405,"Hoàn thành",'Nhật ký bảo trì'!$B$6:$B$405,"&gt;="&amp;L$5,'Nhật ký bảo trì'!$B$6:$B$405,"&lt;="&amp;EOMONTH(L$5,0))&gt;0,"✔",IF(((EOMONTH(L$5,0)&gt;='Kế hoạch định kỳ'!$W40)*(INT((EOMONTH(L$5,0)-'Kế hoạch định kỳ'!$W40)/'Kế hoạch định kỳ'!$X40)+1)-(L$5-1&gt;='Kế hoạch định kỳ'!$W40)*(INT((L$5-1-'Kế hoạch định kỳ'!$W40)/'Kế hoạch định kỳ'!$X40)+1))&gt;0,IF(EOMONTH(L$5,0)&lt;'Tổng quan'!$B$11,"✖","○"),"")))</f>
        <v/>
      </c>
      <c r="M40" s="24" t="str">
        <f>IF($A40="","",IF(COUNTIFS('Nhật ký bảo trì'!$D$6:$D$405,$A40,'Nhật ký bảo trì'!$Q$6:$Q$405,"Hoàn thành",'Nhật ký bảo trì'!$B$6:$B$405,"&gt;="&amp;M$5,'Nhật ký bảo trì'!$B$6:$B$405,"&lt;="&amp;EOMONTH(M$5,0))&gt;0,"✔",IF(((EOMONTH(M$5,0)&gt;='Kế hoạch định kỳ'!$W40)*(INT((EOMONTH(M$5,0)-'Kế hoạch định kỳ'!$W40)/'Kế hoạch định kỳ'!$X40)+1)-(M$5-1&gt;='Kế hoạch định kỳ'!$W40)*(INT((M$5-1-'Kế hoạch định kỳ'!$W40)/'Kế hoạch định kỳ'!$X40)+1))&gt;0,IF(EOMONTH(M$5,0)&lt;'Tổng quan'!$B$11,"✖","○"),"")))</f>
        <v/>
      </c>
      <c r="N40" s="24" t="str">
        <f>IF($A40="","",IF(COUNTIFS('Nhật ký bảo trì'!$D$6:$D$405,$A40,'Nhật ký bảo trì'!$Q$6:$Q$405,"Hoàn thành",'Nhật ký bảo trì'!$B$6:$B$405,"&gt;="&amp;N$5,'Nhật ký bảo trì'!$B$6:$B$405,"&lt;="&amp;EOMONTH(N$5,0))&gt;0,"✔",IF(((EOMONTH(N$5,0)&gt;='Kế hoạch định kỳ'!$W40)*(INT((EOMONTH(N$5,0)-'Kế hoạch định kỳ'!$W40)/'Kế hoạch định kỳ'!$X40)+1)-(N$5-1&gt;='Kế hoạch định kỳ'!$W40)*(INT((N$5-1-'Kế hoạch định kỳ'!$W40)/'Kế hoạch định kỳ'!$X40)+1))&gt;0,IF(EOMONTH(N$5,0)&lt;'Tổng quan'!$B$11,"✖","○"),"")))</f>
        <v/>
      </c>
      <c r="O40" s="24" t="str">
        <f>IF($A40="","",IF(COUNTIFS('Nhật ký bảo trì'!$D$6:$D$405,$A40,'Nhật ký bảo trì'!$Q$6:$Q$405,"Hoàn thành",'Nhật ký bảo trì'!$B$6:$B$405,"&gt;="&amp;O$5,'Nhật ký bảo trì'!$B$6:$B$405,"&lt;="&amp;EOMONTH(O$5,0))&gt;0,"✔",IF(((EOMONTH(O$5,0)&gt;='Kế hoạch định kỳ'!$W40)*(INT((EOMONTH(O$5,0)-'Kế hoạch định kỳ'!$W40)/'Kế hoạch định kỳ'!$X40)+1)-(O$5-1&gt;='Kế hoạch định kỳ'!$W40)*(INT((O$5-1-'Kế hoạch định kỳ'!$W40)/'Kế hoạch định kỳ'!$X40)+1))&gt;0,IF(EOMONTH(O$5,0)&lt;'Tổng quan'!$B$11,"✖","○"),"")))</f>
        <v/>
      </c>
      <c r="P40" s="24" t="str">
        <f>IF($A40="","",IF(COUNTIFS('Nhật ký bảo trì'!$D$6:$D$405,$A40,'Nhật ký bảo trì'!$Q$6:$Q$405,"Hoàn thành",'Nhật ký bảo trì'!$B$6:$B$405,"&gt;="&amp;P$5,'Nhật ký bảo trì'!$B$6:$B$405,"&lt;="&amp;EOMONTH(P$5,0))&gt;0,"✔",IF(((EOMONTH(P$5,0)&gt;='Kế hoạch định kỳ'!$W40)*(INT((EOMONTH(P$5,0)-'Kế hoạch định kỳ'!$W40)/'Kế hoạch định kỳ'!$X40)+1)-(P$5-1&gt;='Kế hoạch định kỳ'!$W40)*(INT((P$5-1-'Kế hoạch định kỳ'!$W40)/'Kế hoạch định kỳ'!$X40)+1))&gt;0,IF(EOMONTH(P$5,0)&lt;'Tổng quan'!$B$11,"✖","○"),"")))</f>
        <v/>
      </c>
      <c r="Q40" s="16" t="str">
        <f>IF($A40="","",COUNTIFS('Nhật ký bảo trì'!$D$6:$D$405,$A40,'Nhật ký bảo trì'!$Q$6:$Q$405,"Hoàn thành",'Nhật ký bảo trì'!$B$6:$B$405,"&gt;="&amp;DATE('Tổng quan'!$B$6,1,1),'Nhật ký bảo trì'!$B$6:$B$405,"&lt;="&amp;DATE('Tổng quan'!$B$6,12,31)))</f>
        <v/>
      </c>
      <c r="R40" s="16" t="str">
        <f t="shared" si="1"/>
        <v/>
      </c>
    </row>
    <row r="41" ht="24.0" customHeight="1">
      <c r="A41" s="26" t="str">
        <f>IF('Kế hoạch định kỳ'!$B41="","",'Kế hoạch định kỳ'!$B41)</f>
        <v/>
      </c>
      <c r="B41" s="28" t="str">
        <f>IF('Kế hoạch định kỳ'!$B41="","",'Kế hoạch định kỳ'!$D41)</f>
        <v/>
      </c>
      <c r="C41" s="56" t="str">
        <f>IF('Kế hoạch định kỳ'!$B41="","",'Kế hoạch định kỳ'!$F41)</f>
        <v/>
      </c>
      <c r="D41" s="26" t="str">
        <f>IF('Kế hoạch định kỳ'!$B41="","",IF('Kế hoạch định kỳ'!$I41&lt;&gt;"",'Kế hoạch định kỳ'!$I41&amp;" ngày",'Kế hoạch định kỳ'!$H41))</f>
        <v/>
      </c>
      <c r="E41" s="61" t="str">
        <f>IF($A41="","",IF(COUNTIFS('Nhật ký bảo trì'!$D$6:$D$405,$A41,'Nhật ký bảo trì'!$Q$6:$Q$405,"Hoàn thành",'Nhật ký bảo trì'!$B$6:$B$405,"&gt;="&amp;E$5,'Nhật ký bảo trì'!$B$6:$B$405,"&lt;="&amp;EOMONTH(E$5,0))&gt;0,"✔",IF(((EOMONTH(E$5,0)&gt;='Kế hoạch định kỳ'!$W41)*(INT((EOMONTH(E$5,0)-'Kế hoạch định kỳ'!$W41)/'Kế hoạch định kỳ'!$X41)+1)-(E$5-1&gt;='Kế hoạch định kỳ'!$W41)*(INT((E$5-1-'Kế hoạch định kỳ'!$W41)/'Kế hoạch định kỳ'!$X41)+1))&gt;0,IF(EOMONTH(E$5,0)&lt;'Tổng quan'!$B$11,"✖","○"),"")))</f>
        <v/>
      </c>
      <c r="F41" s="61" t="str">
        <f>IF($A41="","",IF(COUNTIFS('Nhật ký bảo trì'!$D$6:$D$405,$A41,'Nhật ký bảo trì'!$Q$6:$Q$405,"Hoàn thành",'Nhật ký bảo trì'!$B$6:$B$405,"&gt;="&amp;F$5,'Nhật ký bảo trì'!$B$6:$B$405,"&lt;="&amp;EOMONTH(F$5,0))&gt;0,"✔",IF(((EOMONTH(F$5,0)&gt;='Kế hoạch định kỳ'!$W41)*(INT((EOMONTH(F$5,0)-'Kế hoạch định kỳ'!$W41)/'Kế hoạch định kỳ'!$X41)+1)-(F$5-1&gt;='Kế hoạch định kỳ'!$W41)*(INT((F$5-1-'Kế hoạch định kỳ'!$W41)/'Kế hoạch định kỳ'!$X41)+1))&gt;0,IF(EOMONTH(F$5,0)&lt;'Tổng quan'!$B$11,"✖","○"),"")))</f>
        <v/>
      </c>
      <c r="G41" s="61" t="str">
        <f>IF($A41="","",IF(COUNTIFS('Nhật ký bảo trì'!$D$6:$D$405,$A41,'Nhật ký bảo trì'!$Q$6:$Q$405,"Hoàn thành",'Nhật ký bảo trì'!$B$6:$B$405,"&gt;="&amp;G$5,'Nhật ký bảo trì'!$B$6:$B$405,"&lt;="&amp;EOMONTH(G$5,0))&gt;0,"✔",IF(((EOMONTH(G$5,0)&gt;='Kế hoạch định kỳ'!$W41)*(INT((EOMONTH(G$5,0)-'Kế hoạch định kỳ'!$W41)/'Kế hoạch định kỳ'!$X41)+1)-(G$5-1&gt;='Kế hoạch định kỳ'!$W41)*(INT((G$5-1-'Kế hoạch định kỳ'!$W41)/'Kế hoạch định kỳ'!$X41)+1))&gt;0,IF(EOMONTH(G$5,0)&lt;'Tổng quan'!$B$11,"✖","○"),"")))</f>
        <v/>
      </c>
      <c r="H41" s="61" t="str">
        <f>IF($A41="","",IF(COUNTIFS('Nhật ký bảo trì'!$D$6:$D$405,$A41,'Nhật ký bảo trì'!$Q$6:$Q$405,"Hoàn thành",'Nhật ký bảo trì'!$B$6:$B$405,"&gt;="&amp;H$5,'Nhật ký bảo trì'!$B$6:$B$405,"&lt;="&amp;EOMONTH(H$5,0))&gt;0,"✔",IF(((EOMONTH(H$5,0)&gt;='Kế hoạch định kỳ'!$W41)*(INT((EOMONTH(H$5,0)-'Kế hoạch định kỳ'!$W41)/'Kế hoạch định kỳ'!$X41)+1)-(H$5-1&gt;='Kế hoạch định kỳ'!$W41)*(INT((H$5-1-'Kế hoạch định kỳ'!$W41)/'Kế hoạch định kỳ'!$X41)+1))&gt;0,IF(EOMONTH(H$5,0)&lt;'Tổng quan'!$B$11,"✖","○"),"")))</f>
        <v/>
      </c>
      <c r="I41" s="61" t="str">
        <f>IF($A41="","",IF(COUNTIFS('Nhật ký bảo trì'!$D$6:$D$405,$A41,'Nhật ký bảo trì'!$Q$6:$Q$405,"Hoàn thành",'Nhật ký bảo trì'!$B$6:$B$405,"&gt;="&amp;I$5,'Nhật ký bảo trì'!$B$6:$B$405,"&lt;="&amp;EOMONTH(I$5,0))&gt;0,"✔",IF(((EOMONTH(I$5,0)&gt;='Kế hoạch định kỳ'!$W41)*(INT((EOMONTH(I$5,0)-'Kế hoạch định kỳ'!$W41)/'Kế hoạch định kỳ'!$X41)+1)-(I$5-1&gt;='Kế hoạch định kỳ'!$W41)*(INT((I$5-1-'Kế hoạch định kỳ'!$W41)/'Kế hoạch định kỳ'!$X41)+1))&gt;0,IF(EOMONTH(I$5,0)&lt;'Tổng quan'!$B$11,"✖","○"),"")))</f>
        <v/>
      </c>
      <c r="J41" s="61" t="str">
        <f>IF($A41="","",IF(COUNTIFS('Nhật ký bảo trì'!$D$6:$D$405,$A41,'Nhật ký bảo trì'!$Q$6:$Q$405,"Hoàn thành",'Nhật ký bảo trì'!$B$6:$B$405,"&gt;="&amp;J$5,'Nhật ký bảo trì'!$B$6:$B$405,"&lt;="&amp;EOMONTH(J$5,0))&gt;0,"✔",IF(((EOMONTH(J$5,0)&gt;='Kế hoạch định kỳ'!$W41)*(INT((EOMONTH(J$5,0)-'Kế hoạch định kỳ'!$W41)/'Kế hoạch định kỳ'!$X41)+1)-(J$5-1&gt;='Kế hoạch định kỳ'!$W41)*(INT((J$5-1-'Kế hoạch định kỳ'!$W41)/'Kế hoạch định kỳ'!$X41)+1))&gt;0,IF(EOMONTH(J$5,0)&lt;'Tổng quan'!$B$11,"✖","○"),"")))</f>
        <v/>
      </c>
      <c r="K41" s="61" t="str">
        <f>IF($A41="","",IF(COUNTIFS('Nhật ký bảo trì'!$D$6:$D$405,$A41,'Nhật ký bảo trì'!$Q$6:$Q$405,"Hoàn thành",'Nhật ký bảo trì'!$B$6:$B$405,"&gt;="&amp;K$5,'Nhật ký bảo trì'!$B$6:$B$405,"&lt;="&amp;EOMONTH(K$5,0))&gt;0,"✔",IF(((EOMONTH(K$5,0)&gt;='Kế hoạch định kỳ'!$W41)*(INT((EOMONTH(K$5,0)-'Kế hoạch định kỳ'!$W41)/'Kế hoạch định kỳ'!$X41)+1)-(K$5-1&gt;='Kế hoạch định kỳ'!$W41)*(INT((K$5-1-'Kế hoạch định kỳ'!$W41)/'Kế hoạch định kỳ'!$X41)+1))&gt;0,IF(EOMONTH(K$5,0)&lt;'Tổng quan'!$B$11,"✖","○"),"")))</f>
        <v/>
      </c>
      <c r="L41" s="61" t="str">
        <f>IF($A41="","",IF(COUNTIFS('Nhật ký bảo trì'!$D$6:$D$405,$A41,'Nhật ký bảo trì'!$Q$6:$Q$405,"Hoàn thành",'Nhật ký bảo trì'!$B$6:$B$405,"&gt;="&amp;L$5,'Nhật ký bảo trì'!$B$6:$B$405,"&lt;="&amp;EOMONTH(L$5,0))&gt;0,"✔",IF(((EOMONTH(L$5,0)&gt;='Kế hoạch định kỳ'!$W41)*(INT((EOMONTH(L$5,0)-'Kế hoạch định kỳ'!$W41)/'Kế hoạch định kỳ'!$X41)+1)-(L$5-1&gt;='Kế hoạch định kỳ'!$W41)*(INT((L$5-1-'Kế hoạch định kỳ'!$W41)/'Kế hoạch định kỳ'!$X41)+1))&gt;0,IF(EOMONTH(L$5,0)&lt;'Tổng quan'!$B$11,"✖","○"),"")))</f>
        <v/>
      </c>
      <c r="M41" s="61" t="str">
        <f>IF($A41="","",IF(COUNTIFS('Nhật ký bảo trì'!$D$6:$D$405,$A41,'Nhật ký bảo trì'!$Q$6:$Q$405,"Hoàn thành",'Nhật ký bảo trì'!$B$6:$B$405,"&gt;="&amp;M$5,'Nhật ký bảo trì'!$B$6:$B$405,"&lt;="&amp;EOMONTH(M$5,0))&gt;0,"✔",IF(((EOMONTH(M$5,0)&gt;='Kế hoạch định kỳ'!$W41)*(INT((EOMONTH(M$5,0)-'Kế hoạch định kỳ'!$W41)/'Kế hoạch định kỳ'!$X41)+1)-(M$5-1&gt;='Kế hoạch định kỳ'!$W41)*(INT((M$5-1-'Kế hoạch định kỳ'!$W41)/'Kế hoạch định kỳ'!$X41)+1))&gt;0,IF(EOMONTH(M$5,0)&lt;'Tổng quan'!$B$11,"✖","○"),"")))</f>
        <v/>
      </c>
      <c r="N41" s="61" t="str">
        <f>IF($A41="","",IF(COUNTIFS('Nhật ký bảo trì'!$D$6:$D$405,$A41,'Nhật ký bảo trì'!$Q$6:$Q$405,"Hoàn thành",'Nhật ký bảo trì'!$B$6:$B$405,"&gt;="&amp;N$5,'Nhật ký bảo trì'!$B$6:$B$405,"&lt;="&amp;EOMONTH(N$5,0))&gt;0,"✔",IF(((EOMONTH(N$5,0)&gt;='Kế hoạch định kỳ'!$W41)*(INT((EOMONTH(N$5,0)-'Kế hoạch định kỳ'!$W41)/'Kế hoạch định kỳ'!$X41)+1)-(N$5-1&gt;='Kế hoạch định kỳ'!$W41)*(INT((N$5-1-'Kế hoạch định kỳ'!$W41)/'Kế hoạch định kỳ'!$X41)+1))&gt;0,IF(EOMONTH(N$5,0)&lt;'Tổng quan'!$B$11,"✖","○"),"")))</f>
        <v/>
      </c>
      <c r="O41" s="61" t="str">
        <f>IF($A41="","",IF(COUNTIFS('Nhật ký bảo trì'!$D$6:$D$405,$A41,'Nhật ký bảo trì'!$Q$6:$Q$405,"Hoàn thành",'Nhật ký bảo trì'!$B$6:$B$405,"&gt;="&amp;O$5,'Nhật ký bảo trì'!$B$6:$B$405,"&lt;="&amp;EOMONTH(O$5,0))&gt;0,"✔",IF(((EOMONTH(O$5,0)&gt;='Kế hoạch định kỳ'!$W41)*(INT((EOMONTH(O$5,0)-'Kế hoạch định kỳ'!$W41)/'Kế hoạch định kỳ'!$X41)+1)-(O$5-1&gt;='Kế hoạch định kỳ'!$W41)*(INT((O$5-1-'Kế hoạch định kỳ'!$W41)/'Kế hoạch định kỳ'!$X41)+1))&gt;0,IF(EOMONTH(O$5,0)&lt;'Tổng quan'!$B$11,"✖","○"),"")))</f>
        <v/>
      </c>
      <c r="P41" s="61" t="str">
        <f>IF($A41="","",IF(COUNTIFS('Nhật ký bảo trì'!$D$6:$D$405,$A41,'Nhật ký bảo trì'!$Q$6:$Q$405,"Hoàn thành",'Nhật ký bảo trì'!$B$6:$B$405,"&gt;="&amp;P$5,'Nhật ký bảo trì'!$B$6:$B$405,"&lt;="&amp;EOMONTH(P$5,0))&gt;0,"✔",IF(((EOMONTH(P$5,0)&gt;='Kế hoạch định kỳ'!$W41)*(INT((EOMONTH(P$5,0)-'Kế hoạch định kỳ'!$W41)/'Kế hoạch định kỳ'!$X41)+1)-(P$5-1&gt;='Kế hoạch định kỳ'!$W41)*(INT((P$5-1-'Kế hoạch định kỳ'!$W41)/'Kế hoạch định kỳ'!$X41)+1))&gt;0,IF(EOMONTH(P$5,0)&lt;'Tổng quan'!$B$11,"✖","○"),"")))</f>
        <v/>
      </c>
      <c r="Q41" s="30" t="str">
        <f>IF($A41="","",COUNTIFS('Nhật ký bảo trì'!$D$6:$D$405,$A41,'Nhật ký bảo trì'!$Q$6:$Q$405,"Hoàn thành",'Nhật ký bảo trì'!$B$6:$B$405,"&gt;="&amp;DATE('Tổng quan'!$B$6,1,1),'Nhật ký bảo trì'!$B$6:$B$405,"&lt;="&amp;DATE('Tổng quan'!$B$6,12,31)))</f>
        <v/>
      </c>
      <c r="R41" s="30" t="str">
        <f t="shared" si="1"/>
        <v/>
      </c>
    </row>
    <row r="42" ht="24.0" customHeight="1">
      <c r="A42" s="10" t="str">
        <f>IF('Kế hoạch định kỳ'!$B42="","",'Kế hoạch định kỳ'!$B42)</f>
        <v/>
      </c>
      <c r="B42" s="14" t="str">
        <f>IF('Kế hoạch định kỳ'!$B42="","",'Kế hoạch định kỳ'!$D42)</f>
        <v/>
      </c>
      <c r="C42" s="18" t="str">
        <f>IF('Kế hoạch định kỳ'!$B42="","",'Kế hoạch định kỳ'!$F42)</f>
        <v/>
      </c>
      <c r="D42" s="10" t="str">
        <f>IF('Kế hoạch định kỳ'!$B42="","",IF('Kế hoạch định kỳ'!$I42&lt;&gt;"",'Kế hoạch định kỳ'!$I42&amp;" ngày",'Kế hoạch định kỳ'!$H42))</f>
        <v/>
      </c>
      <c r="E42" s="24" t="str">
        <f>IF($A42="","",IF(COUNTIFS('Nhật ký bảo trì'!$D$6:$D$405,$A42,'Nhật ký bảo trì'!$Q$6:$Q$405,"Hoàn thành",'Nhật ký bảo trì'!$B$6:$B$405,"&gt;="&amp;E$5,'Nhật ký bảo trì'!$B$6:$B$405,"&lt;="&amp;EOMONTH(E$5,0))&gt;0,"✔",IF(((EOMONTH(E$5,0)&gt;='Kế hoạch định kỳ'!$W42)*(INT((EOMONTH(E$5,0)-'Kế hoạch định kỳ'!$W42)/'Kế hoạch định kỳ'!$X42)+1)-(E$5-1&gt;='Kế hoạch định kỳ'!$W42)*(INT((E$5-1-'Kế hoạch định kỳ'!$W42)/'Kế hoạch định kỳ'!$X42)+1))&gt;0,IF(EOMONTH(E$5,0)&lt;'Tổng quan'!$B$11,"✖","○"),"")))</f>
        <v/>
      </c>
      <c r="F42" s="24" t="str">
        <f>IF($A42="","",IF(COUNTIFS('Nhật ký bảo trì'!$D$6:$D$405,$A42,'Nhật ký bảo trì'!$Q$6:$Q$405,"Hoàn thành",'Nhật ký bảo trì'!$B$6:$B$405,"&gt;="&amp;F$5,'Nhật ký bảo trì'!$B$6:$B$405,"&lt;="&amp;EOMONTH(F$5,0))&gt;0,"✔",IF(((EOMONTH(F$5,0)&gt;='Kế hoạch định kỳ'!$W42)*(INT((EOMONTH(F$5,0)-'Kế hoạch định kỳ'!$W42)/'Kế hoạch định kỳ'!$X42)+1)-(F$5-1&gt;='Kế hoạch định kỳ'!$W42)*(INT((F$5-1-'Kế hoạch định kỳ'!$W42)/'Kế hoạch định kỳ'!$X42)+1))&gt;0,IF(EOMONTH(F$5,0)&lt;'Tổng quan'!$B$11,"✖","○"),"")))</f>
        <v/>
      </c>
      <c r="G42" s="24" t="str">
        <f>IF($A42="","",IF(COUNTIFS('Nhật ký bảo trì'!$D$6:$D$405,$A42,'Nhật ký bảo trì'!$Q$6:$Q$405,"Hoàn thành",'Nhật ký bảo trì'!$B$6:$B$405,"&gt;="&amp;G$5,'Nhật ký bảo trì'!$B$6:$B$405,"&lt;="&amp;EOMONTH(G$5,0))&gt;0,"✔",IF(((EOMONTH(G$5,0)&gt;='Kế hoạch định kỳ'!$W42)*(INT((EOMONTH(G$5,0)-'Kế hoạch định kỳ'!$W42)/'Kế hoạch định kỳ'!$X42)+1)-(G$5-1&gt;='Kế hoạch định kỳ'!$W42)*(INT((G$5-1-'Kế hoạch định kỳ'!$W42)/'Kế hoạch định kỳ'!$X42)+1))&gt;0,IF(EOMONTH(G$5,0)&lt;'Tổng quan'!$B$11,"✖","○"),"")))</f>
        <v/>
      </c>
      <c r="H42" s="24" t="str">
        <f>IF($A42="","",IF(COUNTIFS('Nhật ký bảo trì'!$D$6:$D$405,$A42,'Nhật ký bảo trì'!$Q$6:$Q$405,"Hoàn thành",'Nhật ký bảo trì'!$B$6:$B$405,"&gt;="&amp;H$5,'Nhật ký bảo trì'!$B$6:$B$405,"&lt;="&amp;EOMONTH(H$5,0))&gt;0,"✔",IF(((EOMONTH(H$5,0)&gt;='Kế hoạch định kỳ'!$W42)*(INT((EOMONTH(H$5,0)-'Kế hoạch định kỳ'!$W42)/'Kế hoạch định kỳ'!$X42)+1)-(H$5-1&gt;='Kế hoạch định kỳ'!$W42)*(INT((H$5-1-'Kế hoạch định kỳ'!$W42)/'Kế hoạch định kỳ'!$X42)+1))&gt;0,IF(EOMONTH(H$5,0)&lt;'Tổng quan'!$B$11,"✖","○"),"")))</f>
        <v/>
      </c>
      <c r="I42" s="24" t="str">
        <f>IF($A42="","",IF(COUNTIFS('Nhật ký bảo trì'!$D$6:$D$405,$A42,'Nhật ký bảo trì'!$Q$6:$Q$405,"Hoàn thành",'Nhật ký bảo trì'!$B$6:$B$405,"&gt;="&amp;I$5,'Nhật ký bảo trì'!$B$6:$B$405,"&lt;="&amp;EOMONTH(I$5,0))&gt;0,"✔",IF(((EOMONTH(I$5,0)&gt;='Kế hoạch định kỳ'!$W42)*(INT((EOMONTH(I$5,0)-'Kế hoạch định kỳ'!$W42)/'Kế hoạch định kỳ'!$X42)+1)-(I$5-1&gt;='Kế hoạch định kỳ'!$W42)*(INT((I$5-1-'Kế hoạch định kỳ'!$W42)/'Kế hoạch định kỳ'!$X42)+1))&gt;0,IF(EOMONTH(I$5,0)&lt;'Tổng quan'!$B$11,"✖","○"),"")))</f>
        <v/>
      </c>
      <c r="J42" s="24" t="str">
        <f>IF($A42="","",IF(COUNTIFS('Nhật ký bảo trì'!$D$6:$D$405,$A42,'Nhật ký bảo trì'!$Q$6:$Q$405,"Hoàn thành",'Nhật ký bảo trì'!$B$6:$B$405,"&gt;="&amp;J$5,'Nhật ký bảo trì'!$B$6:$B$405,"&lt;="&amp;EOMONTH(J$5,0))&gt;0,"✔",IF(((EOMONTH(J$5,0)&gt;='Kế hoạch định kỳ'!$W42)*(INT((EOMONTH(J$5,0)-'Kế hoạch định kỳ'!$W42)/'Kế hoạch định kỳ'!$X42)+1)-(J$5-1&gt;='Kế hoạch định kỳ'!$W42)*(INT((J$5-1-'Kế hoạch định kỳ'!$W42)/'Kế hoạch định kỳ'!$X42)+1))&gt;0,IF(EOMONTH(J$5,0)&lt;'Tổng quan'!$B$11,"✖","○"),"")))</f>
        <v/>
      </c>
      <c r="K42" s="24" t="str">
        <f>IF($A42="","",IF(COUNTIFS('Nhật ký bảo trì'!$D$6:$D$405,$A42,'Nhật ký bảo trì'!$Q$6:$Q$405,"Hoàn thành",'Nhật ký bảo trì'!$B$6:$B$405,"&gt;="&amp;K$5,'Nhật ký bảo trì'!$B$6:$B$405,"&lt;="&amp;EOMONTH(K$5,0))&gt;0,"✔",IF(((EOMONTH(K$5,0)&gt;='Kế hoạch định kỳ'!$W42)*(INT((EOMONTH(K$5,0)-'Kế hoạch định kỳ'!$W42)/'Kế hoạch định kỳ'!$X42)+1)-(K$5-1&gt;='Kế hoạch định kỳ'!$W42)*(INT((K$5-1-'Kế hoạch định kỳ'!$W42)/'Kế hoạch định kỳ'!$X42)+1))&gt;0,IF(EOMONTH(K$5,0)&lt;'Tổng quan'!$B$11,"✖","○"),"")))</f>
        <v/>
      </c>
      <c r="L42" s="24" t="str">
        <f>IF($A42="","",IF(COUNTIFS('Nhật ký bảo trì'!$D$6:$D$405,$A42,'Nhật ký bảo trì'!$Q$6:$Q$405,"Hoàn thành",'Nhật ký bảo trì'!$B$6:$B$405,"&gt;="&amp;L$5,'Nhật ký bảo trì'!$B$6:$B$405,"&lt;="&amp;EOMONTH(L$5,0))&gt;0,"✔",IF(((EOMONTH(L$5,0)&gt;='Kế hoạch định kỳ'!$W42)*(INT((EOMONTH(L$5,0)-'Kế hoạch định kỳ'!$W42)/'Kế hoạch định kỳ'!$X42)+1)-(L$5-1&gt;='Kế hoạch định kỳ'!$W42)*(INT((L$5-1-'Kế hoạch định kỳ'!$W42)/'Kế hoạch định kỳ'!$X42)+1))&gt;0,IF(EOMONTH(L$5,0)&lt;'Tổng quan'!$B$11,"✖","○"),"")))</f>
        <v/>
      </c>
      <c r="M42" s="24" t="str">
        <f>IF($A42="","",IF(COUNTIFS('Nhật ký bảo trì'!$D$6:$D$405,$A42,'Nhật ký bảo trì'!$Q$6:$Q$405,"Hoàn thành",'Nhật ký bảo trì'!$B$6:$B$405,"&gt;="&amp;M$5,'Nhật ký bảo trì'!$B$6:$B$405,"&lt;="&amp;EOMONTH(M$5,0))&gt;0,"✔",IF(((EOMONTH(M$5,0)&gt;='Kế hoạch định kỳ'!$W42)*(INT((EOMONTH(M$5,0)-'Kế hoạch định kỳ'!$W42)/'Kế hoạch định kỳ'!$X42)+1)-(M$5-1&gt;='Kế hoạch định kỳ'!$W42)*(INT((M$5-1-'Kế hoạch định kỳ'!$W42)/'Kế hoạch định kỳ'!$X42)+1))&gt;0,IF(EOMONTH(M$5,0)&lt;'Tổng quan'!$B$11,"✖","○"),"")))</f>
        <v/>
      </c>
      <c r="N42" s="24" t="str">
        <f>IF($A42="","",IF(COUNTIFS('Nhật ký bảo trì'!$D$6:$D$405,$A42,'Nhật ký bảo trì'!$Q$6:$Q$405,"Hoàn thành",'Nhật ký bảo trì'!$B$6:$B$405,"&gt;="&amp;N$5,'Nhật ký bảo trì'!$B$6:$B$405,"&lt;="&amp;EOMONTH(N$5,0))&gt;0,"✔",IF(((EOMONTH(N$5,0)&gt;='Kế hoạch định kỳ'!$W42)*(INT((EOMONTH(N$5,0)-'Kế hoạch định kỳ'!$W42)/'Kế hoạch định kỳ'!$X42)+1)-(N$5-1&gt;='Kế hoạch định kỳ'!$W42)*(INT((N$5-1-'Kế hoạch định kỳ'!$W42)/'Kế hoạch định kỳ'!$X42)+1))&gt;0,IF(EOMONTH(N$5,0)&lt;'Tổng quan'!$B$11,"✖","○"),"")))</f>
        <v/>
      </c>
      <c r="O42" s="24" t="str">
        <f>IF($A42="","",IF(COUNTIFS('Nhật ký bảo trì'!$D$6:$D$405,$A42,'Nhật ký bảo trì'!$Q$6:$Q$405,"Hoàn thành",'Nhật ký bảo trì'!$B$6:$B$405,"&gt;="&amp;O$5,'Nhật ký bảo trì'!$B$6:$B$405,"&lt;="&amp;EOMONTH(O$5,0))&gt;0,"✔",IF(((EOMONTH(O$5,0)&gt;='Kế hoạch định kỳ'!$W42)*(INT((EOMONTH(O$5,0)-'Kế hoạch định kỳ'!$W42)/'Kế hoạch định kỳ'!$X42)+1)-(O$5-1&gt;='Kế hoạch định kỳ'!$W42)*(INT((O$5-1-'Kế hoạch định kỳ'!$W42)/'Kế hoạch định kỳ'!$X42)+1))&gt;0,IF(EOMONTH(O$5,0)&lt;'Tổng quan'!$B$11,"✖","○"),"")))</f>
        <v/>
      </c>
      <c r="P42" s="24" t="str">
        <f>IF($A42="","",IF(COUNTIFS('Nhật ký bảo trì'!$D$6:$D$405,$A42,'Nhật ký bảo trì'!$Q$6:$Q$405,"Hoàn thành",'Nhật ký bảo trì'!$B$6:$B$405,"&gt;="&amp;P$5,'Nhật ký bảo trì'!$B$6:$B$405,"&lt;="&amp;EOMONTH(P$5,0))&gt;0,"✔",IF(((EOMONTH(P$5,0)&gt;='Kế hoạch định kỳ'!$W42)*(INT((EOMONTH(P$5,0)-'Kế hoạch định kỳ'!$W42)/'Kế hoạch định kỳ'!$X42)+1)-(P$5-1&gt;='Kế hoạch định kỳ'!$W42)*(INT((P$5-1-'Kế hoạch định kỳ'!$W42)/'Kế hoạch định kỳ'!$X42)+1))&gt;0,IF(EOMONTH(P$5,0)&lt;'Tổng quan'!$B$11,"✖","○"),"")))</f>
        <v/>
      </c>
      <c r="Q42" s="16" t="str">
        <f>IF($A42="","",COUNTIFS('Nhật ký bảo trì'!$D$6:$D$405,$A42,'Nhật ký bảo trì'!$Q$6:$Q$405,"Hoàn thành",'Nhật ký bảo trì'!$B$6:$B$405,"&gt;="&amp;DATE('Tổng quan'!$B$6,1,1),'Nhật ký bảo trì'!$B$6:$B$405,"&lt;="&amp;DATE('Tổng quan'!$B$6,12,31)))</f>
        <v/>
      </c>
      <c r="R42" s="16" t="str">
        <f t="shared" si="1"/>
        <v/>
      </c>
    </row>
    <row r="43" ht="24.0" customHeight="1">
      <c r="A43" s="26" t="str">
        <f>IF('Kế hoạch định kỳ'!$B43="","",'Kế hoạch định kỳ'!$B43)</f>
        <v/>
      </c>
      <c r="B43" s="28" t="str">
        <f>IF('Kế hoạch định kỳ'!$B43="","",'Kế hoạch định kỳ'!$D43)</f>
        <v/>
      </c>
      <c r="C43" s="56" t="str">
        <f>IF('Kế hoạch định kỳ'!$B43="","",'Kế hoạch định kỳ'!$F43)</f>
        <v/>
      </c>
      <c r="D43" s="26" t="str">
        <f>IF('Kế hoạch định kỳ'!$B43="","",IF('Kế hoạch định kỳ'!$I43&lt;&gt;"",'Kế hoạch định kỳ'!$I43&amp;" ngày",'Kế hoạch định kỳ'!$H43))</f>
        <v/>
      </c>
      <c r="E43" s="61" t="str">
        <f>IF($A43="","",IF(COUNTIFS('Nhật ký bảo trì'!$D$6:$D$405,$A43,'Nhật ký bảo trì'!$Q$6:$Q$405,"Hoàn thành",'Nhật ký bảo trì'!$B$6:$B$405,"&gt;="&amp;E$5,'Nhật ký bảo trì'!$B$6:$B$405,"&lt;="&amp;EOMONTH(E$5,0))&gt;0,"✔",IF(((EOMONTH(E$5,0)&gt;='Kế hoạch định kỳ'!$W43)*(INT((EOMONTH(E$5,0)-'Kế hoạch định kỳ'!$W43)/'Kế hoạch định kỳ'!$X43)+1)-(E$5-1&gt;='Kế hoạch định kỳ'!$W43)*(INT((E$5-1-'Kế hoạch định kỳ'!$W43)/'Kế hoạch định kỳ'!$X43)+1))&gt;0,IF(EOMONTH(E$5,0)&lt;'Tổng quan'!$B$11,"✖","○"),"")))</f>
        <v/>
      </c>
      <c r="F43" s="61" t="str">
        <f>IF($A43="","",IF(COUNTIFS('Nhật ký bảo trì'!$D$6:$D$405,$A43,'Nhật ký bảo trì'!$Q$6:$Q$405,"Hoàn thành",'Nhật ký bảo trì'!$B$6:$B$405,"&gt;="&amp;F$5,'Nhật ký bảo trì'!$B$6:$B$405,"&lt;="&amp;EOMONTH(F$5,0))&gt;0,"✔",IF(((EOMONTH(F$5,0)&gt;='Kế hoạch định kỳ'!$W43)*(INT((EOMONTH(F$5,0)-'Kế hoạch định kỳ'!$W43)/'Kế hoạch định kỳ'!$X43)+1)-(F$5-1&gt;='Kế hoạch định kỳ'!$W43)*(INT((F$5-1-'Kế hoạch định kỳ'!$W43)/'Kế hoạch định kỳ'!$X43)+1))&gt;0,IF(EOMONTH(F$5,0)&lt;'Tổng quan'!$B$11,"✖","○"),"")))</f>
        <v/>
      </c>
      <c r="G43" s="61" t="str">
        <f>IF($A43="","",IF(COUNTIFS('Nhật ký bảo trì'!$D$6:$D$405,$A43,'Nhật ký bảo trì'!$Q$6:$Q$405,"Hoàn thành",'Nhật ký bảo trì'!$B$6:$B$405,"&gt;="&amp;G$5,'Nhật ký bảo trì'!$B$6:$B$405,"&lt;="&amp;EOMONTH(G$5,0))&gt;0,"✔",IF(((EOMONTH(G$5,0)&gt;='Kế hoạch định kỳ'!$W43)*(INT((EOMONTH(G$5,0)-'Kế hoạch định kỳ'!$W43)/'Kế hoạch định kỳ'!$X43)+1)-(G$5-1&gt;='Kế hoạch định kỳ'!$W43)*(INT((G$5-1-'Kế hoạch định kỳ'!$W43)/'Kế hoạch định kỳ'!$X43)+1))&gt;0,IF(EOMONTH(G$5,0)&lt;'Tổng quan'!$B$11,"✖","○"),"")))</f>
        <v/>
      </c>
      <c r="H43" s="61" t="str">
        <f>IF($A43="","",IF(COUNTIFS('Nhật ký bảo trì'!$D$6:$D$405,$A43,'Nhật ký bảo trì'!$Q$6:$Q$405,"Hoàn thành",'Nhật ký bảo trì'!$B$6:$B$405,"&gt;="&amp;H$5,'Nhật ký bảo trì'!$B$6:$B$405,"&lt;="&amp;EOMONTH(H$5,0))&gt;0,"✔",IF(((EOMONTH(H$5,0)&gt;='Kế hoạch định kỳ'!$W43)*(INT((EOMONTH(H$5,0)-'Kế hoạch định kỳ'!$W43)/'Kế hoạch định kỳ'!$X43)+1)-(H$5-1&gt;='Kế hoạch định kỳ'!$W43)*(INT((H$5-1-'Kế hoạch định kỳ'!$W43)/'Kế hoạch định kỳ'!$X43)+1))&gt;0,IF(EOMONTH(H$5,0)&lt;'Tổng quan'!$B$11,"✖","○"),"")))</f>
        <v/>
      </c>
      <c r="I43" s="61" t="str">
        <f>IF($A43="","",IF(COUNTIFS('Nhật ký bảo trì'!$D$6:$D$405,$A43,'Nhật ký bảo trì'!$Q$6:$Q$405,"Hoàn thành",'Nhật ký bảo trì'!$B$6:$B$405,"&gt;="&amp;I$5,'Nhật ký bảo trì'!$B$6:$B$405,"&lt;="&amp;EOMONTH(I$5,0))&gt;0,"✔",IF(((EOMONTH(I$5,0)&gt;='Kế hoạch định kỳ'!$W43)*(INT((EOMONTH(I$5,0)-'Kế hoạch định kỳ'!$W43)/'Kế hoạch định kỳ'!$X43)+1)-(I$5-1&gt;='Kế hoạch định kỳ'!$W43)*(INT((I$5-1-'Kế hoạch định kỳ'!$W43)/'Kế hoạch định kỳ'!$X43)+1))&gt;0,IF(EOMONTH(I$5,0)&lt;'Tổng quan'!$B$11,"✖","○"),"")))</f>
        <v/>
      </c>
      <c r="J43" s="61" t="str">
        <f>IF($A43="","",IF(COUNTIFS('Nhật ký bảo trì'!$D$6:$D$405,$A43,'Nhật ký bảo trì'!$Q$6:$Q$405,"Hoàn thành",'Nhật ký bảo trì'!$B$6:$B$405,"&gt;="&amp;J$5,'Nhật ký bảo trì'!$B$6:$B$405,"&lt;="&amp;EOMONTH(J$5,0))&gt;0,"✔",IF(((EOMONTH(J$5,0)&gt;='Kế hoạch định kỳ'!$W43)*(INT((EOMONTH(J$5,0)-'Kế hoạch định kỳ'!$W43)/'Kế hoạch định kỳ'!$X43)+1)-(J$5-1&gt;='Kế hoạch định kỳ'!$W43)*(INT((J$5-1-'Kế hoạch định kỳ'!$W43)/'Kế hoạch định kỳ'!$X43)+1))&gt;0,IF(EOMONTH(J$5,0)&lt;'Tổng quan'!$B$11,"✖","○"),"")))</f>
        <v/>
      </c>
      <c r="K43" s="61" t="str">
        <f>IF($A43="","",IF(COUNTIFS('Nhật ký bảo trì'!$D$6:$D$405,$A43,'Nhật ký bảo trì'!$Q$6:$Q$405,"Hoàn thành",'Nhật ký bảo trì'!$B$6:$B$405,"&gt;="&amp;K$5,'Nhật ký bảo trì'!$B$6:$B$405,"&lt;="&amp;EOMONTH(K$5,0))&gt;0,"✔",IF(((EOMONTH(K$5,0)&gt;='Kế hoạch định kỳ'!$W43)*(INT((EOMONTH(K$5,0)-'Kế hoạch định kỳ'!$W43)/'Kế hoạch định kỳ'!$X43)+1)-(K$5-1&gt;='Kế hoạch định kỳ'!$W43)*(INT((K$5-1-'Kế hoạch định kỳ'!$W43)/'Kế hoạch định kỳ'!$X43)+1))&gt;0,IF(EOMONTH(K$5,0)&lt;'Tổng quan'!$B$11,"✖","○"),"")))</f>
        <v/>
      </c>
      <c r="L43" s="61" t="str">
        <f>IF($A43="","",IF(COUNTIFS('Nhật ký bảo trì'!$D$6:$D$405,$A43,'Nhật ký bảo trì'!$Q$6:$Q$405,"Hoàn thành",'Nhật ký bảo trì'!$B$6:$B$405,"&gt;="&amp;L$5,'Nhật ký bảo trì'!$B$6:$B$405,"&lt;="&amp;EOMONTH(L$5,0))&gt;0,"✔",IF(((EOMONTH(L$5,0)&gt;='Kế hoạch định kỳ'!$W43)*(INT((EOMONTH(L$5,0)-'Kế hoạch định kỳ'!$W43)/'Kế hoạch định kỳ'!$X43)+1)-(L$5-1&gt;='Kế hoạch định kỳ'!$W43)*(INT((L$5-1-'Kế hoạch định kỳ'!$W43)/'Kế hoạch định kỳ'!$X43)+1))&gt;0,IF(EOMONTH(L$5,0)&lt;'Tổng quan'!$B$11,"✖","○"),"")))</f>
        <v/>
      </c>
      <c r="M43" s="61" t="str">
        <f>IF($A43="","",IF(COUNTIFS('Nhật ký bảo trì'!$D$6:$D$405,$A43,'Nhật ký bảo trì'!$Q$6:$Q$405,"Hoàn thành",'Nhật ký bảo trì'!$B$6:$B$405,"&gt;="&amp;M$5,'Nhật ký bảo trì'!$B$6:$B$405,"&lt;="&amp;EOMONTH(M$5,0))&gt;0,"✔",IF(((EOMONTH(M$5,0)&gt;='Kế hoạch định kỳ'!$W43)*(INT((EOMONTH(M$5,0)-'Kế hoạch định kỳ'!$W43)/'Kế hoạch định kỳ'!$X43)+1)-(M$5-1&gt;='Kế hoạch định kỳ'!$W43)*(INT((M$5-1-'Kế hoạch định kỳ'!$W43)/'Kế hoạch định kỳ'!$X43)+1))&gt;0,IF(EOMONTH(M$5,0)&lt;'Tổng quan'!$B$11,"✖","○"),"")))</f>
        <v/>
      </c>
      <c r="N43" s="61" t="str">
        <f>IF($A43="","",IF(COUNTIFS('Nhật ký bảo trì'!$D$6:$D$405,$A43,'Nhật ký bảo trì'!$Q$6:$Q$405,"Hoàn thành",'Nhật ký bảo trì'!$B$6:$B$405,"&gt;="&amp;N$5,'Nhật ký bảo trì'!$B$6:$B$405,"&lt;="&amp;EOMONTH(N$5,0))&gt;0,"✔",IF(((EOMONTH(N$5,0)&gt;='Kế hoạch định kỳ'!$W43)*(INT((EOMONTH(N$5,0)-'Kế hoạch định kỳ'!$W43)/'Kế hoạch định kỳ'!$X43)+1)-(N$5-1&gt;='Kế hoạch định kỳ'!$W43)*(INT((N$5-1-'Kế hoạch định kỳ'!$W43)/'Kế hoạch định kỳ'!$X43)+1))&gt;0,IF(EOMONTH(N$5,0)&lt;'Tổng quan'!$B$11,"✖","○"),"")))</f>
        <v/>
      </c>
      <c r="O43" s="61" t="str">
        <f>IF($A43="","",IF(COUNTIFS('Nhật ký bảo trì'!$D$6:$D$405,$A43,'Nhật ký bảo trì'!$Q$6:$Q$405,"Hoàn thành",'Nhật ký bảo trì'!$B$6:$B$405,"&gt;="&amp;O$5,'Nhật ký bảo trì'!$B$6:$B$405,"&lt;="&amp;EOMONTH(O$5,0))&gt;0,"✔",IF(((EOMONTH(O$5,0)&gt;='Kế hoạch định kỳ'!$W43)*(INT((EOMONTH(O$5,0)-'Kế hoạch định kỳ'!$W43)/'Kế hoạch định kỳ'!$X43)+1)-(O$5-1&gt;='Kế hoạch định kỳ'!$W43)*(INT((O$5-1-'Kế hoạch định kỳ'!$W43)/'Kế hoạch định kỳ'!$X43)+1))&gt;0,IF(EOMONTH(O$5,0)&lt;'Tổng quan'!$B$11,"✖","○"),"")))</f>
        <v/>
      </c>
      <c r="P43" s="61" t="str">
        <f>IF($A43="","",IF(COUNTIFS('Nhật ký bảo trì'!$D$6:$D$405,$A43,'Nhật ký bảo trì'!$Q$6:$Q$405,"Hoàn thành",'Nhật ký bảo trì'!$B$6:$B$405,"&gt;="&amp;P$5,'Nhật ký bảo trì'!$B$6:$B$405,"&lt;="&amp;EOMONTH(P$5,0))&gt;0,"✔",IF(((EOMONTH(P$5,0)&gt;='Kế hoạch định kỳ'!$W43)*(INT((EOMONTH(P$5,0)-'Kế hoạch định kỳ'!$W43)/'Kế hoạch định kỳ'!$X43)+1)-(P$5-1&gt;='Kế hoạch định kỳ'!$W43)*(INT((P$5-1-'Kế hoạch định kỳ'!$W43)/'Kế hoạch định kỳ'!$X43)+1))&gt;0,IF(EOMONTH(P$5,0)&lt;'Tổng quan'!$B$11,"✖","○"),"")))</f>
        <v/>
      </c>
      <c r="Q43" s="30" t="str">
        <f>IF($A43="","",COUNTIFS('Nhật ký bảo trì'!$D$6:$D$405,$A43,'Nhật ký bảo trì'!$Q$6:$Q$405,"Hoàn thành",'Nhật ký bảo trì'!$B$6:$B$405,"&gt;="&amp;DATE('Tổng quan'!$B$6,1,1),'Nhật ký bảo trì'!$B$6:$B$405,"&lt;="&amp;DATE('Tổng quan'!$B$6,12,31)))</f>
        <v/>
      </c>
      <c r="R43" s="30" t="str">
        <f t="shared" si="1"/>
        <v/>
      </c>
    </row>
    <row r="44" ht="24.0" customHeight="1">
      <c r="A44" s="10" t="str">
        <f>IF('Kế hoạch định kỳ'!$B44="","",'Kế hoạch định kỳ'!$B44)</f>
        <v/>
      </c>
      <c r="B44" s="14" t="str">
        <f>IF('Kế hoạch định kỳ'!$B44="","",'Kế hoạch định kỳ'!$D44)</f>
        <v/>
      </c>
      <c r="C44" s="18" t="str">
        <f>IF('Kế hoạch định kỳ'!$B44="","",'Kế hoạch định kỳ'!$F44)</f>
        <v/>
      </c>
      <c r="D44" s="10" t="str">
        <f>IF('Kế hoạch định kỳ'!$B44="","",IF('Kế hoạch định kỳ'!$I44&lt;&gt;"",'Kế hoạch định kỳ'!$I44&amp;" ngày",'Kế hoạch định kỳ'!$H44))</f>
        <v/>
      </c>
      <c r="E44" s="24" t="str">
        <f>IF($A44="","",IF(COUNTIFS('Nhật ký bảo trì'!$D$6:$D$405,$A44,'Nhật ký bảo trì'!$Q$6:$Q$405,"Hoàn thành",'Nhật ký bảo trì'!$B$6:$B$405,"&gt;="&amp;E$5,'Nhật ký bảo trì'!$B$6:$B$405,"&lt;="&amp;EOMONTH(E$5,0))&gt;0,"✔",IF(((EOMONTH(E$5,0)&gt;='Kế hoạch định kỳ'!$W44)*(INT((EOMONTH(E$5,0)-'Kế hoạch định kỳ'!$W44)/'Kế hoạch định kỳ'!$X44)+1)-(E$5-1&gt;='Kế hoạch định kỳ'!$W44)*(INT((E$5-1-'Kế hoạch định kỳ'!$W44)/'Kế hoạch định kỳ'!$X44)+1))&gt;0,IF(EOMONTH(E$5,0)&lt;'Tổng quan'!$B$11,"✖","○"),"")))</f>
        <v/>
      </c>
      <c r="F44" s="24" t="str">
        <f>IF($A44="","",IF(COUNTIFS('Nhật ký bảo trì'!$D$6:$D$405,$A44,'Nhật ký bảo trì'!$Q$6:$Q$405,"Hoàn thành",'Nhật ký bảo trì'!$B$6:$B$405,"&gt;="&amp;F$5,'Nhật ký bảo trì'!$B$6:$B$405,"&lt;="&amp;EOMONTH(F$5,0))&gt;0,"✔",IF(((EOMONTH(F$5,0)&gt;='Kế hoạch định kỳ'!$W44)*(INT((EOMONTH(F$5,0)-'Kế hoạch định kỳ'!$W44)/'Kế hoạch định kỳ'!$X44)+1)-(F$5-1&gt;='Kế hoạch định kỳ'!$W44)*(INT((F$5-1-'Kế hoạch định kỳ'!$W44)/'Kế hoạch định kỳ'!$X44)+1))&gt;0,IF(EOMONTH(F$5,0)&lt;'Tổng quan'!$B$11,"✖","○"),"")))</f>
        <v/>
      </c>
      <c r="G44" s="24" t="str">
        <f>IF($A44="","",IF(COUNTIFS('Nhật ký bảo trì'!$D$6:$D$405,$A44,'Nhật ký bảo trì'!$Q$6:$Q$405,"Hoàn thành",'Nhật ký bảo trì'!$B$6:$B$405,"&gt;="&amp;G$5,'Nhật ký bảo trì'!$B$6:$B$405,"&lt;="&amp;EOMONTH(G$5,0))&gt;0,"✔",IF(((EOMONTH(G$5,0)&gt;='Kế hoạch định kỳ'!$W44)*(INT((EOMONTH(G$5,0)-'Kế hoạch định kỳ'!$W44)/'Kế hoạch định kỳ'!$X44)+1)-(G$5-1&gt;='Kế hoạch định kỳ'!$W44)*(INT((G$5-1-'Kế hoạch định kỳ'!$W44)/'Kế hoạch định kỳ'!$X44)+1))&gt;0,IF(EOMONTH(G$5,0)&lt;'Tổng quan'!$B$11,"✖","○"),"")))</f>
        <v/>
      </c>
      <c r="H44" s="24" t="str">
        <f>IF($A44="","",IF(COUNTIFS('Nhật ký bảo trì'!$D$6:$D$405,$A44,'Nhật ký bảo trì'!$Q$6:$Q$405,"Hoàn thành",'Nhật ký bảo trì'!$B$6:$B$405,"&gt;="&amp;H$5,'Nhật ký bảo trì'!$B$6:$B$405,"&lt;="&amp;EOMONTH(H$5,0))&gt;0,"✔",IF(((EOMONTH(H$5,0)&gt;='Kế hoạch định kỳ'!$W44)*(INT((EOMONTH(H$5,0)-'Kế hoạch định kỳ'!$W44)/'Kế hoạch định kỳ'!$X44)+1)-(H$5-1&gt;='Kế hoạch định kỳ'!$W44)*(INT((H$5-1-'Kế hoạch định kỳ'!$W44)/'Kế hoạch định kỳ'!$X44)+1))&gt;0,IF(EOMONTH(H$5,0)&lt;'Tổng quan'!$B$11,"✖","○"),"")))</f>
        <v/>
      </c>
      <c r="I44" s="24" t="str">
        <f>IF($A44="","",IF(COUNTIFS('Nhật ký bảo trì'!$D$6:$D$405,$A44,'Nhật ký bảo trì'!$Q$6:$Q$405,"Hoàn thành",'Nhật ký bảo trì'!$B$6:$B$405,"&gt;="&amp;I$5,'Nhật ký bảo trì'!$B$6:$B$405,"&lt;="&amp;EOMONTH(I$5,0))&gt;0,"✔",IF(((EOMONTH(I$5,0)&gt;='Kế hoạch định kỳ'!$W44)*(INT((EOMONTH(I$5,0)-'Kế hoạch định kỳ'!$W44)/'Kế hoạch định kỳ'!$X44)+1)-(I$5-1&gt;='Kế hoạch định kỳ'!$W44)*(INT((I$5-1-'Kế hoạch định kỳ'!$W44)/'Kế hoạch định kỳ'!$X44)+1))&gt;0,IF(EOMONTH(I$5,0)&lt;'Tổng quan'!$B$11,"✖","○"),"")))</f>
        <v/>
      </c>
      <c r="J44" s="24" t="str">
        <f>IF($A44="","",IF(COUNTIFS('Nhật ký bảo trì'!$D$6:$D$405,$A44,'Nhật ký bảo trì'!$Q$6:$Q$405,"Hoàn thành",'Nhật ký bảo trì'!$B$6:$B$405,"&gt;="&amp;J$5,'Nhật ký bảo trì'!$B$6:$B$405,"&lt;="&amp;EOMONTH(J$5,0))&gt;0,"✔",IF(((EOMONTH(J$5,0)&gt;='Kế hoạch định kỳ'!$W44)*(INT((EOMONTH(J$5,0)-'Kế hoạch định kỳ'!$W44)/'Kế hoạch định kỳ'!$X44)+1)-(J$5-1&gt;='Kế hoạch định kỳ'!$W44)*(INT((J$5-1-'Kế hoạch định kỳ'!$W44)/'Kế hoạch định kỳ'!$X44)+1))&gt;0,IF(EOMONTH(J$5,0)&lt;'Tổng quan'!$B$11,"✖","○"),"")))</f>
        <v/>
      </c>
      <c r="K44" s="24" t="str">
        <f>IF($A44="","",IF(COUNTIFS('Nhật ký bảo trì'!$D$6:$D$405,$A44,'Nhật ký bảo trì'!$Q$6:$Q$405,"Hoàn thành",'Nhật ký bảo trì'!$B$6:$B$405,"&gt;="&amp;K$5,'Nhật ký bảo trì'!$B$6:$B$405,"&lt;="&amp;EOMONTH(K$5,0))&gt;0,"✔",IF(((EOMONTH(K$5,0)&gt;='Kế hoạch định kỳ'!$W44)*(INT((EOMONTH(K$5,0)-'Kế hoạch định kỳ'!$W44)/'Kế hoạch định kỳ'!$X44)+1)-(K$5-1&gt;='Kế hoạch định kỳ'!$W44)*(INT((K$5-1-'Kế hoạch định kỳ'!$W44)/'Kế hoạch định kỳ'!$X44)+1))&gt;0,IF(EOMONTH(K$5,0)&lt;'Tổng quan'!$B$11,"✖","○"),"")))</f>
        <v/>
      </c>
      <c r="L44" s="24" t="str">
        <f>IF($A44="","",IF(COUNTIFS('Nhật ký bảo trì'!$D$6:$D$405,$A44,'Nhật ký bảo trì'!$Q$6:$Q$405,"Hoàn thành",'Nhật ký bảo trì'!$B$6:$B$405,"&gt;="&amp;L$5,'Nhật ký bảo trì'!$B$6:$B$405,"&lt;="&amp;EOMONTH(L$5,0))&gt;0,"✔",IF(((EOMONTH(L$5,0)&gt;='Kế hoạch định kỳ'!$W44)*(INT((EOMONTH(L$5,0)-'Kế hoạch định kỳ'!$W44)/'Kế hoạch định kỳ'!$X44)+1)-(L$5-1&gt;='Kế hoạch định kỳ'!$W44)*(INT((L$5-1-'Kế hoạch định kỳ'!$W44)/'Kế hoạch định kỳ'!$X44)+1))&gt;0,IF(EOMONTH(L$5,0)&lt;'Tổng quan'!$B$11,"✖","○"),"")))</f>
        <v/>
      </c>
      <c r="M44" s="24" t="str">
        <f>IF($A44="","",IF(COUNTIFS('Nhật ký bảo trì'!$D$6:$D$405,$A44,'Nhật ký bảo trì'!$Q$6:$Q$405,"Hoàn thành",'Nhật ký bảo trì'!$B$6:$B$405,"&gt;="&amp;M$5,'Nhật ký bảo trì'!$B$6:$B$405,"&lt;="&amp;EOMONTH(M$5,0))&gt;0,"✔",IF(((EOMONTH(M$5,0)&gt;='Kế hoạch định kỳ'!$W44)*(INT((EOMONTH(M$5,0)-'Kế hoạch định kỳ'!$W44)/'Kế hoạch định kỳ'!$X44)+1)-(M$5-1&gt;='Kế hoạch định kỳ'!$W44)*(INT((M$5-1-'Kế hoạch định kỳ'!$W44)/'Kế hoạch định kỳ'!$X44)+1))&gt;0,IF(EOMONTH(M$5,0)&lt;'Tổng quan'!$B$11,"✖","○"),"")))</f>
        <v/>
      </c>
      <c r="N44" s="24" t="str">
        <f>IF($A44="","",IF(COUNTIFS('Nhật ký bảo trì'!$D$6:$D$405,$A44,'Nhật ký bảo trì'!$Q$6:$Q$405,"Hoàn thành",'Nhật ký bảo trì'!$B$6:$B$405,"&gt;="&amp;N$5,'Nhật ký bảo trì'!$B$6:$B$405,"&lt;="&amp;EOMONTH(N$5,0))&gt;0,"✔",IF(((EOMONTH(N$5,0)&gt;='Kế hoạch định kỳ'!$W44)*(INT((EOMONTH(N$5,0)-'Kế hoạch định kỳ'!$W44)/'Kế hoạch định kỳ'!$X44)+1)-(N$5-1&gt;='Kế hoạch định kỳ'!$W44)*(INT((N$5-1-'Kế hoạch định kỳ'!$W44)/'Kế hoạch định kỳ'!$X44)+1))&gt;0,IF(EOMONTH(N$5,0)&lt;'Tổng quan'!$B$11,"✖","○"),"")))</f>
        <v/>
      </c>
      <c r="O44" s="24" t="str">
        <f>IF($A44="","",IF(COUNTIFS('Nhật ký bảo trì'!$D$6:$D$405,$A44,'Nhật ký bảo trì'!$Q$6:$Q$405,"Hoàn thành",'Nhật ký bảo trì'!$B$6:$B$405,"&gt;="&amp;O$5,'Nhật ký bảo trì'!$B$6:$B$405,"&lt;="&amp;EOMONTH(O$5,0))&gt;0,"✔",IF(((EOMONTH(O$5,0)&gt;='Kế hoạch định kỳ'!$W44)*(INT((EOMONTH(O$5,0)-'Kế hoạch định kỳ'!$W44)/'Kế hoạch định kỳ'!$X44)+1)-(O$5-1&gt;='Kế hoạch định kỳ'!$W44)*(INT((O$5-1-'Kế hoạch định kỳ'!$W44)/'Kế hoạch định kỳ'!$X44)+1))&gt;0,IF(EOMONTH(O$5,0)&lt;'Tổng quan'!$B$11,"✖","○"),"")))</f>
        <v/>
      </c>
      <c r="P44" s="24" t="str">
        <f>IF($A44="","",IF(COUNTIFS('Nhật ký bảo trì'!$D$6:$D$405,$A44,'Nhật ký bảo trì'!$Q$6:$Q$405,"Hoàn thành",'Nhật ký bảo trì'!$B$6:$B$405,"&gt;="&amp;P$5,'Nhật ký bảo trì'!$B$6:$B$405,"&lt;="&amp;EOMONTH(P$5,0))&gt;0,"✔",IF(((EOMONTH(P$5,0)&gt;='Kế hoạch định kỳ'!$W44)*(INT((EOMONTH(P$5,0)-'Kế hoạch định kỳ'!$W44)/'Kế hoạch định kỳ'!$X44)+1)-(P$5-1&gt;='Kế hoạch định kỳ'!$W44)*(INT((P$5-1-'Kế hoạch định kỳ'!$W44)/'Kế hoạch định kỳ'!$X44)+1))&gt;0,IF(EOMONTH(P$5,0)&lt;'Tổng quan'!$B$11,"✖","○"),"")))</f>
        <v/>
      </c>
      <c r="Q44" s="16" t="str">
        <f>IF($A44="","",COUNTIFS('Nhật ký bảo trì'!$D$6:$D$405,$A44,'Nhật ký bảo trì'!$Q$6:$Q$405,"Hoàn thành",'Nhật ký bảo trì'!$B$6:$B$405,"&gt;="&amp;DATE('Tổng quan'!$B$6,1,1),'Nhật ký bảo trì'!$B$6:$B$405,"&lt;="&amp;DATE('Tổng quan'!$B$6,12,31)))</f>
        <v/>
      </c>
      <c r="R44" s="16" t="str">
        <f t="shared" si="1"/>
        <v/>
      </c>
    </row>
    <row r="45" ht="24.0" customHeight="1">
      <c r="A45" s="26" t="str">
        <f>IF('Kế hoạch định kỳ'!$B45="","",'Kế hoạch định kỳ'!$B45)</f>
        <v/>
      </c>
      <c r="B45" s="28" t="str">
        <f>IF('Kế hoạch định kỳ'!$B45="","",'Kế hoạch định kỳ'!$D45)</f>
        <v/>
      </c>
      <c r="C45" s="56" t="str">
        <f>IF('Kế hoạch định kỳ'!$B45="","",'Kế hoạch định kỳ'!$F45)</f>
        <v/>
      </c>
      <c r="D45" s="26" t="str">
        <f>IF('Kế hoạch định kỳ'!$B45="","",IF('Kế hoạch định kỳ'!$I45&lt;&gt;"",'Kế hoạch định kỳ'!$I45&amp;" ngày",'Kế hoạch định kỳ'!$H45))</f>
        <v/>
      </c>
      <c r="E45" s="61" t="str">
        <f>IF($A45="","",IF(COUNTIFS('Nhật ký bảo trì'!$D$6:$D$405,$A45,'Nhật ký bảo trì'!$Q$6:$Q$405,"Hoàn thành",'Nhật ký bảo trì'!$B$6:$B$405,"&gt;="&amp;E$5,'Nhật ký bảo trì'!$B$6:$B$405,"&lt;="&amp;EOMONTH(E$5,0))&gt;0,"✔",IF(((EOMONTH(E$5,0)&gt;='Kế hoạch định kỳ'!$W45)*(INT((EOMONTH(E$5,0)-'Kế hoạch định kỳ'!$W45)/'Kế hoạch định kỳ'!$X45)+1)-(E$5-1&gt;='Kế hoạch định kỳ'!$W45)*(INT((E$5-1-'Kế hoạch định kỳ'!$W45)/'Kế hoạch định kỳ'!$X45)+1))&gt;0,IF(EOMONTH(E$5,0)&lt;'Tổng quan'!$B$11,"✖","○"),"")))</f>
        <v/>
      </c>
      <c r="F45" s="61" t="str">
        <f>IF($A45="","",IF(COUNTIFS('Nhật ký bảo trì'!$D$6:$D$405,$A45,'Nhật ký bảo trì'!$Q$6:$Q$405,"Hoàn thành",'Nhật ký bảo trì'!$B$6:$B$405,"&gt;="&amp;F$5,'Nhật ký bảo trì'!$B$6:$B$405,"&lt;="&amp;EOMONTH(F$5,0))&gt;0,"✔",IF(((EOMONTH(F$5,0)&gt;='Kế hoạch định kỳ'!$W45)*(INT((EOMONTH(F$5,0)-'Kế hoạch định kỳ'!$W45)/'Kế hoạch định kỳ'!$X45)+1)-(F$5-1&gt;='Kế hoạch định kỳ'!$W45)*(INT((F$5-1-'Kế hoạch định kỳ'!$W45)/'Kế hoạch định kỳ'!$X45)+1))&gt;0,IF(EOMONTH(F$5,0)&lt;'Tổng quan'!$B$11,"✖","○"),"")))</f>
        <v/>
      </c>
      <c r="G45" s="61" t="str">
        <f>IF($A45="","",IF(COUNTIFS('Nhật ký bảo trì'!$D$6:$D$405,$A45,'Nhật ký bảo trì'!$Q$6:$Q$405,"Hoàn thành",'Nhật ký bảo trì'!$B$6:$B$405,"&gt;="&amp;G$5,'Nhật ký bảo trì'!$B$6:$B$405,"&lt;="&amp;EOMONTH(G$5,0))&gt;0,"✔",IF(((EOMONTH(G$5,0)&gt;='Kế hoạch định kỳ'!$W45)*(INT((EOMONTH(G$5,0)-'Kế hoạch định kỳ'!$W45)/'Kế hoạch định kỳ'!$X45)+1)-(G$5-1&gt;='Kế hoạch định kỳ'!$W45)*(INT((G$5-1-'Kế hoạch định kỳ'!$W45)/'Kế hoạch định kỳ'!$X45)+1))&gt;0,IF(EOMONTH(G$5,0)&lt;'Tổng quan'!$B$11,"✖","○"),"")))</f>
        <v/>
      </c>
      <c r="H45" s="61" t="str">
        <f>IF($A45="","",IF(COUNTIFS('Nhật ký bảo trì'!$D$6:$D$405,$A45,'Nhật ký bảo trì'!$Q$6:$Q$405,"Hoàn thành",'Nhật ký bảo trì'!$B$6:$B$405,"&gt;="&amp;H$5,'Nhật ký bảo trì'!$B$6:$B$405,"&lt;="&amp;EOMONTH(H$5,0))&gt;0,"✔",IF(((EOMONTH(H$5,0)&gt;='Kế hoạch định kỳ'!$W45)*(INT((EOMONTH(H$5,0)-'Kế hoạch định kỳ'!$W45)/'Kế hoạch định kỳ'!$X45)+1)-(H$5-1&gt;='Kế hoạch định kỳ'!$W45)*(INT((H$5-1-'Kế hoạch định kỳ'!$W45)/'Kế hoạch định kỳ'!$X45)+1))&gt;0,IF(EOMONTH(H$5,0)&lt;'Tổng quan'!$B$11,"✖","○"),"")))</f>
        <v/>
      </c>
      <c r="I45" s="61" t="str">
        <f>IF($A45="","",IF(COUNTIFS('Nhật ký bảo trì'!$D$6:$D$405,$A45,'Nhật ký bảo trì'!$Q$6:$Q$405,"Hoàn thành",'Nhật ký bảo trì'!$B$6:$B$405,"&gt;="&amp;I$5,'Nhật ký bảo trì'!$B$6:$B$405,"&lt;="&amp;EOMONTH(I$5,0))&gt;0,"✔",IF(((EOMONTH(I$5,0)&gt;='Kế hoạch định kỳ'!$W45)*(INT((EOMONTH(I$5,0)-'Kế hoạch định kỳ'!$W45)/'Kế hoạch định kỳ'!$X45)+1)-(I$5-1&gt;='Kế hoạch định kỳ'!$W45)*(INT((I$5-1-'Kế hoạch định kỳ'!$W45)/'Kế hoạch định kỳ'!$X45)+1))&gt;0,IF(EOMONTH(I$5,0)&lt;'Tổng quan'!$B$11,"✖","○"),"")))</f>
        <v/>
      </c>
      <c r="J45" s="61" t="str">
        <f>IF($A45="","",IF(COUNTIFS('Nhật ký bảo trì'!$D$6:$D$405,$A45,'Nhật ký bảo trì'!$Q$6:$Q$405,"Hoàn thành",'Nhật ký bảo trì'!$B$6:$B$405,"&gt;="&amp;J$5,'Nhật ký bảo trì'!$B$6:$B$405,"&lt;="&amp;EOMONTH(J$5,0))&gt;0,"✔",IF(((EOMONTH(J$5,0)&gt;='Kế hoạch định kỳ'!$W45)*(INT((EOMONTH(J$5,0)-'Kế hoạch định kỳ'!$W45)/'Kế hoạch định kỳ'!$X45)+1)-(J$5-1&gt;='Kế hoạch định kỳ'!$W45)*(INT((J$5-1-'Kế hoạch định kỳ'!$W45)/'Kế hoạch định kỳ'!$X45)+1))&gt;0,IF(EOMONTH(J$5,0)&lt;'Tổng quan'!$B$11,"✖","○"),"")))</f>
        <v/>
      </c>
      <c r="K45" s="61" t="str">
        <f>IF($A45="","",IF(COUNTIFS('Nhật ký bảo trì'!$D$6:$D$405,$A45,'Nhật ký bảo trì'!$Q$6:$Q$405,"Hoàn thành",'Nhật ký bảo trì'!$B$6:$B$405,"&gt;="&amp;K$5,'Nhật ký bảo trì'!$B$6:$B$405,"&lt;="&amp;EOMONTH(K$5,0))&gt;0,"✔",IF(((EOMONTH(K$5,0)&gt;='Kế hoạch định kỳ'!$W45)*(INT((EOMONTH(K$5,0)-'Kế hoạch định kỳ'!$W45)/'Kế hoạch định kỳ'!$X45)+1)-(K$5-1&gt;='Kế hoạch định kỳ'!$W45)*(INT((K$5-1-'Kế hoạch định kỳ'!$W45)/'Kế hoạch định kỳ'!$X45)+1))&gt;0,IF(EOMONTH(K$5,0)&lt;'Tổng quan'!$B$11,"✖","○"),"")))</f>
        <v/>
      </c>
      <c r="L45" s="61" t="str">
        <f>IF($A45="","",IF(COUNTIFS('Nhật ký bảo trì'!$D$6:$D$405,$A45,'Nhật ký bảo trì'!$Q$6:$Q$405,"Hoàn thành",'Nhật ký bảo trì'!$B$6:$B$405,"&gt;="&amp;L$5,'Nhật ký bảo trì'!$B$6:$B$405,"&lt;="&amp;EOMONTH(L$5,0))&gt;0,"✔",IF(((EOMONTH(L$5,0)&gt;='Kế hoạch định kỳ'!$W45)*(INT((EOMONTH(L$5,0)-'Kế hoạch định kỳ'!$W45)/'Kế hoạch định kỳ'!$X45)+1)-(L$5-1&gt;='Kế hoạch định kỳ'!$W45)*(INT((L$5-1-'Kế hoạch định kỳ'!$W45)/'Kế hoạch định kỳ'!$X45)+1))&gt;0,IF(EOMONTH(L$5,0)&lt;'Tổng quan'!$B$11,"✖","○"),"")))</f>
        <v/>
      </c>
      <c r="M45" s="61" t="str">
        <f>IF($A45="","",IF(COUNTIFS('Nhật ký bảo trì'!$D$6:$D$405,$A45,'Nhật ký bảo trì'!$Q$6:$Q$405,"Hoàn thành",'Nhật ký bảo trì'!$B$6:$B$405,"&gt;="&amp;M$5,'Nhật ký bảo trì'!$B$6:$B$405,"&lt;="&amp;EOMONTH(M$5,0))&gt;0,"✔",IF(((EOMONTH(M$5,0)&gt;='Kế hoạch định kỳ'!$W45)*(INT((EOMONTH(M$5,0)-'Kế hoạch định kỳ'!$W45)/'Kế hoạch định kỳ'!$X45)+1)-(M$5-1&gt;='Kế hoạch định kỳ'!$W45)*(INT((M$5-1-'Kế hoạch định kỳ'!$W45)/'Kế hoạch định kỳ'!$X45)+1))&gt;0,IF(EOMONTH(M$5,0)&lt;'Tổng quan'!$B$11,"✖","○"),"")))</f>
        <v/>
      </c>
      <c r="N45" s="61" t="str">
        <f>IF($A45="","",IF(COUNTIFS('Nhật ký bảo trì'!$D$6:$D$405,$A45,'Nhật ký bảo trì'!$Q$6:$Q$405,"Hoàn thành",'Nhật ký bảo trì'!$B$6:$B$405,"&gt;="&amp;N$5,'Nhật ký bảo trì'!$B$6:$B$405,"&lt;="&amp;EOMONTH(N$5,0))&gt;0,"✔",IF(((EOMONTH(N$5,0)&gt;='Kế hoạch định kỳ'!$W45)*(INT((EOMONTH(N$5,0)-'Kế hoạch định kỳ'!$W45)/'Kế hoạch định kỳ'!$X45)+1)-(N$5-1&gt;='Kế hoạch định kỳ'!$W45)*(INT((N$5-1-'Kế hoạch định kỳ'!$W45)/'Kế hoạch định kỳ'!$X45)+1))&gt;0,IF(EOMONTH(N$5,0)&lt;'Tổng quan'!$B$11,"✖","○"),"")))</f>
        <v/>
      </c>
      <c r="O45" s="61" t="str">
        <f>IF($A45="","",IF(COUNTIFS('Nhật ký bảo trì'!$D$6:$D$405,$A45,'Nhật ký bảo trì'!$Q$6:$Q$405,"Hoàn thành",'Nhật ký bảo trì'!$B$6:$B$405,"&gt;="&amp;O$5,'Nhật ký bảo trì'!$B$6:$B$405,"&lt;="&amp;EOMONTH(O$5,0))&gt;0,"✔",IF(((EOMONTH(O$5,0)&gt;='Kế hoạch định kỳ'!$W45)*(INT((EOMONTH(O$5,0)-'Kế hoạch định kỳ'!$W45)/'Kế hoạch định kỳ'!$X45)+1)-(O$5-1&gt;='Kế hoạch định kỳ'!$W45)*(INT((O$5-1-'Kế hoạch định kỳ'!$W45)/'Kế hoạch định kỳ'!$X45)+1))&gt;0,IF(EOMONTH(O$5,0)&lt;'Tổng quan'!$B$11,"✖","○"),"")))</f>
        <v/>
      </c>
      <c r="P45" s="61" t="str">
        <f>IF($A45="","",IF(COUNTIFS('Nhật ký bảo trì'!$D$6:$D$405,$A45,'Nhật ký bảo trì'!$Q$6:$Q$405,"Hoàn thành",'Nhật ký bảo trì'!$B$6:$B$405,"&gt;="&amp;P$5,'Nhật ký bảo trì'!$B$6:$B$405,"&lt;="&amp;EOMONTH(P$5,0))&gt;0,"✔",IF(((EOMONTH(P$5,0)&gt;='Kế hoạch định kỳ'!$W45)*(INT((EOMONTH(P$5,0)-'Kế hoạch định kỳ'!$W45)/'Kế hoạch định kỳ'!$X45)+1)-(P$5-1&gt;='Kế hoạch định kỳ'!$W45)*(INT((P$5-1-'Kế hoạch định kỳ'!$W45)/'Kế hoạch định kỳ'!$X45)+1))&gt;0,IF(EOMONTH(P$5,0)&lt;'Tổng quan'!$B$11,"✖","○"),"")))</f>
        <v/>
      </c>
      <c r="Q45" s="30" t="str">
        <f>IF($A45="","",COUNTIFS('Nhật ký bảo trì'!$D$6:$D$405,$A45,'Nhật ký bảo trì'!$Q$6:$Q$405,"Hoàn thành",'Nhật ký bảo trì'!$B$6:$B$405,"&gt;="&amp;DATE('Tổng quan'!$B$6,1,1),'Nhật ký bảo trì'!$B$6:$B$405,"&lt;="&amp;DATE('Tổng quan'!$B$6,12,31)))</f>
        <v/>
      </c>
      <c r="R45" s="30" t="str">
        <f t="shared" si="1"/>
        <v/>
      </c>
    </row>
    <row r="46" ht="24.0" customHeight="1">
      <c r="A46" s="10" t="str">
        <f>IF('Kế hoạch định kỳ'!$B46="","",'Kế hoạch định kỳ'!$B46)</f>
        <v/>
      </c>
      <c r="B46" s="14" t="str">
        <f>IF('Kế hoạch định kỳ'!$B46="","",'Kế hoạch định kỳ'!$D46)</f>
        <v/>
      </c>
      <c r="C46" s="18" t="str">
        <f>IF('Kế hoạch định kỳ'!$B46="","",'Kế hoạch định kỳ'!$F46)</f>
        <v/>
      </c>
      <c r="D46" s="10" t="str">
        <f>IF('Kế hoạch định kỳ'!$B46="","",IF('Kế hoạch định kỳ'!$I46&lt;&gt;"",'Kế hoạch định kỳ'!$I46&amp;" ngày",'Kế hoạch định kỳ'!$H46))</f>
        <v/>
      </c>
      <c r="E46" s="24" t="str">
        <f>IF($A46="","",IF(COUNTIFS('Nhật ký bảo trì'!$D$6:$D$405,$A46,'Nhật ký bảo trì'!$Q$6:$Q$405,"Hoàn thành",'Nhật ký bảo trì'!$B$6:$B$405,"&gt;="&amp;E$5,'Nhật ký bảo trì'!$B$6:$B$405,"&lt;="&amp;EOMONTH(E$5,0))&gt;0,"✔",IF(((EOMONTH(E$5,0)&gt;='Kế hoạch định kỳ'!$W46)*(INT((EOMONTH(E$5,0)-'Kế hoạch định kỳ'!$W46)/'Kế hoạch định kỳ'!$X46)+1)-(E$5-1&gt;='Kế hoạch định kỳ'!$W46)*(INT((E$5-1-'Kế hoạch định kỳ'!$W46)/'Kế hoạch định kỳ'!$X46)+1))&gt;0,IF(EOMONTH(E$5,0)&lt;'Tổng quan'!$B$11,"✖","○"),"")))</f>
        <v/>
      </c>
      <c r="F46" s="24" t="str">
        <f>IF($A46="","",IF(COUNTIFS('Nhật ký bảo trì'!$D$6:$D$405,$A46,'Nhật ký bảo trì'!$Q$6:$Q$405,"Hoàn thành",'Nhật ký bảo trì'!$B$6:$B$405,"&gt;="&amp;F$5,'Nhật ký bảo trì'!$B$6:$B$405,"&lt;="&amp;EOMONTH(F$5,0))&gt;0,"✔",IF(((EOMONTH(F$5,0)&gt;='Kế hoạch định kỳ'!$W46)*(INT((EOMONTH(F$5,0)-'Kế hoạch định kỳ'!$W46)/'Kế hoạch định kỳ'!$X46)+1)-(F$5-1&gt;='Kế hoạch định kỳ'!$W46)*(INT((F$5-1-'Kế hoạch định kỳ'!$W46)/'Kế hoạch định kỳ'!$X46)+1))&gt;0,IF(EOMONTH(F$5,0)&lt;'Tổng quan'!$B$11,"✖","○"),"")))</f>
        <v/>
      </c>
      <c r="G46" s="24" t="str">
        <f>IF($A46="","",IF(COUNTIFS('Nhật ký bảo trì'!$D$6:$D$405,$A46,'Nhật ký bảo trì'!$Q$6:$Q$405,"Hoàn thành",'Nhật ký bảo trì'!$B$6:$B$405,"&gt;="&amp;G$5,'Nhật ký bảo trì'!$B$6:$B$405,"&lt;="&amp;EOMONTH(G$5,0))&gt;0,"✔",IF(((EOMONTH(G$5,0)&gt;='Kế hoạch định kỳ'!$W46)*(INT((EOMONTH(G$5,0)-'Kế hoạch định kỳ'!$W46)/'Kế hoạch định kỳ'!$X46)+1)-(G$5-1&gt;='Kế hoạch định kỳ'!$W46)*(INT((G$5-1-'Kế hoạch định kỳ'!$W46)/'Kế hoạch định kỳ'!$X46)+1))&gt;0,IF(EOMONTH(G$5,0)&lt;'Tổng quan'!$B$11,"✖","○"),"")))</f>
        <v/>
      </c>
      <c r="H46" s="24" t="str">
        <f>IF($A46="","",IF(COUNTIFS('Nhật ký bảo trì'!$D$6:$D$405,$A46,'Nhật ký bảo trì'!$Q$6:$Q$405,"Hoàn thành",'Nhật ký bảo trì'!$B$6:$B$405,"&gt;="&amp;H$5,'Nhật ký bảo trì'!$B$6:$B$405,"&lt;="&amp;EOMONTH(H$5,0))&gt;0,"✔",IF(((EOMONTH(H$5,0)&gt;='Kế hoạch định kỳ'!$W46)*(INT((EOMONTH(H$5,0)-'Kế hoạch định kỳ'!$W46)/'Kế hoạch định kỳ'!$X46)+1)-(H$5-1&gt;='Kế hoạch định kỳ'!$W46)*(INT((H$5-1-'Kế hoạch định kỳ'!$W46)/'Kế hoạch định kỳ'!$X46)+1))&gt;0,IF(EOMONTH(H$5,0)&lt;'Tổng quan'!$B$11,"✖","○"),"")))</f>
        <v/>
      </c>
      <c r="I46" s="24" t="str">
        <f>IF($A46="","",IF(COUNTIFS('Nhật ký bảo trì'!$D$6:$D$405,$A46,'Nhật ký bảo trì'!$Q$6:$Q$405,"Hoàn thành",'Nhật ký bảo trì'!$B$6:$B$405,"&gt;="&amp;I$5,'Nhật ký bảo trì'!$B$6:$B$405,"&lt;="&amp;EOMONTH(I$5,0))&gt;0,"✔",IF(((EOMONTH(I$5,0)&gt;='Kế hoạch định kỳ'!$W46)*(INT((EOMONTH(I$5,0)-'Kế hoạch định kỳ'!$W46)/'Kế hoạch định kỳ'!$X46)+1)-(I$5-1&gt;='Kế hoạch định kỳ'!$W46)*(INT((I$5-1-'Kế hoạch định kỳ'!$W46)/'Kế hoạch định kỳ'!$X46)+1))&gt;0,IF(EOMONTH(I$5,0)&lt;'Tổng quan'!$B$11,"✖","○"),"")))</f>
        <v/>
      </c>
      <c r="J46" s="24" t="str">
        <f>IF($A46="","",IF(COUNTIFS('Nhật ký bảo trì'!$D$6:$D$405,$A46,'Nhật ký bảo trì'!$Q$6:$Q$405,"Hoàn thành",'Nhật ký bảo trì'!$B$6:$B$405,"&gt;="&amp;J$5,'Nhật ký bảo trì'!$B$6:$B$405,"&lt;="&amp;EOMONTH(J$5,0))&gt;0,"✔",IF(((EOMONTH(J$5,0)&gt;='Kế hoạch định kỳ'!$W46)*(INT((EOMONTH(J$5,0)-'Kế hoạch định kỳ'!$W46)/'Kế hoạch định kỳ'!$X46)+1)-(J$5-1&gt;='Kế hoạch định kỳ'!$W46)*(INT((J$5-1-'Kế hoạch định kỳ'!$W46)/'Kế hoạch định kỳ'!$X46)+1))&gt;0,IF(EOMONTH(J$5,0)&lt;'Tổng quan'!$B$11,"✖","○"),"")))</f>
        <v/>
      </c>
      <c r="K46" s="24" t="str">
        <f>IF($A46="","",IF(COUNTIFS('Nhật ký bảo trì'!$D$6:$D$405,$A46,'Nhật ký bảo trì'!$Q$6:$Q$405,"Hoàn thành",'Nhật ký bảo trì'!$B$6:$B$405,"&gt;="&amp;K$5,'Nhật ký bảo trì'!$B$6:$B$405,"&lt;="&amp;EOMONTH(K$5,0))&gt;0,"✔",IF(((EOMONTH(K$5,0)&gt;='Kế hoạch định kỳ'!$W46)*(INT((EOMONTH(K$5,0)-'Kế hoạch định kỳ'!$W46)/'Kế hoạch định kỳ'!$X46)+1)-(K$5-1&gt;='Kế hoạch định kỳ'!$W46)*(INT((K$5-1-'Kế hoạch định kỳ'!$W46)/'Kế hoạch định kỳ'!$X46)+1))&gt;0,IF(EOMONTH(K$5,0)&lt;'Tổng quan'!$B$11,"✖","○"),"")))</f>
        <v/>
      </c>
      <c r="L46" s="24" t="str">
        <f>IF($A46="","",IF(COUNTIFS('Nhật ký bảo trì'!$D$6:$D$405,$A46,'Nhật ký bảo trì'!$Q$6:$Q$405,"Hoàn thành",'Nhật ký bảo trì'!$B$6:$B$405,"&gt;="&amp;L$5,'Nhật ký bảo trì'!$B$6:$B$405,"&lt;="&amp;EOMONTH(L$5,0))&gt;0,"✔",IF(((EOMONTH(L$5,0)&gt;='Kế hoạch định kỳ'!$W46)*(INT((EOMONTH(L$5,0)-'Kế hoạch định kỳ'!$W46)/'Kế hoạch định kỳ'!$X46)+1)-(L$5-1&gt;='Kế hoạch định kỳ'!$W46)*(INT((L$5-1-'Kế hoạch định kỳ'!$W46)/'Kế hoạch định kỳ'!$X46)+1))&gt;0,IF(EOMONTH(L$5,0)&lt;'Tổng quan'!$B$11,"✖","○"),"")))</f>
        <v/>
      </c>
      <c r="M46" s="24" t="str">
        <f>IF($A46="","",IF(COUNTIFS('Nhật ký bảo trì'!$D$6:$D$405,$A46,'Nhật ký bảo trì'!$Q$6:$Q$405,"Hoàn thành",'Nhật ký bảo trì'!$B$6:$B$405,"&gt;="&amp;M$5,'Nhật ký bảo trì'!$B$6:$B$405,"&lt;="&amp;EOMONTH(M$5,0))&gt;0,"✔",IF(((EOMONTH(M$5,0)&gt;='Kế hoạch định kỳ'!$W46)*(INT((EOMONTH(M$5,0)-'Kế hoạch định kỳ'!$W46)/'Kế hoạch định kỳ'!$X46)+1)-(M$5-1&gt;='Kế hoạch định kỳ'!$W46)*(INT((M$5-1-'Kế hoạch định kỳ'!$W46)/'Kế hoạch định kỳ'!$X46)+1))&gt;0,IF(EOMONTH(M$5,0)&lt;'Tổng quan'!$B$11,"✖","○"),"")))</f>
        <v/>
      </c>
      <c r="N46" s="24" t="str">
        <f>IF($A46="","",IF(COUNTIFS('Nhật ký bảo trì'!$D$6:$D$405,$A46,'Nhật ký bảo trì'!$Q$6:$Q$405,"Hoàn thành",'Nhật ký bảo trì'!$B$6:$B$405,"&gt;="&amp;N$5,'Nhật ký bảo trì'!$B$6:$B$405,"&lt;="&amp;EOMONTH(N$5,0))&gt;0,"✔",IF(((EOMONTH(N$5,0)&gt;='Kế hoạch định kỳ'!$W46)*(INT((EOMONTH(N$5,0)-'Kế hoạch định kỳ'!$W46)/'Kế hoạch định kỳ'!$X46)+1)-(N$5-1&gt;='Kế hoạch định kỳ'!$W46)*(INT((N$5-1-'Kế hoạch định kỳ'!$W46)/'Kế hoạch định kỳ'!$X46)+1))&gt;0,IF(EOMONTH(N$5,0)&lt;'Tổng quan'!$B$11,"✖","○"),"")))</f>
        <v/>
      </c>
      <c r="O46" s="24" t="str">
        <f>IF($A46="","",IF(COUNTIFS('Nhật ký bảo trì'!$D$6:$D$405,$A46,'Nhật ký bảo trì'!$Q$6:$Q$405,"Hoàn thành",'Nhật ký bảo trì'!$B$6:$B$405,"&gt;="&amp;O$5,'Nhật ký bảo trì'!$B$6:$B$405,"&lt;="&amp;EOMONTH(O$5,0))&gt;0,"✔",IF(((EOMONTH(O$5,0)&gt;='Kế hoạch định kỳ'!$W46)*(INT((EOMONTH(O$5,0)-'Kế hoạch định kỳ'!$W46)/'Kế hoạch định kỳ'!$X46)+1)-(O$5-1&gt;='Kế hoạch định kỳ'!$W46)*(INT((O$5-1-'Kế hoạch định kỳ'!$W46)/'Kế hoạch định kỳ'!$X46)+1))&gt;0,IF(EOMONTH(O$5,0)&lt;'Tổng quan'!$B$11,"✖","○"),"")))</f>
        <v/>
      </c>
      <c r="P46" s="24" t="str">
        <f>IF($A46="","",IF(COUNTIFS('Nhật ký bảo trì'!$D$6:$D$405,$A46,'Nhật ký bảo trì'!$Q$6:$Q$405,"Hoàn thành",'Nhật ký bảo trì'!$B$6:$B$405,"&gt;="&amp;P$5,'Nhật ký bảo trì'!$B$6:$B$405,"&lt;="&amp;EOMONTH(P$5,0))&gt;0,"✔",IF(((EOMONTH(P$5,0)&gt;='Kế hoạch định kỳ'!$W46)*(INT((EOMONTH(P$5,0)-'Kế hoạch định kỳ'!$W46)/'Kế hoạch định kỳ'!$X46)+1)-(P$5-1&gt;='Kế hoạch định kỳ'!$W46)*(INT((P$5-1-'Kế hoạch định kỳ'!$W46)/'Kế hoạch định kỳ'!$X46)+1))&gt;0,IF(EOMONTH(P$5,0)&lt;'Tổng quan'!$B$11,"✖","○"),"")))</f>
        <v/>
      </c>
      <c r="Q46" s="16" t="str">
        <f>IF($A46="","",COUNTIFS('Nhật ký bảo trì'!$D$6:$D$405,$A46,'Nhật ký bảo trì'!$Q$6:$Q$405,"Hoàn thành",'Nhật ký bảo trì'!$B$6:$B$405,"&gt;="&amp;DATE('Tổng quan'!$B$6,1,1),'Nhật ký bảo trì'!$B$6:$B$405,"&lt;="&amp;DATE('Tổng quan'!$B$6,12,31)))</f>
        <v/>
      </c>
      <c r="R46" s="16" t="str">
        <f t="shared" si="1"/>
        <v/>
      </c>
    </row>
    <row r="47" ht="24.0" customHeight="1">
      <c r="A47" s="26" t="str">
        <f>IF('Kế hoạch định kỳ'!$B47="","",'Kế hoạch định kỳ'!$B47)</f>
        <v/>
      </c>
      <c r="B47" s="28" t="str">
        <f>IF('Kế hoạch định kỳ'!$B47="","",'Kế hoạch định kỳ'!$D47)</f>
        <v/>
      </c>
      <c r="C47" s="56" t="str">
        <f>IF('Kế hoạch định kỳ'!$B47="","",'Kế hoạch định kỳ'!$F47)</f>
        <v/>
      </c>
      <c r="D47" s="26" t="str">
        <f>IF('Kế hoạch định kỳ'!$B47="","",IF('Kế hoạch định kỳ'!$I47&lt;&gt;"",'Kế hoạch định kỳ'!$I47&amp;" ngày",'Kế hoạch định kỳ'!$H47))</f>
        <v/>
      </c>
      <c r="E47" s="61" t="str">
        <f>IF($A47="","",IF(COUNTIFS('Nhật ký bảo trì'!$D$6:$D$405,$A47,'Nhật ký bảo trì'!$Q$6:$Q$405,"Hoàn thành",'Nhật ký bảo trì'!$B$6:$B$405,"&gt;="&amp;E$5,'Nhật ký bảo trì'!$B$6:$B$405,"&lt;="&amp;EOMONTH(E$5,0))&gt;0,"✔",IF(((EOMONTH(E$5,0)&gt;='Kế hoạch định kỳ'!$W47)*(INT((EOMONTH(E$5,0)-'Kế hoạch định kỳ'!$W47)/'Kế hoạch định kỳ'!$X47)+1)-(E$5-1&gt;='Kế hoạch định kỳ'!$W47)*(INT((E$5-1-'Kế hoạch định kỳ'!$W47)/'Kế hoạch định kỳ'!$X47)+1))&gt;0,IF(EOMONTH(E$5,0)&lt;'Tổng quan'!$B$11,"✖","○"),"")))</f>
        <v/>
      </c>
      <c r="F47" s="61" t="str">
        <f>IF($A47="","",IF(COUNTIFS('Nhật ký bảo trì'!$D$6:$D$405,$A47,'Nhật ký bảo trì'!$Q$6:$Q$405,"Hoàn thành",'Nhật ký bảo trì'!$B$6:$B$405,"&gt;="&amp;F$5,'Nhật ký bảo trì'!$B$6:$B$405,"&lt;="&amp;EOMONTH(F$5,0))&gt;0,"✔",IF(((EOMONTH(F$5,0)&gt;='Kế hoạch định kỳ'!$W47)*(INT((EOMONTH(F$5,0)-'Kế hoạch định kỳ'!$W47)/'Kế hoạch định kỳ'!$X47)+1)-(F$5-1&gt;='Kế hoạch định kỳ'!$W47)*(INT((F$5-1-'Kế hoạch định kỳ'!$W47)/'Kế hoạch định kỳ'!$X47)+1))&gt;0,IF(EOMONTH(F$5,0)&lt;'Tổng quan'!$B$11,"✖","○"),"")))</f>
        <v/>
      </c>
      <c r="G47" s="61" t="str">
        <f>IF($A47="","",IF(COUNTIFS('Nhật ký bảo trì'!$D$6:$D$405,$A47,'Nhật ký bảo trì'!$Q$6:$Q$405,"Hoàn thành",'Nhật ký bảo trì'!$B$6:$B$405,"&gt;="&amp;G$5,'Nhật ký bảo trì'!$B$6:$B$405,"&lt;="&amp;EOMONTH(G$5,0))&gt;0,"✔",IF(((EOMONTH(G$5,0)&gt;='Kế hoạch định kỳ'!$W47)*(INT((EOMONTH(G$5,0)-'Kế hoạch định kỳ'!$W47)/'Kế hoạch định kỳ'!$X47)+1)-(G$5-1&gt;='Kế hoạch định kỳ'!$W47)*(INT((G$5-1-'Kế hoạch định kỳ'!$W47)/'Kế hoạch định kỳ'!$X47)+1))&gt;0,IF(EOMONTH(G$5,0)&lt;'Tổng quan'!$B$11,"✖","○"),"")))</f>
        <v/>
      </c>
      <c r="H47" s="61" t="str">
        <f>IF($A47="","",IF(COUNTIFS('Nhật ký bảo trì'!$D$6:$D$405,$A47,'Nhật ký bảo trì'!$Q$6:$Q$405,"Hoàn thành",'Nhật ký bảo trì'!$B$6:$B$405,"&gt;="&amp;H$5,'Nhật ký bảo trì'!$B$6:$B$405,"&lt;="&amp;EOMONTH(H$5,0))&gt;0,"✔",IF(((EOMONTH(H$5,0)&gt;='Kế hoạch định kỳ'!$W47)*(INT((EOMONTH(H$5,0)-'Kế hoạch định kỳ'!$W47)/'Kế hoạch định kỳ'!$X47)+1)-(H$5-1&gt;='Kế hoạch định kỳ'!$W47)*(INT((H$5-1-'Kế hoạch định kỳ'!$W47)/'Kế hoạch định kỳ'!$X47)+1))&gt;0,IF(EOMONTH(H$5,0)&lt;'Tổng quan'!$B$11,"✖","○"),"")))</f>
        <v/>
      </c>
      <c r="I47" s="61" t="str">
        <f>IF($A47="","",IF(COUNTIFS('Nhật ký bảo trì'!$D$6:$D$405,$A47,'Nhật ký bảo trì'!$Q$6:$Q$405,"Hoàn thành",'Nhật ký bảo trì'!$B$6:$B$405,"&gt;="&amp;I$5,'Nhật ký bảo trì'!$B$6:$B$405,"&lt;="&amp;EOMONTH(I$5,0))&gt;0,"✔",IF(((EOMONTH(I$5,0)&gt;='Kế hoạch định kỳ'!$W47)*(INT((EOMONTH(I$5,0)-'Kế hoạch định kỳ'!$W47)/'Kế hoạch định kỳ'!$X47)+1)-(I$5-1&gt;='Kế hoạch định kỳ'!$W47)*(INT((I$5-1-'Kế hoạch định kỳ'!$W47)/'Kế hoạch định kỳ'!$X47)+1))&gt;0,IF(EOMONTH(I$5,0)&lt;'Tổng quan'!$B$11,"✖","○"),"")))</f>
        <v/>
      </c>
      <c r="J47" s="61" t="str">
        <f>IF($A47="","",IF(COUNTIFS('Nhật ký bảo trì'!$D$6:$D$405,$A47,'Nhật ký bảo trì'!$Q$6:$Q$405,"Hoàn thành",'Nhật ký bảo trì'!$B$6:$B$405,"&gt;="&amp;J$5,'Nhật ký bảo trì'!$B$6:$B$405,"&lt;="&amp;EOMONTH(J$5,0))&gt;0,"✔",IF(((EOMONTH(J$5,0)&gt;='Kế hoạch định kỳ'!$W47)*(INT((EOMONTH(J$5,0)-'Kế hoạch định kỳ'!$W47)/'Kế hoạch định kỳ'!$X47)+1)-(J$5-1&gt;='Kế hoạch định kỳ'!$W47)*(INT((J$5-1-'Kế hoạch định kỳ'!$W47)/'Kế hoạch định kỳ'!$X47)+1))&gt;0,IF(EOMONTH(J$5,0)&lt;'Tổng quan'!$B$11,"✖","○"),"")))</f>
        <v/>
      </c>
      <c r="K47" s="61" t="str">
        <f>IF($A47="","",IF(COUNTIFS('Nhật ký bảo trì'!$D$6:$D$405,$A47,'Nhật ký bảo trì'!$Q$6:$Q$405,"Hoàn thành",'Nhật ký bảo trì'!$B$6:$B$405,"&gt;="&amp;K$5,'Nhật ký bảo trì'!$B$6:$B$405,"&lt;="&amp;EOMONTH(K$5,0))&gt;0,"✔",IF(((EOMONTH(K$5,0)&gt;='Kế hoạch định kỳ'!$W47)*(INT((EOMONTH(K$5,0)-'Kế hoạch định kỳ'!$W47)/'Kế hoạch định kỳ'!$X47)+1)-(K$5-1&gt;='Kế hoạch định kỳ'!$W47)*(INT((K$5-1-'Kế hoạch định kỳ'!$W47)/'Kế hoạch định kỳ'!$X47)+1))&gt;0,IF(EOMONTH(K$5,0)&lt;'Tổng quan'!$B$11,"✖","○"),"")))</f>
        <v/>
      </c>
      <c r="L47" s="61" t="str">
        <f>IF($A47="","",IF(COUNTIFS('Nhật ký bảo trì'!$D$6:$D$405,$A47,'Nhật ký bảo trì'!$Q$6:$Q$405,"Hoàn thành",'Nhật ký bảo trì'!$B$6:$B$405,"&gt;="&amp;L$5,'Nhật ký bảo trì'!$B$6:$B$405,"&lt;="&amp;EOMONTH(L$5,0))&gt;0,"✔",IF(((EOMONTH(L$5,0)&gt;='Kế hoạch định kỳ'!$W47)*(INT((EOMONTH(L$5,0)-'Kế hoạch định kỳ'!$W47)/'Kế hoạch định kỳ'!$X47)+1)-(L$5-1&gt;='Kế hoạch định kỳ'!$W47)*(INT((L$5-1-'Kế hoạch định kỳ'!$W47)/'Kế hoạch định kỳ'!$X47)+1))&gt;0,IF(EOMONTH(L$5,0)&lt;'Tổng quan'!$B$11,"✖","○"),"")))</f>
        <v/>
      </c>
      <c r="M47" s="61" t="str">
        <f>IF($A47="","",IF(COUNTIFS('Nhật ký bảo trì'!$D$6:$D$405,$A47,'Nhật ký bảo trì'!$Q$6:$Q$405,"Hoàn thành",'Nhật ký bảo trì'!$B$6:$B$405,"&gt;="&amp;M$5,'Nhật ký bảo trì'!$B$6:$B$405,"&lt;="&amp;EOMONTH(M$5,0))&gt;0,"✔",IF(((EOMONTH(M$5,0)&gt;='Kế hoạch định kỳ'!$W47)*(INT((EOMONTH(M$5,0)-'Kế hoạch định kỳ'!$W47)/'Kế hoạch định kỳ'!$X47)+1)-(M$5-1&gt;='Kế hoạch định kỳ'!$W47)*(INT((M$5-1-'Kế hoạch định kỳ'!$W47)/'Kế hoạch định kỳ'!$X47)+1))&gt;0,IF(EOMONTH(M$5,0)&lt;'Tổng quan'!$B$11,"✖","○"),"")))</f>
        <v/>
      </c>
      <c r="N47" s="61" t="str">
        <f>IF($A47="","",IF(COUNTIFS('Nhật ký bảo trì'!$D$6:$D$405,$A47,'Nhật ký bảo trì'!$Q$6:$Q$405,"Hoàn thành",'Nhật ký bảo trì'!$B$6:$B$405,"&gt;="&amp;N$5,'Nhật ký bảo trì'!$B$6:$B$405,"&lt;="&amp;EOMONTH(N$5,0))&gt;0,"✔",IF(((EOMONTH(N$5,0)&gt;='Kế hoạch định kỳ'!$W47)*(INT((EOMONTH(N$5,0)-'Kế hoạch định kỳ'!$W47)/'Kế hoạch định kỳ'!$X47)+1)-(N$5-1&gt;='Kế hoạch định kỳ'!$W47)*(INT((N$5-1-'Kế hoạch định kỳ'!$W47)/'Kế hoạch định kỳ'!$X47)+1))&gt;0,IF(EOMONTH(N$5,0)&lt;'Tổng quan'!$B$11,"✖","○"),"")))</f>
        <v/>
      </c>
      <c r="O47" s="61" t="str">
        <f>IF($A47="","",IF(COUNTIFS('Nhật ký bảo trì'!$D$6:$D$405,$A47,'Nhật ký bảo trì'!$Q$6:$Q$405,"Hoàn thành",'Nhật ký bảo trì'!$B$6:$B$405,"&gt;="&amp;O$5,'Nhật ký bảo trì'!$B$6:$B$405,"&lt;="&amp;EOMONTH(O$5,0))&gt;0,"✔",IF(((EOMONTH(O$5,0)&gt;='Kế hoạch định kỳ'!$W47)*(INT((EOMONTH(O$5,0)-'Kế hoạch định kỳ'!$W47)/'Kế hoạch định kỳ'!$X47)+1)-(O$5-1&gt;='Kế hoạch định kỳ'!$W47)*(INT((O$5-1-'Kế hoạch định kỳ'!$W47)/'Kế hoạch định kỳ'!$X47)+1))&gt;0,IF(EOMONTH(O$5,0)&lt;'Tổng quan'!$B$11,"✖","○"),"")))</f>
        <v/>
      </c>
      <c r="P47" s="61" t="str">
        <f>IF($A47="","",IF(COUNTIFS('Nhật ký bảo trì'!$D$6:$D$405,$A47,'Nhật ký bảo trì'!$Q$6:$Q$405,"Hoàn thành",'Nhật ký bảo trì'!$B$6:$B$405,"&gt;="&amp;P$5,'Nhật ký bảo trì'!$B$6:$B$405,"&lt;="&amp;EOMONTH(P$5,0))&gt;0,"✔",IF(((EOMONTH(P$5,0)&gt;='Kế hoạch định kỳ'!$W47)*(INT((EOMONTH(P$5,0)-'Kế hoạch định kỳ'!$W47)/'Kế hoạch định kỳ'!$X47)+1)-(P$5-1&gt;='Kế hoạch định kỳ'!$W47)*(INT((P$5-1-'Kế hoạch định kỳ'!$W47)/'Kế hoạch định kỳ'!$X47)+1))&gt;0,IF(EOMONTH(P$5,0)&lt;'Tổng quan'!$B$11,"✖","○"),"")))</f>
        <v/>
      </c>
      <c r="Q47" s="30" t="str">
        <f>IF($A47="","",COUNTIFS('Nhật ký bảo trì'!$D$6:$D$405,$A47,'Nhật ký bảo trì'!$Q$6:$Q$405,"Hoàn thành",'Nhật ký bảo trì'!$B$6:$B$405,"&gt;="&amp;DATE('Tổng quan'!$B$6,1,1),'Nhật ký bảo trì'!$B$6:$B$405,"&lt;="&amp;DATE('Tổng quan'!$B$6,12,31)))</f>
        <v/>
      </c>
      <c r="R47" s="30" t="str">
        <f t="shared" si="1"/>
        <v/>
      </c>
    </row>
    <row r="48" ht="24.0" customHeight="1">
      <c r="A48" s="10" t="str">
        <f>IF('Kế hoạch định kỳ'!$B48="","",'Kế hoạch định kỳ'!$B48)</f>
        <v/>
      </c>
      <c r="B48" s="14" t="str">
        <f>IF('Kế hoạch định kỳ'!$B48="","",'Kế hoạch định kỳ'!$D48)</f>
        <v/>
      </c>
      <c r="C48" s="18" t="str">
        <f>IF('Kế hoạch định kỳ'!$B48="","",'Kế hoạch định kỳ'!$F48)</f>
        <v/>
      </c>
      <c r="D48" s="10" t="str">
        <f>IF('Kế hoạch định kỳ'!$B48="","",IF('Kế hoạch định kỳ'!$I48&lt;&gt;"",'Kế hoạch định kỳ'!$I48&amp;" ngày",'Kế hoạch định kỳ'!$H48))</f>
        <v/>
      </c>
      <c r="E48" s="24" t="str">
        <f>IF($A48="","",IF(COUNTIFS('Nhật ký bảo trì'!$D$6:$D$405,$A48,'Nhật ký bảo trì'!$Q$6:$Q$405,"Hoàn thành",'Nhật ký bảo trì'!$B$6:$B$405,"&gt;="&amp;E$5,'Nhật ký bảo trì'!$B$6:$B$405,"&lt;="&amp;EOMONTH(E$5,0))&gt;0,"✔",IF(((EOMONTH(E$5,0)&gt;='Kế hoạch định kỳ'!$W48)*(INT((EOMONTH(E$5,0)-'Kế hoạch định kỳ'!$W48)/'Kế hoạch định kỳ'!$X48)+1)-(E$5-1&gt;='Kế hoạch định kỳ'!$W48)*(INT((E$5-1-'Kế hoạch định kỳ'!$W48)/'Kế hoạch định kỳ'!$X48)+1))&gt;0,IF(EOMONTH(E$5,0)&lt;'Tổng quan'!$B$11,"✖","○"),"")))</f>
        <v/>
      </c>
      <c r="F48" s="24" t="str">
        <f>IF($A48="","",IF(COUNTIFS('Nhật ký bảo trì'!$D$6:$D$405,$A48,'Nhật ký bảo trì'!$Q$6:$Q$405,"Hoàn thành",'Nhật ký bảo trì'!$B$6:$B$405,"&gt;="&amp;F$5,'Nhật ký bảo trì'!$B$6:$B$405,"&lt;="&amp;EOMONTH(F$5,0))&gt;0,"✔",IF(((EOMONTH(F$5,0)&gt;='Kế hoạch định kỳ'!$W48)*(INT((EOMONTH(F$5,0)-'Kế hoạch định kỳ'!$W48)/'Kế hoạch định kỳ'!$X48)+1)-(F$5-1&gt;='Kế hoạch định kỳ'!$W48)*(INT((F$5-1-'Kế hoạch định kỳ'!$W48)/'Kế hoạch định kỳ'!$X48)+1))&gt;0,IF(EOMONTH(F$5,0)&lt;'Tổng quan'!$B$11,"✖","○"),"")))</f>
        <v/>
      </c>
      <c r="G48" s="24" t="str">
        <f>IF($A48="","",IF(COUNTIFS('Nhật ký bảo trì'!$D$6:$D$405,$A48,'Nhật ký bảo trì'!$Q$6:$Q$405,"Hoàn thành",'Nhật ký bảo trì'!$B$6:$B$405,"&gt;="&amp;G$5,'Nhật ký bảo trì'!$B$6:$B$405,"&lt;="&amp;EOMONTH(G$5,0))&gt;0,"✔",IF(((EOMONTH(G$5,0)&gt;='Kế hoạch định kỳ'!$W48)*(INT((EOMONTH(G$5,0)-'Kế hoạch định kỳ'!$W48)/'Kế hoạch định kỳ'!$X48)+1)-(G$5-1&gt;='Kế hoạch định kỳ'!$W48)*(INT((G$5-1-'Kế hoạch định kỳ'!$W48)/'Kế hoạch định kỳ'!$X48)+1))&gt;0,IF(EOMONTH(G$5,0)&lt;'Tổng quan'!$B$11,"✖","○"),"")))</f>
        <v/>
      </c>
      <c r="H48" s="24" t="str">
        <f>IF($A48="","",IF(COUNTIFS('Nhật ký bảo trì'!$D$6:$D$405,$A48,'Nhật ký bảo trì'!$Q$6:$Q$405,"Hoàn thành",'Nhật ký bảo trì'!$B$6:$B$405,"&gt;="&amp;H$5,'Nhật ký bảo trì'!$B$6:$B$405,"&lt;="&amp;EOMONTH(H$5,0))&gt;0,"✔",IF(((EOMONTH(H$5,0)&gt;='Kế hoạch định kỳ'!$W48)*(INT((EOMONTH(H$5,0)-'Kế hoạch định kỳ'!$W48)/'Kế hoạch định kỳ'!$X48)+1)-(H$5-1&gt;='Kế hoạch định kỳ'!$W48)*(INT((H$5-1-'Kế hoạch định kỳ'!$W48)/'Kế hoạch định kỳ'!$X48)+1))&gt;0,IF(EOMONTH(H$5,0)&lt;'Tổng quan'!$B$11,"✖","○"),"")))</f>
        <v/>
      </c>
      <c r="I48" s="24" t="str">
        <f>IF($A48="","",IF(COUNTIFS('Nhật ký bảo trì'!$D$6:$D$405,$A48,'Nhật ký bảo trì'!$Q$6:$Q$405,"Hoàn thành",'Nhật ký bảo trì'!$B$6:$B$405,"&gt;="&amp;I$5,'Nhật ký bảo trì'!$B$6:$B$405,"&lt;="&amp;EOMONTH(I$5,0))&gt;0,"✔",IF(((EOMONTH(I$5,0)&gt;='Kế hoạch định kỳ'!$W48)*(INT((EOMONTH(I$5,0)-'Kế hoạch định kỳ'!$W48)/'Kế hoạch định kỳ'!$X48)+1)-(I$5-1&gt;='Kế hoạch định kỳ'!$W48)*(INT((I$5-1-'Kế hoạch định kỳ'!$W48)/'Kế hoạch định kỳ'!$X48)+1))&gt;0,IF(EOMONTH(I$5,0)&lt;'Tổng quan'!$B$11,"✖","○"),"")))</f>
        <v/>
      </c>
      <c r="J48" s="24" t="str">
        <f>IF($A48="","",IF(COUNTIFS('Nhật ký bảo trì'!$D$6:$D$405,$A48,'Nhật ký bảo trì'!$Q$6:$Q$405,"Hoàn thành",'Nhật ký bảo trì'!$B$6:$B$405,"&gt;="&amp;J$5,'Nhật ký bảo trì'!$B$6:$B$405,"&lt;="&amp;EOMONTH(J$5,0))&gt;0,"✔",IF(((EOMONTH(J$5,0)&gt;='Kế hoạch định kỳ'!$W48)*(INT((EOMONTH(J$5,0)-'Kế hoạch định kỳ'!$W48)/'Kế hoạch định kỳ'!$X48)+1)-(J$5-1&gt;='Kế hoạch định kỳ'!$W48)*(INT((J$5-1-'Kế hoạch định kỳ'!$W48)/'Kế hoạch định kỳ'!$X48)+1))&gt;0,IF(EOMONTH(J$5,0)&lt;'Tổng quan'!$B$11,"✖","○"),"")))</f>
        <v/>
      </c>
      <c r="K48" s="24" t="str">
        <f>IF($A48="","",IF(COUNTIFS('Nhật ký bảo trì'!$D$6:$D$405,$A48,'Nhật ký bảo trì'!$Q$6:$Q$405,"Hoàn thành",'Nhật ký bảo trì'!$B$6:$B$405,"&gt;="&amp;K$5,'Nhật ký bảo trì'!$B$6:$B$405,"&lt;="&amp;EOMONTH(K$5,0))&gt;0,"✔",IF(((EOMONTH(K$5,0)&gt;='Kế hoạch định kỳ'!$W48)*(INT((EOMONTH(K$5,0)-'Kế hoạch định kỳ'!$W48)/'Kế hoạch định kỳ'!$X48)+1)-(K$5-1&gt;='Kế hoạch định kỳ'!$W48)*(INT((K$5-1-'Kế hoạch định kỳ'!$W48)/'Kế hoạch định kỳ'!$X48)+1))&gt;0,IF(EOMONTH(K$5,0)&lt;'Tổng quan'!$B$11,"✖","○"),"")))</f>
        <v/>
      </c>
      <c r="L48" s="24" t="str">
        <f>IF($A48="","",IF(COUNTIFS('Nhật ký bảo trì'!$D$6:$D$405,$A48,'Nhật ký bảo trì'!$Q$6:$Q$405,"Hoàn thành",'Nhật ký bảo trì'!$B$6:$B$405,"&gt;="&amp;L$5,'Nhật ký bảo trì'!$B$6:$B$405,"&lt;="&amp;EOMONTH(L$5,0))&gt;0,"✔",IF(((EOMONTH(L$5,0)&gt;='Kế hoạch định kỳ'!$W48)*(INT((EOMONTH(L$5,0)-'Kế hoạch định kỳ'!$W48)/'Kế hoạch định kỳ'!$X48)+1)-(L$5-1&gt;='Kế hoạch định kỳ'!$W48)*(INT((L$5-1-'Kế hoạch định kỳ'!$W48)/'Kế hoạch định kỳ'!$X48)+1))&gt;0,IF(EOMONTH(L$5,0)&lt;'Tổng quan'!$B$11,"✖","○"),"")))</f>
        <v/>
      </c>
      <c r="M48" s="24" t="str">
        <f>IF($A48="","",IF(COUNTIFS('Nhật ký bảo trì'!$D$6:$D$405,$A48,'Nhật ký bảo trì'!$Q$6:$Q$405,"Hoàn thành",'Nhật ký bảo trì'!$B$6:$B$405,"&gt;="&amp;M$5,'Nhật ký bảo trì'!$B$6:$B$405,"&lt;="&amp;EOMONTH(M$5,0))&gt;0,"✔",IF(((EOMONTH(M$5,0)&gt;='Kế hoạch định kỳ'!$W48)*(INT((EOMONTH(M$5,0)-'Kế hoạch định kỳ'!$W48)/'Kế hoạch định kỳ'!$X48)+1)-(M$5-1&gt;='Kế hoạch định kỳ'!$W48)*(INT((M$5-1-'Kế hoạch định kỳ'!$W48)/'Kế hoạch định kỳ'!$X48)+1))&gt;0,IF(EOMONTH(M$5,0)&lt;'Tổng quan'!$B$11,"✖","○"),"")))</f>
        <v/>
      </c>
      <c r="N48" s="24" t="str">
        <f>IF($A48="","",IF(COUNTIFS('Nhật ký bảo trì'!$D$6:$D$405,$A48,'Nhật ký bảo trì'!$Q$6:$Q$405,"Hoàn thành",'Nhật ký bảo trì'!$B$6:$B$405,"&gt;="&amp;N$5,'Nhật ký bảo trì'!$B$6:$B$405,"&lt;="&amp;EOMONTH(N$5,0))&gt;0,"✔",IF(((EOMONTH(N$5,0)&gt;='Kế hoạch định kỳ'!$W48)*(INT((EOMONTH(N$5,0)-'Kế hoạch định kỳ'!$W48)/'Kế hoạch định kỳ'!$X48)+1)-(N$5-1&gt;='Kế hoạch định kỳ'!$W48)*(INT((N$5-1-'Kế hoạch định kỳ'!$W48)/'Kế hoạch định kỳ'!$X48)+1))&gt;0,IF(EOMONTH(N$5,0)&lt;'Tổng quan'!$B$11,"✖","○"),"")))</f>
        <v/>
      </c>
      <c r="O48" s="24" t="str">
        <f>IF($A48="","",IF(COUNTIFS('Nhật ký bảo trì'!$D$6:$D$405,$A48,'Nhật ký bảo trì'!$Q$6:$Q$405,"Hoàn thành",'Nhật ký bảo trì'!$B$6:$B$405,"&gt;="&amp;O$5,'Nhật ký bảo trì'!$B$6:$B$405,"&lt;="&amp;EOMONTH(O$5,0))&gt;0,"✔",IF(((EOMONTH(O$5,0)&gt;='Kế hoạch định kỳ'!$W48)*(INT((EOMONTH(O$5,0)-'Kế hoạch định kỳ'!$W48)/'Kế hoạch định kỳ'!$X48)+1)-(O$5-1&gt;='Kế hoạch định kỳ'!$W48)*(INT((O$5-1-'Kế hoạch định kỳ'!$W48)/'Kế hoạch định kỳ'!$X48)+1))&gt;0,IF(EOMONTH(O$5,0)&lt;'Tổng quan'!$B$11,"✖","○"),"")))</f>
        <v/>
      </c>
      <c r="P48" s="24" t="str">
        <f>IF($A48="","",IF(COUNTIFS('Nhật ký bảo trì'!$D$6:$D$405,$A48,'Nhật ký bảo trì'!$Q$6:$Q$405,"Hoàn thành",'Nhật ký bảo trì'!$B$6:$B$405,"&gt;="&amp;P$5,'Nhật ký bảo trì'!$B$6:$B$405,"&lt;="&amp;EOMONTH(P$5,0))&gt;0,"✔",IF(((EOMONTH(P$5,0)&gt;='Kế hoạch định kỳ'!$W48)*(INT((EOMONTH(P$5,0)-'Kế hoạch định kỳ'!$W48)/'Kế hoạch định kỳ'!$X48)+1)-(P$5-1&gt;='Kế hoạch định kỳ'!$W48)*(INT((P$5-1-'Kế hoạch định kỳ'!$W48)/'Kế hoạch định kỳ'!$X48)+1))&gt;0,IF(EOMONTH(P$5,0)&lt;'Tổng quan'!$B$11,"✖","○"),"")))</f>
        <v/>
      </c>
      <c r="Q48" s="16" t="str">
        <f>IF($A48="","",COUNTIFS('Nhật ký bảo trì'!$D$6:$D$405,$A48,'Nhật ký bảo trì'!$Q$6:$Q$405,"Hoàn thành",'Nhật ký bảo trì'!$B$6:$B$405,"&gt;="&amp;DATE('Tổng quan'!$B$6,1,1),'Nhật ký bảo trì'!$B$6:$B$405,"&lt;="&amp;DATE('Tổng quan'!$B$6,12,31)))</f>
        <v/>
      </c>
      <c r="R48" s="16" t="str">
        <f t="shared" si="1"/>
        <v/>
      </c>
    </row>
    <row r="49" ht="24.0" customHeight="1">
      <c r="A49" s="26" t="str">
        <f>IF('Kế hoạch định kỳ'!$B49="","",'Kế hoạch định kỳ'!$B49)</f>
        <v/>
      </c>
      <c r="B49" s="28" t="str">
        <f>IF('Kế hoạch định kỳ'!$B49="","",'Kế hoạch định kỳ'!$D49)</f>
        <v/>
      </c>
      <c r="C49" s="56" t="str">
        <f>IF('Kế hoạch định kỳ'!$B49="","",'Kế hoạch định kỳ'!$F49)</f>
        <v/>
      </c>
      <c r="D49" s="26" t="str">
        <f>IF('Kế hoạch định kỳ'!$B49="","",IF('Kế hoạch định kỳ'!$I49&lt;&gt;"",'Kế hoạch định kỳ'!$I49&amp;" ngày",'Kế hoạch định kỳ'!$H49))</f>
        <v/>
      </c>
      <c r="E49" s="61" t="str">
        <f>IF($A49="","",IF(COUNTIFS('Nhật ký bảo trì'!$D$6:$D$405,$A49,'Nhật ký bảo trì'!$Q$6:$Q$405,"Hoàn thành",'Nhật ký bảo trì'!$B$6:$B$405,"&gt;="&amp;E$5,'Nhật ký bảo trì'!$B$6:$B$405,"&lt;="&amp;EOMONTH(E$5,0))&gt;0,"✔",IF(((EOMONTH(E$5,0)&gt;='Kế hoạch định kỳ'!$W49)*(INT((EOMONTH(E$5,0)-'Kế hoạch định kỳ'!$W49)/'Kế hoạch định kỳ'!$X49)+1)-(E$5-1&gt;='Kế hoạch định kỳ'!$W49)*(INT((E$5-1-'Kế hoạch định kỳ'!$W49)/'Kế hoạch định kỳ'!$X49)+1))&gt;0,IF(EOMONTH(E$5,0)&lt;'Tổng quan'!$B$11,"✖","○"),"")))</f>
        <v/>
      </c>
      <c r="F49" s="61" t="str">
        <f>IF($A49="","",IF(COUNTIFS('Nhật ký bảo trì'!$D$6:$D$405,$A49,'Nhật ký bảo trì'!$Q$6:$Q$405,"Hoàn thành",'Nhật ký bảo trì'!$B$6:$B$405,"&gt;="&amp;F$5,'Nhật ký bảo trì'!$B$6:$B$405,"&lt;="&amp;EOMONTH(F$5,0))&gt;0,"✔",IF(((EOMONTH(F$5,0)&gt;='Kế hoạch định kỳ'!$W49)*(INT((EOMONTH(F$5,0)-'Kế hoạch định kỳ'!$W49)/'Kế hoạch định kỳ'!$X49)+1)-(F$5-1&gt;='Kế hoạch định kỳ'!$W49)*(INT((F$5-1-'Kế hoạch định kỳ'!$W49)/'Kế hoạch định kỳ'!$X49)+1))&gt;0,IF(EOMONTH(F$5,0)&lt;'Tổng quan'!$B$11,"✖","○"),"")))</f>
        <v/>
      </c>
      <c r="G49" s="61" t="str">
        <f>IF($A49="","",IF(COUNTIFS('Nhật ký bảo trì'!$D$6:$D$405,$A49,'Nhật ký bảo trì'!$Q$6:$Q$405,"Hoàn thành",'Nhật ký bảo trì'!$B$6:$B$405,"&gt;="&amp;G$5,'Nhật ký bảo trì'!$B$6:$B$405,"&lt;="&amp;EOMONTH(G$5,0))&gt;0,"✔",IF(((EOMONTH(G$5,0)&gt;='Kế hoạch định kỳ'!$W49)*(INT((EOMONTH(G$5,0)-'Kế hoạch định kỳ'!$W49)/'Kế hoạch định kỳ'!$X49)+1)-(G$5-1&gt;='Kế hoạch định kỳ'!$W49)*(INT((G$5-1-'Kế hoạch định kỳ'!$W49)/'Kế hoạch định kỳ'!$X49)+1))&gt;0,IF(EOMONTH(G$5,0)&lt;'Tổng quan'!$B$11,"✖","○"),"")))</f>
        <v/>
      </c>
      <c r="H49" s="61" t="str">
        <f>IF($A49="","",IF(COUNTIFS('Nhật ký bảo trì'!$D$6:$D$405,$A49,'Nhật ký bảo trì'!$Q$6:$Q$405,"Hoàn thành",'Nhật ký bảo trì'!$B$6:$B$405,"&gt;="&amp;H$5,'Nhật ký bảo trì'!$B$6:$B$405,"&lt;="&amp;EOMONTH(H$5,0))&gt;0,"✔",IF(((EOMONTH(H$5,0)&gt;='Kế hoạch định kỳ'!$W49)*(INT((EOMONTH(H$5,0)-'Kế hoạch định kỳ'!$W49)/'Kế hoạch định kỳ'!$X49)+1)-(H$5-1&gt;='Kế hoạch định kỳ'!$W49)*(INT((H$5-1-'Kế hoạch định kỳ'!$W49)/'Kế hoạch định kỳ'!$X49)+1))&gt;0,IF(EOMONTH(H$5,0)&lt;'Tổng quan'!$B$11,"✖","○"),"")))</f>
        <v/>
      </c>
      <c r="I49" s="61" t="str">
        <f>IF($A49="","",IF(COUNTIFS('Nhật ký bảo trì'!$D$6:$D$405,$A49,'Nhật ký bảo trì'!$Q$6:$Q$405,"Hoàn thành",'Nhật ký bảo trì'!$B$6:$B$405,"&gt;="&amp;I$5,'Nhật ký bảo trì'!$B$6:$B$405,"&lt;="&amp;EOMONTH(I$5,0))&gt;0,"✔",IF(((EOMONTH(I$5,0)&gt;='Kế hoạch định kỳ'!$W49)*(INT((EOMONTH(I$5,0)-'Kế hoạch định kỳ'!$W49)/'Kế hoạch định kỳ'!$X49)+1)-(I$5-1&gt;='Kế hoạch định kỳ'!$W49)*(INT((I$5-1-'Kế hoạch định kỳ'!$W49)/'Kế hoạch định kỳ'!$X49)+1))&gt;0,IF(EOMONTH(I$5,0)&lt;'Tổng quan'!$B$11,"✖","○"),"")))</f>
        <v/>
      </c>
      <c r="J49" s="61" t="str">
        <f>IF($A49="","",IF(COUNTIFS('Nhật ký bảo trì'!$D$6:$D$405,$A49,'Nhật ký bảo trì'!$Q$6:$Q$405,"Hoàn thành",'Nhật ký bảo trì'!$B$6:$B$405,"&gt;="&amp;J$5,'Nhật ký bảo trì'!$B$6:$B$405,"&lt;="&amp;EOMONTH(J$5,0))&gt;0,"✔",IF(((EOMONTH(J$5,0)&gt;='Kế hoạch định kỳ'!$W49)*(INT((EOMONTH(J$5,0)-'Kế hoạch định kỳ'!$W49)/'Kế hoạch định kỳ'!$X49)+1)-(J$5-1&gt;='Kế hoạch định kỳ'!$W49)*(INT((J$5-1-'Kế hoạch định kỳ'!$W49)/'Kế hoạch định kỳ'!$X49)+1))&gt;0,IF(EOMONTH(J$5,0)&lt;'Tổng quan'!$B$11,"✖","○"),"")))</f>
        <v/>
      </c>
      <c r="K49" s="61" t="str">
        <f>IF($A49="","",IF(COUNTIFS('Nhật ký bảo trì'!$D$6:$D$405,$A49,'Nhật ký bảo trì'!$Q$6:$Q$405,"Hoàn thành",'Nhật ký bảo trì'!$B$6:$B$405,"&gt;="&amp;K$5,'Nhật ký bảo trì'!$B$6:$B$405,"&lt;="&amp;EOMONTH(K$5,0))&gt;0,"✔",IF(((EOMONTH(K$5,0)&gt;='Kế hoạch định kỳ'!$W49)*(INT((EOMONTH(K$5,0)-'Kế hoạch định kỳ'!$W49)/'Kế hoạch định kỳ'!$X49)+1)-(K$5-1&gt;='Kế hoạch định kỳ'!$W49)*(INT((K$5-1-'Kế hoạch định kỳ'!$W49)/'Kế hoạch định kỳ'!$X49)+1))&gt;0,IF(EOMONTH(K$5,0)&lt;'Tổng quan'!$B$11,"✖","○"),"")))</f>
        <v/>
      </c>
      <c r="L49" s="61" t="str">
        <f>IF($A49="","",IF(COUNTIFS('Nhật ký bảo trì'!$D$6:$D$405,$A49,'Nhật ký bảo trì'!$Q$6:$Q$405,"Hoàn thành",'Nhật ký bảo trì'!$B$6:$B$405,"&gt;="&amp;L$5,'Nhật ký bảo trì'!$B$6:$B$405,"&lt;="&amp;EOMONTH(L$5,0))&gt;0,"✔",IF(((EOMONTH(L$5,0)&gt;='Kế hoạch định kỳ'!$W49)*(INT((EOMONTH(L$5,0)-'Kế hoạch định kỳ'!$W49)/'Kế hoạch định kỳ'!$X49)+1)-(L$5-1&gt;='Kế hoạch định kỳ'!$W49)*(INT((L$5-1-'Kế hoạch định kỳ'!$W49)/'Kế hoạch định kỳ'!$X49)+1))&gt;0,IF(EOMONTH(L$5,0)&lt;'Tổng quan'!$B$11,"✖","○"),"")))</f>
        <v/>
      </c>
      <c r="M49" s="61" t="str">
        <f>IF($A49="","",IF(COUNTIFS('Nhật ký bảo trì'!$D$6:$D$405,$A49,'Nhật ký bảo trì'!$Q$6:$Q$405,"Hoàn thành",'Nhật ký bảo trì'!$B$6:$B$405,"&gt;="&amp;M$5,'Nhật ký bảo trì'!$B$6:$B$405,"&lt;="&amp;EOMONTH(M$5,0))&gt;0,"✔",IF(((EOMONTH(M$5,0)&gt;='Kế hoạch định kỳ'!$W49)*(INT((EOMONTH(M$5,0)-'Kế hoạch định kỳ'!$W49)/'Kế hoạch định kỳ'!$X49)+1)-(M$5-1&gt;='Kế hoạch định kỳ'!$W49)*(INT((M$5-1-'Kế hoạch định kỳ'!$W49)/'Kế hoạch định kỳ'!$X49)+1))&gt;0,IF(EOMONTH(M$5,0)&lt;'Tổng quan'!$B$11,"✖","○"),"")))</f>
        <v/>
      </c>
      <c r="N49" s="61" t="str">
        <f>IF($A49="","",IF(COUNTIFS('Nhật ký bảo trì'!$D$6:$D$405,$A49,'Nhật ký bảo trì'!$Q$6:$Q$405,"Hoàn thành",'Nhật ký bảo trì'!$B$6:$B$405,"&gt;="&amp;N$5,'Nhật ký bảo trì'!$B$6:$B$405,"&lt;="&amp;EOMONTH(N$5,0))&gt;0,"✔",IF(((EOMONTH(N$5,0)&gt;='Kế hoạch định kỳ'!$W49)*(INT((EOMONTH(N$5,0)-'Kế hoạch định kỳ'!$W49)/'Kế hoạch định kỳ'!$X49)+1)-(N$5-1&gt;='Kế hoạch định kỳ'!$W49)*(INT((N$5-1-'Kế hoạch định kỳ'!$W49)/'Kế hoạch định kỳ'!$X49)+1))&gt;0,IF(EOMONTH(N$5,0)&lt;'Tổng quan'!$B$11,"✖","○"),"")))</f>
        <v/>
      </c>
      <c r="O49" s="61" t="str">
        <f>IF($A49="","",IF(COUNTIFS('Nhật ký bảo trì'!$D$6:$D$405,$A49,'Nhật ký bảo trì'!$Q$6:$Q$405,"Hoàn thành",'Nhật ký bảo trì'!$B$6:$B$405,"&gt;="&amp;O$5,'Nhật ký bảo trì'!$B$6:$B$405,"&lt;="&amp;EOMONTH(O$5,0))&gt;0,"✔",IF(((EOMONTH(O$5,0)&gt;='Kế hoạch định kỳ'!$W49)*(INT((EOMONTH(O$5,0)-'Kế hoạch định kỳ'!$W49)/'Kế hoạch định kỳ'!$X49)+1)-(O$5-1&gt;='Kế hoạch định kỳ'!$W49)*(INT((O$5-1-'Kế hoạch định kỳ'!$W49)/'Kế hoạch định kỳ'!$X49)+1))&gt;0,IF(EOMONTH(O$5,0)&lt;'Tổng quan'!$B$11,"✖","○"),"")))</f>
        <v/>
      </c>
      <c r="P49" s="61" t="str">
        <f>IF($A49="","",IF(COUNTIFS('Nhật ký bảo trì'!$D$6:$D$405,$A49,'Nhật ký bảo trì'!$Q$6:$Q$405,"Hoàn thành",'Nhật ký bảo trì'!$B$6:$B$405,"&gt;="&amp;P$5,'Nhật ký bảo trì'!$B$6:$B$405,"&lt;="&amp;EOMONTH(P$5,0))&gt;0,"✔",IF(((EOMONTH(P$5,0)&gt;='Kế hoạch định kỳ'!$W49)*(INT((EOMONTH(P$5,0)-'Kế hoạch định kỳ'!$W49)/'Kế hoạch định kỳ'!$X49)+1)-(P$5-1&gt;='Kế hoạch định kỳ'!$W49)*(INT((P$5-1-'Kế hoạch định kỳ'!$W49)/'Kế hoạch định kỳ'!$X49)+1))&gt;0,IF(EOMONTH(P$5,0)&lt;'Tổng quan'!$B$11,"✖","○"),"")))</f>
        <v/>
      </c>
      <c r="Q49" s="30" t="str">
        <f>IF($A49="","",COUNTIFS('Nhật ký bảo trì'!$D$6:$D$405,$A49,'Nhật ký bảo trì'!$Q$6:$Q$405,"Hoàn thành",'Nhật ký bảo trì'!$B$6:$B$405,"&gt;="&amp;DATE('Tổng quan'!$B$6,1,1),'Nhật ký bảo trì'!$B$6:$B$405,"&lt;="&amp;DATE('Tổng quan'!$B$6,12,31)))</f>
        <v/>
      </c>
      <c r="R49" s="30" t="str">
        <f t="shared" si="1"/>
        <v/>
      </c>
    </row>
    <row r="50" ht="24.0" customHeight="1">
      <c r="A50" s="10" t="str">
        <f>IF('Kế hoạch định kỳ'!$B50="","",'Kế hoạch định kỳ'!$B50)</f>
        <v/>
      </c>
      <c r="B50" s="14" t="str">
        <f>IF('Kế hoạch định kỳ'!$B50="","",'Kế hoạch định kỳ'!$D50)</f>
        <v/>
      </c>
      <c r="C50" s="18" t="str">
        <f>IF('Kế hoạch định kỳ'!$B50="","",'Kế hoạch định kỳ'!$F50)</f>
        <v/>
      </c>
      <c r="D50" s="10" t="str">
        <f>IF('Kế hoạch định kỳ'!$B50="","",IF('Kế hoạch định kỳ'!$I50&lt;&gt;"",'Kế hoạch định kỳ'!$I50&amp;" ngày",'Kế hoạch định kỳ'!$H50))</f>
        <v/>
      </c>
      <c r="E50" s="24" t="str">
        <f>IF($A50="","",IF(COUNTIFS('Nhật ký bảo trì'!$D$6:$D$405,$A50,'Nhật ký bảo trì'!$Q$6:$Q$405,"Hoàn thành",'Nhật ký bảo trì'!$B$6:$B$405,"&gt;="&amp;E$5,'Nhật ký bảo trì'!$B$6:$B$405,"&lt;="&amp;EOMONTH(E$5,0))&gt;0,"✔",IF(((EOMONTH(E$5,0)&gt;='Kế hoạch định kỳ'!$W50)*(INT((EOMONTH(E$5,0)-'Kế hoạch định kỳ'!$W50)/'Kế hoạch định kỳ'!$X50)+1)-(E$5-1&gt;='Kế hoạch định kỳ'!$W50)*(INT((E$5-1-'Kế hoạch định kỳ'!$W50)/'Kế hoạch định kỳ'!$X50)+1))&gt;0,IF(EOMONTH(E$5,0)&lt;'Tổng quan'!$B$11,"✖","○"),"")))</f>
        <v/>
      </c>
      <c r="F50" s="24" t="str">
        <f>IF($A50="","",IF(COUNTIFS('Nhật ký bảo trì'!$D$6:$D$405,$A50,'Nhật ký bảo trì'!$Q$6:$Q$405,"Hoàn thành",'Nhật ký bảo trì'!$B$6:$B$405,"&gt;="&amp;F$5,'Nhật ký bảo trì'!$B$6:$B$405,"&lt;="&amp;EOMONTH(F$5,0))&gt;0,"✔",IF(((EOMONTH(F$5,0)&gt;='Kế hoạch định kỳ'!$W50)*(INT((EOMONTH(F$5,0)-'Kế hoạch định kỳ'!$W50)/'Kế hoạch định kỳ'!$X50)+1)-(F$5-1&gt;='Kế hoạch định kỳ'!$W50)*(INT((F$5-1-'Kế hoạch định kỳ'!$W50)/'Kế hoạch định kỳ'!$X50)+1))&gt;0,IF(EOMONTH(F$5,0)&lt;'Tổng quan'!$B$11,"✖","○"),"")))</f>
        <v/>
      </c>
      <c r="G50" s="24" t="str">
        <f>IF($A50="","",IF(COUNTIFS('Nhật ký bảo trì'!$D$6:$D$405,$A50,'Nhật ký bảo trì'!$Q$6:$Q$405,"Hoàn thành",'Nhật ký bảo trì'!$B$6:$B$405,"&gt;="&amp;G$5,'Nhật ký bảo trì'!$B$6:$B$405,"&lt;="&amp;EOMONTH(G$5,0))&gt;0,"✔",IF(((EOMONTH(G$5,0)&gt;='Kế hoạch định kỳ'!$W50)*(INT((EOMONTH(G$5,0)-'Kế hoạch định kỳ'!$W50)/'Kế hoạch định kỳ'!$X50)+1)-(G$5-1&gt;='Kế hoạch định kỳ'!$W50)*(INT((G$5-1-'Kế hoạch định kỳ'!$W50)/'Kế hoạch định kỳ'!$X50)+1))&gt;0,IF(EOMONTH(G$5,0)&lt;'Tổng quan'!$B$11,"✖","○"),"")))</f>
        <v/>
      </c>
      <c r="H50" s="24" t="str">
        <f>IF($A50="","",IF(COUNTIFS('Nhật ký bảo trì'!$D$6:$D$405,$A50,'Nhật ký bảo trì'!$Q$6:$Q$405,"Hoàn thành",'Nhật ký bảo trì'!$B$6:$B$405,"&gt;="&amp;H$5,'Nhật ký bảo trì'!$B$6:$B$405,"&lt;="&amp;EOMONTH(H$5,0))&gt;0,"✔",IF(((EOMONTH(H$5,0)&gt;='Kế hoạch định kỳ'!$W50)*(INT((EOMONTH(H$5,0)-'Kế hoạch định kỳ'!$W50)/'Kế hoạch định kỳ'!$X50)+1)-(H$5-1&gt;='Kế hoạch định kỳ'!$W50)*(INT((H$5-1-'Kế hoạch định kỳ'!$W50)/'Kế hoạch định kỳ'!$X50)+1))&gt;0,IF(EOMONTH(H$5,0)&lt;'Tổng quan'!$B$11,"✖","○"),"")))</f>
        <v/>
      </c>
      <c r="I50" s="24" t="str">
        <f>IF($A50="","",IF(COUNTIFS('Nhật ký bảo trì'!$D$6:$D$405,$A50,'Nhật ký bảo trì'!$Q$6:$Q$405,"Hoàn thành",'Nhật ký bảo trì'!$B$6:$B$405,"&gt;="&amp;I$5,'Nhật ký bảo trì'!$B$6:$B$405,"&lt;="&amp;EOMONTH(I$5,0))&gt;0,"✔",IF(((EOMONTH(I$5,0)&gt;='Kế hoạch định kỳ'!$W50)*(INT((EOMONTH(I$5,0)-'Kế hoạch định kỳ'!$W50)/'Kế hoạch định kỳ'!$X50)+1)-(I$5-1&gt;='Kế hoạch định kỳ'!$W50)*(INT((I$5-1-'Kế hoạch định kỳ'!$W50)/'Kế hoạch định kỳ'!$X50)+1))&gt;0,IF(EOMONTH(I$5,0)&lt;'Tổng quan'!$B$11,"✖","○"),"")))</f>
        <v/>
      </c>
      <c r="J50" s="24" t="str">
        <f>IF($A50="","",IF(COUNTIFS('Nhật ký bảo trì'!$D$6:$D$405,$A50,'Nhật ký bảo trì'!$Q$6:$Q$405,"Hoàn thành",'Nhật ký bảo trì'!$B$6:$B$405,"&gt;="&amp;J$5,'Nhật ký bảo trì'!$B$6:$B$405,"&lt;="&amp;EOMONTH(J$5,0))&gt;0,"✔",IF(((EOMONTH(J$5,0)&gt;='Kế hoạch định kỳ'!$W50)*(INT((EOMONTH(J$5,0)-'Kế hoạch định kỳ'!$W50)/'Kế hoạch định kỳ'!$X50)+1)-(J$5-1&gt;='Kế hoạch định kỳ'!$W50)*(INT((J$5-1-'Kế hoạch định kỳ'!$W50)/'Kế hoạch định kỳ'!$X50)+1))&gt;0,IF(EOMONTH(J$5,0)&lt;'Tổng quan'!$B$11,"✖","○"),"")))</f>
        <v/>
      </c>
      <c r="K50" s="24" t="str">
        <f>IF($A50="","",IF(COUNTIFS('Nhật ký bảo trì'!$D$6:$D$405,$A50,'Nhật ký bảo trì'!$Q$6:$Q$405,"Hoàn thành",'Nhật ký bảo trì'!$B$6:$B$405,"&gt;="&amp;K$5,'Nhật ký bảo trì'!$B$6:$B$405,"&lt;="&amp;EOMONTH(K$5,0))&gt;0,"✔",IF(((EOMONTH(K$5,0)&gt;='Kế hoạch định kỳ'!$W50)*(INT((EOMONTH(K$5,0)-'Kế hoạch định kỳ'!$W50)/'Kế hoạch định kỳ'!$X50)+1)-(K$5-1&gt;='Kế hoạch định kỳ'!$W50)*(INT((K$5-1-'Kế hoạch định kỳ'!$W50)/'Kế hoạch định kỳ'!$X50)+1))&gt;0,IF(EOMONTH(K$5,0)&lt;'Tổng quan'!$B$11,"✖","○"),"")))</f>
        <v/>
      </c>
      <c r="L50" s="24" t="str">
        <f>IF($A50="","",IF(COUNTIFS('Nhật ký bảo trì'!$D$6:$D$405,$A50,'Nhật ký bảo trì'!$Q$6:$Q$405,"Hoàn thành",'Nhật ký bảo trì'!$B$6:$B$405,"&gt;="&amp;L$5,'Nhật ký bảo trì'!$B$6:$B$405,"&lt;="&amp;EOMONTH(L$5,0))&gt;0,"✔",IF(((EOMONTH(L$5,0)&gt;='Kế hoạch định kỳ'!$W50)*(INT((EOMONTH(L$5,0)-'Kế hoạch định kỳ'!$W50)/'Kế hoạch định kỳ'!$X50)+1)-(L$5-1&gt;='Kế hoạch định kỳ'!$W50)*(INT((L$5-1-'Kế hoạch định kỳ'!$W50)/'Kế hoạch định kỳ'!$X50)+1))&gt;0,IF(EOMONTH(L$5,0)&lt;'Tổng quan'!$B$11,"✖","○"),"")))</f>
        <v/>
      </c>
      <c r="M50" s="24" t="str">
        <f>IF($A50="","",IF(COUNTIFS('Nhật ký bảo trì'!$D$6:$D$405,$A50,'Nhật ký bảo trì'!$Q$6:$Q$405,"Hoàn thành",'Nhật ký bảo trì'!$B$6:$B$405,"&gt;="&amp;M$5,'Nhật ký bảo trì'!$B$6:$B$405,"&lt;="&amp;EOMONTH(M$5,0))&gt;0,"✔",IF(((EOMONTH(M$5,0)&gt;='Kế hoạch định kỳ'!$W50)*(INT((EOMONTH(M$5,0)-'Kế hoạch định kỳ'!$W50)/'Kế hoạch định kỳ'!$X50)+1)-(M$5-1&gt;='Kế hoạch định kỳ'!$W50)*(INT((M$5-1-'Kế hoạch định kỳ'!$W50)/'Kế hoạch định kỳ'!$X50)+1))&gt;0,IF(EOMONTH(M$5,0)&lt;'Tổng quan'!$B$11,"✖","○"),"")))</f>
        <v/>
      </c>
      <c r="N50" s="24" t="str">
        <f>IF($A50="","",IF(COUNTIFS('Nhật ký bảo trì'!$D$6:$D$405,$A50,'Nhật ký bảo trì'!$Q$6:$Q$405,"Hoàn thành",'Nhật ký bảo trì'!$B$6:$B$405,"&gt;="&amp;N$5,'Nhật ký bảo trì'!$B$6:$B$405,"&lt;="&amp;EOMONTH(N$5,0))&gt;0,"✔",IF(((EOMONTH(N$5,0)&gt;='Kế hoạch định kỳ'!$W50)*(INT((EOMONTH(N$5,0)-'Kế hoạch định kỳ'!$W50)/'Kế hoạch định kỳ'!$X50)+1)-(N$5-1&gt;='Kế hoạch định kỳ'!$W50)*(INT((N$5-1-'Kế hoạch định kỳ'!$W50)/'Kế hoạch định kỳ'!$X50)+1))&gt;0,IF(EOMONTH(N$5,0)&lt;'Tổng quan'!$B$11,"✖","○"),"")))</f>
        <v/>
      </c>
      <c r="O50" s="24" t="str">
        <f>IF($A50="","",IF(COUNTIFS('Nhật ký bảo trì'!$D$6:$D$405,$A50,'Nhật ký bảo trì'!$Q$6:$Q$405,"Hoàn thành",'Nhật ký bảo trì'!$B$6:$B$405,"&gt;="&amp;O$5,'Nhật ký bảo trì'!$B$6:$B$405,"&lt;="&amp;EOMONTH(O$5,0))&gt;0,"✔",IF(((EOMONTH(O$5,0)&gt;='Kế hoạch định kỳ'!$W50)*(INT((EOMONTH(O$5,0)-'Kế hoạch định kỳ'!$W50)/'Kế hoạch định kỳ'!$X50)+1)-(O$5-1&gt;='Kế hoạch định kỳ'!$W50)*(INT((O$5-1-'Kế hoạch định kỳ'!$W50)/'Kế hoạch định kỳ'!$X50)+1))&gt;0,IF(EOMONTH(O$5,0)&lt;'Tổng quan'!$B$11,"✖","○"),"")))</f>
        <v/>
      </c>
      <c r="P50" s="24" t="str">
        <f>IF($A50="","",IF(COUNTIFS('Nhật ký bảo trì'!$D$6:$D$405,$A50,'Nhật ký bảo trì'!$Q$6:$Q$405,"Hoàn thành",'Nhật ký bảo trì'!$B$6:$B$405,"&gt;="&amp;P$5,'Nhật ký bảo trì'!$B$6:$B$405,"&lt;="&amp;EOMONTH(P$5,0))&gt;0,"✔",IF(((EOMONTH(P$5,0)&gt;='Kế hoạch định kỳ'!$W50)*(INT((EOMONTH(P$5,0)-'Kế hoạch định kỳ'!$W50)/'Kế hoạch định kỳ'!$X50)+1)-(P$5-1&gt;='Kế hoạch định kỳ'!$W50)*(INT((P$5-1-'Kế hoạch định kỳ'!$W50)/'Kế hoạch định kỳ'!$X50)+1))&gt;0,IF(EOMONTH(P$5,0)&lt;'Tổng quan'!$B$11,"✖","○"),"")))</f>
        <v/>
      </c>
      <c r="Q50" s="16" t="str">
        <f>IF($A50="","",COUNTIFS('Nhật ký bảo trì'!$D$6:$D$405,$A50,'Nhật ký bảo trì'!$Q$6:$Q$405,"Hoàn thành",'Nhật ký bảo trì'!$B$6:$B$405,"&gt;="&amp;DATE('Tổng quan'!$B$6,1,1),'Nhật ký bảo trì'!$B$6:$B$405,"&lt;="&amp;DATE('Tổng quan'!$B$6,12,31)))</f>
        <v/>
      </c>
      <c r="R50" s="16" t="str">
        <f t="shared" si="1"/>
        <v/>
      </c>
    </row>
    <row r="51" ht="24.0" customHeight="1">
      <c r="A51" s="26" t="str">
        <f>IF('Kế hoạch định kỳ'!$B51="","",'Kế hoạch định kỳ'!$B51)</f>
        <v/>
      </c>
      <c r="B51" s="28" t="str">
        <f>IF('Kế hoạch định kỳ'!$B51="","",'Kế hoạch định kỳ'!$D51)</f>
        <v/>
      </c>
      <c r="C51" s="56" t="str">
        <f>IF('Kế hoạch định kỳ'!$B51="","",'Kế hoạch định kỳ'!$F51)</f>
        <v/>
      </c>
      <c r="D51" s="26" t="str">
        <f>IF('Kế hoạch định kỳ'!$B51="","",IF('Kế hoạch định kỳ'!$I51&lt;&gt;"",'Kế hoạch định kỳ'!$I51&amp;" ngày",'Kế hoạch định kỳ'!$H51))</f>
        <v/>
      </c>
      <c r="E51" s="61" t="str">
        <f>IF($A51="","",IF(COUNTIFS('Nhật ký bảo trì'!$D$6:$D$405,$A51,'Nhật ký bảo trì'!$Q$6:$Q$405,"Hoàn thành",'Nhật ký bảo trì'!$B$6:$B$405,"&gt;="&amp;E$5,'Nhật ký bảo trì'!$B$6:$B$405,"&lt;="&amp;EOMONTH(E$5,0))&gt;0,"✔",IF(((EOMONTH(E$5,0)&gt;='Kế hoạch định kỳ'!$W51)*(INT((EOMONTH(E$5,0)-'Kế hoạch định kỳ'!$W51)/'Kế hoạch định kỳ'!$X51)+1)-(E$5-1&gt;='Kế hoạch định kỳ'!$W51)*(INT((E$5-1-'Kế hoạch định kỳ'!$W51)/'Kế hoạch định kỳ'!$X51)+1))&gt;0,IF(EOMONTH(E$5,0)&lt;'Tổng quan'!$B$11,"✖","○"),"")))</f>
        <v/>
      </c>
      <c r="F51" s="61" t="str">
        <f>IF($A51="","",IF(COUNTIFS('Nhật ký bảo trì'!$D$6:$D$405,$A51,'Nhật ký bảo trì'!$Q$6:$Q$405,"Hoàn thành",'Nhật ký bảo trì'!$B$6:$B$405,"&gt;="&amp;F$5,'Nhật ký bảo trì'!$B$6:$B$405,"&lt;="&amp;EOMONTH(F$5,0))&gt;0,"✔",IF(((EOMONTH(F$5,0)&gt;='Kế hoạch định kỳ'!$W51)*(INT((EOMONTH(F$5,0)-'Kế hoạch định kỳ'!$W51)/'Kế hoạch định kỳ'!$X51)+1)-(F$5-1&gt;='Kế hoạch định kỳ'!$W51)*(INT((F$5-1-'Kế hoạch định kỳ'!$W51)/'Kế hoạch định kỳ'!$X51)+1))&gt;0,IF(EOMONTH(F$5,0)&lt;'Tổng quan'!$B$11,"✖","○"),"")))</f>
        <v/>
      </c>
      <c r="G51" s="61" t="str">
        <f>IF($A51="","",IF(COUNTIFS('Nhật ký bảo trì'!$D$6:$D$405,$A51,'Nhật ký bảo trì'!$Q$6:$Q$405,"Hoàn thành",'Nhật ký bảo trì'!$B$6:$B$405,"&gt;="&amp;G$5,'Nhật ký bảo trì'!$B$6:$B$405,"&lt;="&amp;EOMONTH(G$5,0))&gt;0,"✔",IF(((EOMONTH(G$5,0)&gt;='Kế hoạch định kỳ'!$W51)*(INT((EOMONTH(G$5,0)-'Kế hoạch định kỳ'!$W51)/'Kế hoạch định kỳ'!$X51)+1)-(G$5-1&gt;='Kế hoạch định kỳ'!$W51)*(INT((G$5-1-'Kế hoạch định kỳ'!$W51)/'Kế hoạch định kỳ'!$X51)+1))&gt;0,IF(EOMONTH(G$5,0)&lt;'Tổng quan'!$B$11,"✖","○"),"")))</f>
        <v/>
      </c>
      <c r="H51" s="61" t="str">
        <f>IF($A51="","",IF(COUNTIFS('Nhật ký bảo trì'!$D$6:$D$405,$A51,'Nhật ký bảo trì'!$Q$6:$Q$405,"Hoàn thành",'Nhật ký bảo trì'!$B$6:$B$405,"&gt;="&amp;H$5,'Nhật ký bảo trì'!$B$6:$B$405,"&lt;="&amp;EOMONTH(H$5,0))&gt;0,"✔",IF(((EOMONTH(H$5,0)&gt;='Kế hoạch định kỳ'!$W51)*(INT((EOMONTH(H$5,0)-'Kế hoạch định kỳ'!$W51)/'Kế hoạch định kỳ'!$X51)+1)-(H$5-1&gt;='Kế hoạch định kỳ'!$W51)*(INT((H$5-1-'Kế hoạch định kỳ'!$W51)/'Kế hoạch định kỳ'!$X51)+1))&gt;0,IF(EOMONTH(H$5,0)&lt;'Tổng quan'!$B$11,"✖","○"),"")))</f>
        <v/>
      </c>
      <c r="I51" s="61" t="str">
        <f>IF($A51="","",IF(COUNTIFS('Nhật ký bảo trì'!$D$6:$D$405,$A51,'Nhật ký bảo trì'!$Q$6:$Q$405,"Hoàn thành",'Nhật ký bảo trì'!$B$6:$B$405,"&gt;="&amp;I$5,'Nhật ký bảo trì'!$B$6:$B$405,"&lt;="&amp;EOMONTH(I$5,0))&gt;0,"✔",IF(((EOMONTH(I$5,0)&gt;='Kế hoạch định kỳ'!$W51)*(INT((EOMONTH(I$5,0)-'Kế hoạch định kỳ'!$W51)/'Kế hoạch định kỳ'!$X51)+1)-(I$5-1&gt;='Kế hoạch định kỳ'!$W51)*(INT((I$5-1-'Kế hoạch định kỳ'!$W51)/'Kế hoạch định kỳ'!$X51)+1))&gt;0,IF(EOMONTH(I$5,0)&lt;'Tổng quan'!$B$11,"✖","○"),"")))</f>
        <v/>
      </c>
      <c r="J51" s="61" t="str">
        <f>IF($A51="","",IF(COUNTIFS('Nhật ký bảo trì'!$D$6:$D$405,$A51,'Nhật ký bảo trì'!$Q$6:$Q$405,"Hoàn thành",'Nhật ký bảo trì'!$B$6:$B$405,"&gt;="&amp;J$5,'Nhật ký bảo trì'!$B$6:$B$405,"&lt;="&amp;EOMONTH(J$5,0))&gt;0,"✔",IF(((EOMONTH(J$5,0)&gt;='Kế hoạch định kỳ'!$W51)*(INT((EOMONTH(J$5,0)-'Kế hoạch định kỳ'!$W51)/'Kế hoạch định kỳ'!$X51)+1)-(J$5-1&gt;='Kế hoạch định kỳ'!$W51)*(INT((J$5-1-'Kế hoạch định kỳ'!$W51)/'Kế hoạch định kỳ'!$X51)+1))&gt;0,IF(EOMONTH(J$5,0)&lt;'Tổng quan'!$B$11,"✖","○"),"")))</f>
        <v/>
      </c>
      <c r="K51" s="61" t="str">
        <f>IF($A51="","",IF(COUNTIFS('Nhật ký bảo trì'!$D$6:$D$405,$A51,'Nhật ký bảo trì'!$Q$6:$Q$405,"Hoàn thành",'Nhật ký bảo trì'!$B$6:$B$405,"&gt;="&amp;K$5,'Nhật ký bảo trì'!$B$6:$B$405,"&lt;="&amp;EOMONTH(K$5,0))&gt;0,"✔",IF(((EOMONTH(K$5,0)&gt;='Kế hoạch định kỳ'!$W51)*(INT((EOMONTH(K$5,0)-'Kế hoạch định kỳ'!$W51)/'Kế hoạch định kỳ'!$X51)+1)-(K$5-1&gt;='Kế hoạch định kỳ'!$W51)*(INT((K$5-1-'Kế hoạch định kỳ'!$W51)/'Kế hoạch định kỳ'!$X51)+1))&gt;0,IF(EOMONTH(K$5,0)&lt;'Tổng quan'!$B$11,"✖","○"),"")))</f>
        <v/>
      </c>
      <c r="L51" s="61" t="str">
        <f>IF($A51="","",IF(COUNTIFS('Nhật ký bảo trì'!$D$6:$D$405,$A51,'Nhật ký bảo trì'!$Q$6:$Q$405,"Hoàn thành",'Nhật ký bảo trì'!$B$6:$B$405,"&gt;="&amp;L$5,'Nhật ký bảo trì'!$B$6:$B$405,"&lt;="&amp;EOMONTH(L$5,0))&gt;0,"✔",IF(((EOMONTH(L$5,0)&gt;='Kế hoạch định kỳ'!$W51)*(INT((EOMONTH(L$5,0)-'Kế hoạch định kỳ'!$W51)/'Kế hoạch định kỳ'!$X51)+1)-(L$5-1&gt;='Kế hoạch định kỳ'!$W51)*(INT((L$5-1-'Kế hoạch định kỳ'!$W51)/'Kế hoạch định kỳ'!$X51)+1))&gt;0,IF(EOMONTH(L$5,0)&lt;'Tổng quan'!$B$11,"✖","○"),"")))</f>
        <v/>
      </c>
      <c r="M51" s="61" t="str">
        <f>IF($A51="","",IF(COUNTIFS('Nhật ký bảo trì'!$D$6:$D$405,$A51,'Nhật ký bảo trì'!$Q$6:$Q$405,"Hoàn thành",'Nhật ký bảo trì'!$B$6:$B$405,"&gt;="&amp;M$5,'Nhật ký bảo trì'!$B$6:$B$405,"&lt;="&amp;EOMONTH(M$5,0))&gt;0,"✔",IF(((EOMONTH(M$5,0)&gt;='Kế hoạch định kỳ'!$W51)*(INT((EOMONTH(M$5,0)-'Kế hoạch định kỳ'!$W51)/'Kế hoạch định kỳ'!$X51)+1)-(M$5-1&gt;='Kế hoạch định kỳ'!$W51)*(INT((M$5-1-'Kế hoạch định kỳ'!$W51)/'Kế hoạch định kỳ'!$X51)+1))&gt;0,IF(EOMONTH(M$5,0)&lt;'Tổng quan'!$B$11,"✖","○"),"")))</f>
        <v/>
      </c>
      <c r="N51" s="61" t="str">
        <f>IF($A51="","",IF(COUNTIFS('Nhật ký bảo trì'!$D$6:$D$405,$A51,'Nhật ký bảo trì'!$Q$6:$Q$405,"Hoàn thành",'Nhật ký bảo trì'!$B$6:$B$405,"&gt;="&amp;N$5,'Nhật ký bảo trì'!$B$6:$B$405,"&lt;="&amp;EOMONTH(N$5,0))&gt;0,"✔",IF(((EOMONTH(N$5,0)&gt;='Kế hoạch định kỳ'!$W51)*(INT((EOMONTH(N$5,0)-'Kế hoạch định kỳ'!$W51)/'Kế hoạch định kỳ'!$X51)+1)-(N$5-1&gt;='Kế hoạch định kỳ'!$W51)*(INT((N$5-1-'Kế hoạch định kỳ'!$W51)/'Kế hoạch định kỳ'!$X51)+1))&gt;0,IF(EOMONTH(N$5,0)&lt;'Tổng quan'!$B$11,"✖","○"),"")))</f>
        <v/>
      </c>
      <c r="O51" s="61" t="str">
        <f>IF($A51="","",IF(COUNTIFS('Nhật ký bảo trì'!$D$6:$D$405,$A51,'Nhật ký bảo trì'!$Q$6:$Q$405,"Hoàn thành",'Nhật ký bảo trì'!$B$6:$B$405,"&gt;="&amp;O$5,'Nhật ký bảo trì'!$B$6:$B$405,"&lt;="&amp;EOMONTH(O$5,0))&gt;0,"✔",IF(((EOMONTH(O$5,0)&gt;='Kế hoạch định kỳ'!$W51)*(INT((EOMONTH(O$5,0)-'Kế hoạch định kỳ'!$W51)/'Kế hoạch định kỳ'!$X51)+1)-(O$5-1&gt;='Kế hoạch định kỳ'!$W51)*(INT((O$5-1-'Kế hoạch định kỳ'!$W51)/'Kế hoạch định kỳ'!$X51)+1))&gt;0,IF(EOMONTH(O$5,0)&lt;'Tổng quan'!$B$11,"✖","○"),"")))</f>
        <v/>
      </c>
      <c r="P51" s="61" t="str">
        <f>IF($A51="","",IF(COUNTIFS('Nhật ký bảo trì'!$D$6:$D$405,$A51,'Nhật ký bảo trì'!$Q$6:$Q$405,"Hoàn thành",'Nhật ký bảo trì'!$B$6:$B$405,"&gt;="&amp;P$5,'Nhật ký bảo trì'!$B$6:$B$405,"&lt;="&amp;EOMONTH(P$5,0))&gt;0,"✔",IF(((EOMONTH(P$5,0)&gt;='Kế hoạch định kỳ'!$W51)*(INT((EOMONTH(P$5,0)-'Kế hoạch định kỳ'!$W51)/'Kế hoạch định kỳ'!$X51)+1)-(P$5-1&gt;='Kế hoạch định kỳ'!$W51)*(INT((P$5-1-'Kế hoạch định kỳ'!$W51)/'Kế hoạch định kỳ'!$X51)+1))&gt;0,IF(EOMONTH(P$5,0)&lt;'Tổng quan'!$B$11,"✖","○"),"")))</f>
        <v/>
      </c>
      <c r="Q51" s="30" t="str">
        <f>IF($A51="","",COUNTIFS('Nhật ký bảo trì'!$D$6:$D$405,$A51,'Nhật ký bảo trì'!$Q$6:$Q$405,"Hoàn thành",'Nhật ký bảo trì'!$B$6:$B$405,"&gt;="&amp;DATE('Tổng quan'!$B$6,1,1),'Nhật ký bảo trì'!$B$6:$B$405,"&lt;="&amp;DATE('Tổng quan'!$B$6,12,31)))</f>
        <v/>
      </c>
      <c r="R51" s="30" t="str">
        <f t="shared" si="1"/>
        <v/>
      </c>
    </row>
    <row r="52" ht="24.0" customHeight="1">
      <c r="A52" s="10" t="str">
        <f>IF('Kế hoạch định kỳ'!$B52="","",'Kế hoạch định kỳ'!$B52)</f>
        <v/>
      </c>
      <c r="B52" s="14" t="str">
        <f>IF('Kế hoạch định kỳ'!$B52="","",'Kế hoạch định kỳ'!$D52)</f>
        <v/>
      </c>
      <c r="C52" s="18" t="str">
        <f>IF('Kế hoạch định kỳ'!$B52="","",'Kế hoạch định kỳ'!$F52)</f>
        <v/>
      </c>
      <c r="D52" s="10" t="str">
        <f>IF('Kế hoạch định kỳ'!$B52="","",IF('Kế hoạch định kỳ'!$I52&lt;&gt;"",'Kế hoạch định kỳ'!$I52&amp;" ngày",'Kế hoạch định kỳ'!$H52))</f>
        <v/>
      </c>
      <c r="E52" s="24" t="str">
        <f>IF($A52="","",IF(COUNTIFS('Nhật ký bảo trì'!$D$6:$D$405,$A52,'Nhật ký bảo trì'!$Q$6:$Q$405,"Hoàn thành",'Nhật ký bảo trì'!$B$6:$B$405,"&gt;="&amp;E$5,'Nhật ký bảo trì'!$B$6:$B$405,"&lt;="&amp;EOMONTH(E$5,0))&gt;0,"✔",IF(((EOMONTH(E$5,0)&gt;='Kế hoạch định kỳ'!$W52)*(INT((EOMONTH(E$5,0)-'Kế hoạch định kỳ'!$W52)/'Kế hoạch định kỳ'!$X52)+1)-(E$5-1&gt;='Kế hoạch định kỳ'!$W52)*(INT((E$5-1-'Kế hoạch định kỳ'!$W52)/'Kế hoạch định kỳ'!$X52)+1))&gt;0,IF(EOMONTH(E$5,0)&lt;'Tổng quan'!$B$11,"✖","○"),"")))</f>
        <v/>
      </c>
      <c r="F52" s="24" t="str">
        <f>IF($A52="","",IF(COUNTIFS('Nhật ký bảo trì'!$D$6:$D$405,$A52,'Nhật ký bảo trì'!$Q$6:$Q$405,"Hoàn thành",'Nhật ký bảo trì'!$B$6:$B$405,"&gt;="&amp;F$5,'Nhật ký bảo trì'!$B$6:$B$405,"&lt;="&amp;EOMONTH(F$5,0))&gt;0,"✔",IF(((EOMONTH(F$5,0)&gt;='Kế hoạch định kỳ'!$W52)*(INT((EOMONTH(F$5,0)-'Kế hoạch định kỳ'!$W52)/'Kế hoạch định kỳ'!$X52)+1)-(F$5-1&gt;='Kế hoạch định kỳ'!$W52)*(INT((F$5-1-'Kế hoạch định kỳ'!$W52)/'Kế hoạch định kỳ'!$X52)+1))&gt;0,IF(EOMONTH(F$5,0)&lt;'Tổng quan'!$B$11,"✖","○"),"")))</f>
        <v/>
      </c>
      <c r="G52" s="24" t="str">
        <f>IF($A52="","",IF(COUNTIFS('Nhật ký bảo trì'!$D$6:$D$405,$A52,'Nhật ký bảo trì'!$Q$6:$Q$405,"Hoàn thành",'Nhật ký bảo trì'!$B$6:$B$405,"&gt;="&amp;G$5,'Nhật ký bảo trì'!$B$6:$B$405,"&lt;="&amp;EOMONTH(G$5,0))&gt;0,"✔",IF(((EOMONTH(G$5,0)&gt;='Kế hoạch định kỳ'!$W52)*(INT((EOMONTH(G$5,0)-'Kế hoạch định kỳ'!$W52)/'Kế hoạch định kỳ'!$X52)+1)-(G$5-1&gt;='Kế hoạch định kỳ'!$W52)*(INT((G$5-1-'Kế hoạch định kỳ'!$W52)/'Kế hoạch định kỳ'!$X52)+1))&gt;0,IF(EOMONTH(G$5,0)&lt;'Tổng quan'!$B$11,"✖","○"),"")))</f>
        <v/>
      </c>
      <c r="H52" s="24" t="str">
        <f>IF($A52="","",IF(COUNTIFS('Nhật ký bảo trì'!$D$6:$D$405,$A52,'Nhật ký bảo trì'!$Q$6:$Q$405,"Hoàn thành",'Nhật ký bảo trì'!$B$6:$B$405,"&gt;="&amp;H$5,'Nhật ký bảo trì'!$B$6:$B$405,"&lt;="&amp;EOMONTH(H$5,0))&gt;0,"✔",IF(((EOMONTH(H$5,0)&gt;='Kế hoạch định kỳ'!$W52)*(INT((EOMONTH(H$5,0)-'Kế hoạch định kỳ'!$W52)/'Kế hoạch định kỳ'!$X52)+1)-(H$5-1&gt;='Kế hoạch định kỳ'!$W52)*(INT((H$5-1-'Kế hoạch định kỳ'!$W52)/'Kế hoạch định kỳ'!$X52)+1))&gt;0,IF(EOMONTH(H$5,0)&lt;'Tổng quan'!$B$11,"✖","○"),"")))</f>
        <v/>
      </c>
      <c r="I52" s="24" t="str">
        <f>IF($A52="","",IF(COUNTIFS('Nhật ký bảo trì'!$D$6:$D$405,$A52,'Nhật ký bảo trì'!$Q$6:$Q$405,"Hoàn thành",'Nhật ký bảo trì'!$B$6:$B$405,"&gt;="&amp;I$5,'Nhật ký bảo trì'!$B$6:$B$405,"&lt;="&amp;EOMONTH(I$5,0))&gt;0,"✔",IF(((EOMONTH(I$5,0)&gt;='Kế hoạch định kỳ'!$W52)*(INT((EOMONTH(I$5,0)-'Kế hoạch định kỳ'!$W52)/'Kế hoạch định kỳ'!$X52)+1)-(I$5-1&gt;='Kế hoạch định kỳ'!$W52)*(INT((I$5-1-'Kế hoạch định kỳ'!$W52)/'Kế hoạch định kỳ'!$X52)+1))&gt;0,IF(EOMONTH(I$5,0)&lt;'Tổng quan'!$B$11,"✖","○"),"")))</f>
        <v/>
      </c>
      <c r="J52" s="24" t="str">
        <f>IF($A52="","",IF(COUNTIFS('Nhật ký bảo trì'!$D$6:$D$405,$A52,'Nhật ký bảo trì'!$Q$6:$Q$405,"Hoàn thành",'Nhật ký bảo trì'!$B$6:$B$405,"&gt;="&amp;J$5,'Nhật ký bảo trì'!$B$6:$B$405,"&lt;="&amp;EOMONTH(J$5,0))&gt;0,"✔",IF(((EOMONTH(J$5,0)&gt;='Kế hoạch định kỳ'!$W52)*(INT((EOMONTH(J$5,0)-'Kế hoạch định kỳ'!$W52)/'Kế hoạch định kỳ'!$X52)+1)-(J$5-1&gt;='Kế hoạch định kỳ'!$W52)*(INT((J$5-1-'Kế hoạch định kỳ'!$W52)/'Kế hoạch định kỳ'!$X52)+1))&gt;0,IF(EOMONTH(J$5,0)&lt;'Tổng quan'!$B$11,"✖","○"),"")))</f>
        <v/>
      </c>
      <c r="K52" s="24" t="str">
        <f>IF($A52="","",IF(COUNTIFS('Nhật ký bảo trì'!$D$6:$D$405,$A52,'Nhật ký bảo trì'!$Q$6:$Q$405,"Hoàn thành",'Nhật ký bảo trì'!$B$6:$B$405,"&gt;="&amp;K$5,'Nhật ký bảo trì'!$B$6:$B$405,"&lt;="&amp;EOMONTH(K$5,0))&gt;0,"✔",IF(((EOMONTH(K$5,0)&gt;='Kế hoạch định kỳ'!$W52)*(INT((EOMONTH(K$5,0)-'Kế hoạch định kỳ'!$W52)/'Kế hoạch định kỳ'!$X52)+1)-(K$5-1&gt;='Kế hoạch định kỳ'!$W52)*(INT((K$5-1-'Kế hoạch định kỳ'!$W52)/'Kế hoạch định kỳ'!$X52)+1))&gt;0,IF(EOMONTH(K$5,0)&lt;'Tổng quan'!$B$11,"✖","○"),"")))</f>
        <v/>
      </c>
      <c r="L52" s="24" t="str">
        <f>IF($A52="","",IF(COUNTIFS('Nhật ký bảo trì'!$D$6:$D$405,$A52,'Nhật ký bảo trì'!$Q$6:$Q$405,"Hoàn thành",'Nhật ký bảo trì'!$B$6:$B$405,"&gt;="&amp;L$5,'Nhật ký bảo trì'!$B$6:$B$405,"&lt;="&amp;EOMONTH(L$5,0))&gt;0,"✔",IF(((EOMONTH(L$5,0)&gt;='Kế hoạch định kỳ'!$W52)*(INT((EOMONTH(L$5,0)-'Kế hoạch định kỳ'!$W52)/'Kế hoạch định kỳ'!$X52)+1)-(L$5-1&gt;='Kế hoạch định kỳ'!$W52)*(INT((L$5-1-'Kế hoạch định kỳ'!$W52)/'Kế hoạch định kỳ'!$X52)+1))&gt;0,IF(EOMONTH(L$5,0)&lt;'Tổng quan'!$B$11,"✖","○"),"")))</f>
        <v/>
      </c>
      <c r="M52" s="24" t="str">
        <f>IF($A52="","",IF(COUNTIFS('Nhật ký bảo trì'!$D$6:$D$405,$A52,'Nhật ký bảo trì'!$Q$6:$Q$405,"Hoàn thành",'Nhật ký bảo trì'!$B$6:$B$405,"&gt;="&amp;M$5,'Nhật ký bảo trì'!$B$6:$B$405,"&lt;="&amp;EOMONTH(M$5,0))&gt;0,"✔",IF(((EOMONTH(M$5,0)&gt;='Kế hoạch định kỳ'!$W52)*(INT((EOMONTH(M$5,0)-'Kế hoạch định kỳ'!$W52)/'Kế hoạch định kỳ'!$X52)+1)-(M$5-1&gt;='Kế hoạch định kỳ'!$W52)*(INT((M$5-1-'Kế hoạch định kỳ'!$W52)/'Kế hoạch định kỳ'!$X52)+1))&gt;0,IF(EOMONTH(M$5,0)&lt;'Tổng quan'!$B$11,"✖","○"),"")))</f>
        <v/>
      </c>
      <c r="N52" s="24" t="str">
        <f>IF($A52="","",IF(COUNTIFS('Nhật ký bảo trì'!$D$6:$D$405,$A52,'Nhật ký bảo trì'!$Q$6:$Q$405,"Hoàn thành",'Nhật ký bảo trì'!$B$6:$B$405,"&gt;="&amp;N$5,'Nhật ký bảo trì'!$B$6:$B$405,"&lt;="&amp;EOMONTH(N$5,0))&gt;0,"✔",IF(((EOMONTH(N$5,0)&gt;='Kế hoạch định kỳ'!$W52)*(INT((EOMONTH(N$5,0)-'Kế hoạch định kỳ'!$W52)/'Kế hoạch định kỳ'!$X52)+1)-(N$5-1&gt;='Kế hoạch định kỳ'!$W52)*(INT((N$5-1-'Kế hoạch định kỳ'!$W52)/'Kế hoạch định kỳ'!$X52)+1))&gt;0,IF(EOMONTH(N$5,0)&lt;'Tổng quan'!$B$11,"✖","○"),"")))</f>
        <v/>
      </c>
      <c r="O52" s="24" t="str">
        <f>IF($A52="","",IF(COUNTIFS('Nhật ký bảo trì'!$D$6:$D$405,$A52,'Nhật ký bảo trì'!$Q$6:$Q$405,"Hoàn thành",'Nhật ký bảo trì'!$B$6:$B$405,"&gt;="&amp;O$5,'Nhật ký bảo trì'!$B$6:$B$405,"&lt;="&amp;EOMONTH(O$5,0))&gt;0,"✔",IF(((EOMONTH(O$5,0)&gt;='Kế hoạch định kỳ'!$W52)*(INT((EOMONTH(O$5,0)-'Kế hoạch định kỳ'!$W52)/'Kế hoạch định kỳ'!$X52)+1)-(O$5-1&gt;='Kế hoạch định kỳ'!$W52)*(INT((O$5-1-'Kế hoạch định kỳ'!$W52)/'Kế hoạch định kỳ'!$X52)+1))&gt;0,IF(EOMONTH(O$5,0)&lt;'Tổng quan'!$B$11,"✖","○"),"")))</f>
        <v/>
      </c>
      <c r="P52" s="24" t="str">
        <f>IF($A52="","",IF(COUNTIFS('Nhật ký bảo trì'!$D$6:$D$405,$A52,'Nhật ký bảo trì'!$Q$6:$Q$405,"Hoàn thành",'Nhật ký bảo trì'!$B$6:$B$405,"&gt;="&amp;P$5,'Nhật ký bảo trì'!$B$6:$B$405,"&lt;="&amp;EOMONTH(P$5,0))&gt;0,"✔",IF(((EOMONTH(P$5,0)&gt;='Kế hoạch định kỳ'!$W52)*(INT((EOMONTH(P$5,0)-'Kế hoạch định kỳ'!$W52)/'Kế hoạch định kỳ'!$X52)+1)-(P$5-1&gt;='Kế hoạch định kỳ'!$W52)*(INT((P$5-1-'Kế hoạch định kỳ'!$W52)/'Kế hoạch định kỳ'!$X52)+1))&gt;0,IF(EOMONTH(P$5,0)&lt;'Tổng quan'!$B$11,"✖","○"),"")))</f>
        <v/>
      </c>
      <c r="Q52" s="16" t="str">
        <f>IF($A52="","",COUNTIFS('Nhật ký bảo trì'!$D$6:$D$405,$A52,'Nhật ký bảo trì'!$Q$6:$Q$405,"Hoàn thành",'Nhật ký bảo trì'!$B$6:$B$405,"&gt;="&amp;DATE('Tổng quan'!$B$6,1,1),'Nhật ký bảo trì'!$B$6:$B$405,"&lt;="&amp;DATE('Tổng quan'!$B$6,12,31)))</f>
        <v/>
      </c>
      <c r="R52" s="16" t="str">
        <f t="shared" si="1"/>
        <v/>
      </c>
    </row>
    <row r="53" ht="24.0" customHeight="1">
      <c r="A53" s="26" t="str">
        <f>IF('Kế hoạch định kỳ'!$B53="","",'Kế hoạch định kỳ'!$B53)</f>
        <v/>
      </c>
      <c r="B53" s="28" t="str">
        <f>IF('Kế hoạch định kỳ'!$B53="","",'Kế hoạch định kỳ'!$D53)</f>
        <v/>
      </c>
      <c r="C53" s="56" t="str">
        <f>IF('Kế hoạch định kỳ'!$B53="","",'Kế hoạch định kỳ'!$F53)</f>
        <v/>
      </c>
      <c r="D53" s="26" t="str">
        <f>IF('Kế hoạch định kỳ'!$B53="","",IF('Kế hoạch định kỳ'!$I53&lt;&gt;"",'Kế hoạch định kỳ'!$I53&amp;" ngày",'Kế hoạch định kỳ'!$H53))</f>
        <v/>
      </c>
      <c r="E53" s="61" t="str">
        <f>IF($A53="","",IF(COUNTIFS('Nhật ký bảo trì'!$D$6:$D$405,$A53,'Nhật ký bảo trì'!$Q$6:$Q$405,"Hoàn thành",'Nhật ký bảo trì'!$B$6:$B$405,"&gt;="&amp;E$5,'Nhật ký bảo trì'!$B$6:$B$405,"&lt;="&amp;EOMONTH(E$5,0))&gt;0,"✔",IF(((EOMONTH(E$5,0)&gt;='Kế hoạch định kỳ'!$W53)*(INT((EOMONTH(E$5,0)-'Kế hoạch định kỳ'!$W53)/'Kế hoạch định kỳ'!$X53)+1)-(E$5-1&gt;='Kế hoạch định kỳ'!$W53)*(INT((E$5-1-'Kế hoạch định kỳ'!$W53)/'Kế hoạch định kỳ'!$X53)+1))&gt;0,IF(EOMONTH(E$5,0)&lt;'Tổng quan'!$B$11,"✖","○"),"")))</f>
        <v/>
      </c>
      <c r="F53" s="61" t="str">
        <f>IF($A53="","",IF(COUNTIFS('Nhật ký bảo trì'!$D$6:$D$405,$A53,'Nhật ký bảo trì'!$Q$6:$Q$405,"Hoàn thành",'Nhật ký bảo trì'!$B$6:$B$405,"&gt;="&amp;F$5,'Nhật ký bảo trì'!$B$6:$B$405,"&lt;="&amp;EOMONTH(F$5,0))&gt;0,"✔",IF(((EOMONTH(F$5,0)&gt;='Kế hoạch định kỳ'!$W53)*(INT((EOMONTH(F$5,0)-'Kế hoạch định kỳ'!$W53)/'Kế hoạch định kỳ'!$X53)+1)-(F$5-1&gt;='Kế hoạch định kỳ'!$W53)*(INT((F$5-1-'Kế hoạch định kỳ'!$W53)/'Kế hoạch định kỳ'!$X53)+1))&gt;0,IF(EOMONTH(F$5,0)&lt;'Tổng quan'!$B$11,"✖","○"),"")))</f>
        <v/>
      </c>
      <c r="G53" s="61" t="str">
        <f>IF($A53="","",IF(COUNTIFS('Nhật ký bảo trì'!$D$6:$D$405,$A53,'Nhật ký bảo trì'!$Q$6:$Q$405,"Hoàn thành",'Nhật ký bảo trì'!$B$6:$B$405,"&gt;="&amp;G$5,'Nhật ký bảo trì'!$B$6:$B$405,"&lt;="&amp;EOMONTH(G$5,0))&gt;0,"✔",IF(((EOMONTH(G$5,0)&gt;='Kế hoạch định kỳ'!$W53)*(INT((EOMONTH(G$5,0)-'Kế hoạch định kỳ'!$W53)/'Kế hoạch định kỳ'!$X53)+1)-(G$5-1&gt;='Kế hoạch định kỳ'!$W53)*(INT((G$5-1-'Kế hoạch định kỳ'!$W53)/'Kế hoạch định kỳ'!$X53)+1))&gt;0,IF(EOMONTH(G$5,0)&lt;'Tổng quan'!$B$11,"✖","○"),"")))</f>
        <v/>
      </c>
      <c r="H53" s="61" t="str">
        <f>IF($A53="","",IF(COUNTIFS('Nhật ký bảo trì'!$D$6:$D$405,$A53,'Nhật ký bảo trì'!$Q$6:$Q$405,"Hoàn thành",'Nhật ký bảo trì'!$B$6:$B$405,"&gt;="&amp;H$5,'Nhật ký bảo trì'!$B$6:$B$405,"&lt;="&amp;EOMONTH(H$5,0))&gt;0,"✔",IF(((EOMONTH(H$5,0)&gt;='Kế hoạch định kỳ'!$W53)*(INT((EOMONTH(H$5,0)-'Kế hoạch định kỳ'!$W53)/'Kế hoạch định kỳ'!$X53)+1)-(H$5-1&gt;='Kế hoạch định kỳ'!$W53)*(INT((H$5-1-'Kế hoạch định kỳ'!$W53)/'Kế hoạch định kỳ'!$X53)+1))&gt;0,IF(EOMONTH(H$5,0)&lt;'Tổng quan'!$B$11,"✖","○"),"")))</f>
        <v/>
      </c>
      <c r="I53" s="61" t="str">
        <f>IF($A53="","",IF(COUNTIFS('Nhật ký bảo trì'!$D$6:$D$405,$A53,'Nhật ký bảo trì'!$Q$6:$Q$405,"Hoàn thành",'Nhật ký bảo trì'!$B$6:$B$405,"&gt;="&amp;I$5,'Nhật ký bảo trì'!$B$6:$B$405,"&lt;="&amp;EOMONTH(I$5,0))&gt;0,"✔",IF(((EOMONTH(I$5,0)&gt;='Kế hoạch định kỳ'!$W53)*(INT((EOMONTH(I$5,0)-'Kế hoạch định kỳ'!$W53)/'Kế hoạch định kỳ'!$X53)+1)-(I$5-1&gt;='Kế hoạch định kỳ'!$W53)*(INT((I$5-1-'Kế hoạch định kỳ'!$W53)/'Kế hoạch định kỳ'!$X53)+1))&gt;0,IF(EOMONTH(I$5,0)&lt;'Tổng quan'!$B$11,"✖","○"),"")))</f>
        <v/>
      </c>
      <c r="J53" s="61" t="str">
        <f>IF($A53="","",IF(COUNTIFS('Nhật ký bảo trì'!$D$6:$D$405,$A53,'Nhật ký bảo trì'!$Q$6:$Q$405,"Hoàn thành",'Nhật ký bảo trì'!$B$6:$B$405,"&gt;="&amp;J$5,'Nhật ký bảo trì'!$B$6:$B$405,"&lt;="&amp;EOMONTH(J$5,0))&gt;0,"✔",IF(((EOMONTH(J$5,0)&gt;='Kế hoạch định kỳ'!$W53)*(INT((EOMONTH(J$5,0)-'Kế hoạch định kỳ'!$W53)/'Kế hoạch định kỳ'!$X53)+1)-(J$5-1&gt;='Kế hoạch định kỳ'!$W53)*(INT((J$5-1-'Kế hoạch định kỳ'!$W53)/'Kế hoạch định kỳ'!$X53)+1))&gt;0,IF(EOMONTH(J$5,0)&lt;'Tổng quan'!$B$11,"✖","○"),"")))</f>
        <v/>
      </c>
      <c r="K53" s="61" t="str">
        <f>IF($A53="","",IF(COUNTIFS('Nhật ký bảo trì'!$D$6:$D$405,$A53,'Nhật ký bảo trì'!$Q$6:$Q$405,"Hoàn thành",'Nhật ký bảo trì'!$B$6:$B$405,"&gt;="&amp;K$5,'Nhật ký bảo trì'!$B$6:$B$405,"&lt;="&amp;EOMONTH(K$5,0))&gt;0,"✔",IF(((EOMONTH(K$5,0)&gt;='Kế hoạch định kỳ'!$W53)*(INT((EOMONTH(K$5,0)-'Kế hoạch định kỳ'!$W53)/'Kế hoạch định kỳ'!$X53)+1)-(K$5-1&gt;='Kế hoạch định kỳ'!$W53)*(INT((K$5-1-'Kế hoạch định kỳ'!$W53)/'Kế hoạch định kỳ'!$X53)+1))&gt;0,IF(EOMONTH(K$5,0)&lt;'Tổng quan'!$B$11,"✖","○"),"")))</f>
        <v/>
      </c>
      <c r="L53" s="61" t="str">
        <f>IF($A53="","",IF(COUNTIFS('Nhật ký bảo trì'!$D$6:$D$405,$A53,'Nhật ký bảo trì'!$Q$6:$Q$405,"Hoàn thành",'Nhật ký bảo trì'!$B$6:$B$405,"&gt;="&amp;L$5,'Nhật ký bảo trì'!$B$6:$B$405,"&lt;="&amp;EOMONTH(L$5,0))&gt;0,"✔",IF(((EOMONTH(L$5,0)&gt;='Kế hoạch định kỳ'!$W53)*(INT((EOMONTH(L$5,0)-'Kế hoạch định kỳ'!$W53)/'Kế hoạch định kỳ'!$X53)+1)-(L$5-1&gt;='Kế hoạch định kỳ'!$W53)*(INT((L$5-1-'Kế hoạch định kỳ'!$W53)/'Kế hoạch định kỳ'!$X53)+1))&gt;0,IF(EOMONTH(L$5,0)&lt;'Tổng quan'!$B$11,"✖","○"),"")))</f>
        <v/>
      </c>
      <c r="M53" s="61" t="str">
        <f>IF($A53="","",IF(COUNTIFS('Nhật ký bảo trì'!$D$6:$D$405,$A53,'Nhật ký bảo trì'!$Q$6:$Q$405,"Hoàn thành",'Nhật ký bảo trì'!$B$6:$B$405,"&gt;="&amp;M$5,'Nhật ký bảo trì'!$B$6:$B$405,"&lt;="&amp;EOMONTH(M$5,0))&gt;0,"✔",IF(((EOMONTH(M$5,0)&gt;='Kế hoạch định kỳ'!$W53)*(INT((EOMONTH(M$5,0)-'Kế hoạch định kỳ'!$W53)/'Kế hoạch định kỳ'!$X53)+1)-(M$5-1&gt;='Kế hoạch định kỳ'!$W53)*(INT((M$5-1-'Kế hoạch định kỳ'!$W53)/'Kế hoạch định kỳ'!$X53)+1))&gt;0,IF(EOMONTH(M$5,0)&lt;'Tổng quan'!$B$11,"✖","○"),"")))</f>
        <v/>
      </c>
      <c r="N53" s="61" t="str">
        <f>IF($A53="","",IF(COUNTIFS('Nhật ký bảo trì'!$D$6:$D$405,$A53,'Nhật ký bảo trì'!$Q$6:$Q$405,"Hoàn thành",'Nhật ký bảo trì'!$B$6:$B$405,"&gt;="&amp;N$5,'Nhật ký bảo trì'!$B$6:$B$405,"&lt;="&amp;EOMONTH(N$5,0))&gt;0,"✔",IF(((EOMONTH(N$5,0)&gt;='Kế hoạch định kỳ'!$W53)*(INT((EOMONTH(N$5,0)-'Kế hoạch định kỳ'!$W53)/'Kế hoạch định kỳ'!$X53)+1)-(N$5-1&gt;='Kế hoạch định kỳ'!$W53)*(INT((N$5-1-'Kế hoạch định kỳ'!$W53)/'Kế hoạch định kỳ'!$X53)+1))&gt;0,IF(EOMONTH(N$5,0)&lt;'Tổng quan'!$B$11,"✖","○"),"")))</f>
        <v/>
      </c>
      <c r="O53" s="61" t="str">
        <f>IF($A53="","",IF(COUNTIFS('Nhật ký bảo trì'!$D$6:$D$405,$A53,'Nhật ký bảo trì'!$Q$6:$Q$405,"Hoàn thành",'Nhật ký bảo trì'!$B$6:$B$405,"&gt;="&amp;O$5,'Nhật ký bảo trì'!$B$6:$B$405,"&lt;="&amp;EOMONTH(O$5,0))&gt;0,"✔",IF(((EOMONTH(O$5,0)&gt;='Kế hoạch định kỳ'!$W53)*(INT((EOMONTH(O$5,0)-'Kế hoạch định kỳ'!$W53)/'Kế hoạch định kỳ'!$X53)+1)-(O$5-1&gt;='Kế hoạch định kỳ'!$W53)*(INT((O$5-1-'Kế hoạch định kỳ'!$W53)/'Kế hoạch định kỳ'!$X53)+1))&gt;0,IF(EOMONTH(O$5,0)&lt;'Tổng quan'!$B$11,"✖","○"),"")))</f>
        <v/>
      </c>
      <c r="P53" s="61" t="str">
        <f>IF($A53="","",IF(COUNTIFS('Nhật ký bảo trì'!$D$6:$D$405,$A53,'Nhật ký bảo trì'!$Q$6:$Q$405,"Hoàn thành",'Nhật ký bảo trì'!$B$6:$B$405,"&gt;="&amp;P$5,'Nhật ký bảo trì'!$B$6:$B$405,"&lt;="&amp;EOMONTH(P$5,0))&gt;0,"✔",IF(((EOMONTH(P$5,0)&gt;='Kế hoạch định kỳ'!$W53)*(INT((EOMONTH(P$5,0)-'Kế hoạch định kỳ'!$W53)/'Kế hoạch định kỳ'!$X53)+1)-(P$5-1&gt;='Kế hoạch định kỳ'!$W53)*(INT((P$5-1-'Kế hoạch định kỳ'!$W53)/'Kế hoạch định kỳ'!$X53)+1))&gt;0,IF(EOMONTH(P$5,0)&lt;'Tổng quan'!$B$11,"✖","○"),"")))</f>
        <v/>
      </c>
      <c r="Q53" s="30" t="str">
        <f>IF($A53="","",COUNTIFS('Nhật ký bảo trì'!$D$6:$D$405,$A53,'Nhật ký bảo trì'!$Q$6:$Q$405,"Hoàn thành",'Nhật ký bảo trì'!$B$6:$B$405,"&gt;="&amp;DATE('Tổng quan'!$B$6,1,1),'Nhật ký bảo trì'!$B$6:$B$405,"&lt;="&amp;DATE('Tổng quan'!$B$6,12,31)))</f>
        <v/>
      </c>
      <c r="R53" s="30" t="str">
        <f t="shared" si="1"/>
        <v/>
      </c>
    </row>
    <row r="54" ht="24.0" customHeight="1">
      <c r="A54" s="10" t="str">
        <f>IF('Kế hoạch định kỳ'!$B54="","",'Kế hoạch định kỳ'!$B54)</f>
        <v/>
      </c>
      <c r="B54" s="14" t="str">
        <f>IF('Kế hoạch định kỳ'!$B54="","",'Kế hoạch định kỳ'!$D54)</f>
        <v/>
      </c>
      <c r="C54" s="18" t="str">
        <f>IF('Kế hoạch định kỳ'!$B54="","",'Kế hoạch định kỳ'!$F54)</f>
        <v/>
      </c>
      <c r="D54" s="10" t="str">
        <f>IF('Kế hoạch định kỳ'!$B54="","",IF('Kế hoạch định kỳ'!$I54&lt;&gt;"",'Kế hoạch định kỳ'!$I54&amp;" ngày",'Kế hoạch định kỳ'!$H54))</f>
        <v/>
      </c>
      <c r="E54" s="24" t="str">
        <f>IF($A54="","",IF(COUNTIFS('Nhật ký bảo trì'!$D$6:$D$405,$A54,'Nhật ký bảo trì'!$Q$6:$Q$405,"Hoàn thành",'Nhật ký bảo trì'!$B$6:$B$405,"&gt;="&amp;E$5,'Nhật ký bảo trì'!$B$6:$B$405,"&lt;="&amp;EOMONTH(E$5,0))&gt;0,"✔",IF(((EOMONTH(E$5,0)&gt;='Kế hoạch định kỳ'!$W54)*(INT((EOMONTH(E$5,0)-'Kế hoạch định kỳ'!$W54)/'Kế hoạch định kỳ'!$X54)+1)-(E$5-1&gt;='Kế hoạch định kỳ'!$W54)*(INT((E$5-1-'Kế hoạch định kỳ'!$W54)/'Kế hoạch định kỳ'!$X54)+1))&gt;0,IF(EOMONTH(E$5,0)&lt;'Tổng quan'!$B$11,"✖","○"),"")))</f>
        <v/>
      </c>
      <c r="F54" s="24" t="str">
        <f>IF($A54="","",IF(COUNTIFS('Nhật ký bảo trì'!$D$6:$D$405,$A54,'Nhật ký bảo trì'!$Q$6:$Q$405,"Hoàn thành",'Nhật ký bảo trì'!$B$6:$B$405,"&gt;="&amp;F$5,'Nhật ký bảo trì'!$B$6:$B$405,"&lt;="&amp;EOMONTH(F$5,0))&gt;0,"✔",IF(((EOMONTH(F$5,0)&gt;='Kế hoạch định kỳ'!$W54)*(INT((EOMONTH(F$5,0)-'Kế hoạch định kỳ'!$W54)/'Kế hoạch định kỳ'!$X54)+1)-(F$5-1&gt;='Kế hoạch định kỳ'!$W54)*(INT((F$5-1-'Kế hoạch định kỳ'!$W54)/'Kế hoạch định kỳ'!$X54)+1))&gt;0,IF(EOMONTH(F$5,0)&lt;'Tổng quan'!$B$11,"✖","○"),"")))</f>
        <v/>
      </c>
      <c r="G54" s="24" t="str">
        <f>IF($A54="","",IF(COUNTIFS('Nhật ký bảo trì'!$D$6:$D$405,$A54,'Nhật ký bảo trì'!$Q$6:$Q$405,"Hoàn thành",'Nhật ký bảo trì'!$B$6:$B$405,"&gt;="&amp;G$5,'Nhật ký bảo trì'!$B$6:$B$405,"&lt;="&amp;EOMONTH(G$5,0))&gt;0,"✔",IF(((EOMONTH(G$5,0)&gt;='Kế hoạch định kỳ'!$W54)*(INT((EOMONTH(G$5,0)-'Kế hoạch định kỳ'!$W54)/'Kế hoạch định kỳ'!$X54)+1)-(G$5-1&gt;='Kế hoạch định kỳ'!$W54)*(INT((G$5-1-'Kế hoạch định kỳ'!$W54)/'Kế hoạch định kỳ'!$X54)+1))&gt;0,IF(EOMONTH(G$5,0)&lt;'Tổng quan'!$B$11,"✖","○"),"")))</f>
        <v/>
      </c>
      <c r="H54" s="24" t="str">
        <f>IF($A54="","",IF(COUNTIFS('Nhật ký bảo trì'!$D$6:$D$405,$A54,'Nhật ký bảo trì'!$Q$6:$Q$405,"Hoàn thành",'Nhật ký bảo trì'!$B$6:$B$405,"&gt;="&amp;H$5,'Nhật ký bảo trì'!$B$6:$B$405,"&lt;="&amp;EOMONTH(H$5,0))&gt;0,"✔",IF(((EOMONTH(H$5,0)&gt;='Kế hoạch định kỳ'!$W54)*(INT((EOMONTH(H$5,0)-'Kế hoạch định kỳ'!$W54)/'Kế hoạch định kỳ'!$X54)+1)-(H$5-1&gt;='Kế hoạch định kỳ'!$W54)*(INT((H$5-1-'Kế hoạch định kỳ'!$W54)/'Kế hoạch định kỳ'!$X54)+1))&gt;0,IF(EOMONTH(H$5,0)&lt;'Tổng quan'!$B$11,"✖","○"),"")))</f>
        <v/>
      </c>
      <c r="I54" s="24" t="str">
        <f>IF($A54="","",IF(COUNTIFS('Nhật ký bảo trì'!$D$6:$D$405,$A54,'Nhật ký bảo trì'!$Q$6:$Q$405,"Hoàn thành",'Nhật ký bảo trì'!$B$6:$B$405,"&gt;="&amp;I$5,'Nhật ký bảo trì'!$B$6:$B$405,"&lt;="&amp;EOMONTH(I$5,0))&gt;0,"✔",IF(((EOMONTH(I$5,0)&gt;='Kế hoạch định kỳ'!$W54)*(INT((EOMONTH(I$5,0)-'Kế hoạch định kỳ'!$W54)/'Kế hoạch định kỳ'!$X54)+1)-(I$5-1&gt;='Kế hoạch định kỳ'!$W54)*(INT((I$5-1-'Kế hoạch định kỳ'!$W54)/'Kế hoạch định kỳ'!$X54)+1))&gt;0,IF(EOMONTH(I$5,0)&lt;'Tổng quan'!$B$11,"✖","○"),"")))</f>
        <v/>
      </c>
      <c r="J54" s="24" t="str">
        <f>IF($A54="","",IF(COUNTIFS('Nhật ký bảo trì'!$D$6:$D$405,$A54,'Nhật ký bảo trì'!$Q$6:$Q$405,"Hoàn thành",'Nhật ký bảo trì'!$B$6:$B$405,"&gt;="&amp;J$5,'Nhật ký bảo trì'!$B$6:$B$405,"&lt;="&amp;EOMONTH(J$5,0))&gt;0,"✔",IF(((EOMONTH(J$5,0)&gt;='Kế hoạch định kỳ'!$W54)*(INT((EOMONTH(J$5,0)-'Kế hoạch định kỳ'!$W54)/'Kế hoạch định kỳ'!$X54)+1)-(J$5-1&gt;='Kế hoạch định kỳ'!$W54)*(INT((J$5-1-'Kế hoạch định kỳ'!$W54)/'Kế hoạch định kỳ'!$X54)+1))&gt;0,IF(EOMONTH(J$5,0)&lt;'Tổng quan'!$B$11,"✖","○"),"")))</f>
        <v/>
      </c>
      <c r="K54" s="24" t="str">
        <f>IF($A54="","",IF(COUNTIFS('Nhật ký bảo trì'!$D$6:$D$405,$A54,'Nhật ký bảo trì'!$Q$6:$Q$405,"Hoàn thành",'Nhật ký bảo trì'!$B$6:$B$405,"&gt;="&amp;K$5,'Nhật ký bảo trì'!$B$6:$B$405,"&lt;="&amp;EOMONTH(K$5,0))&gt;0,"✔",IF(((EOMONTH(K$5,0)&gt;='Kế hoạch định kỳ'!$W54)*(INT((EOMONTH(K$5,0)-'Kế hoạch định kỳ'!$W54)/'Kế hoạch định kỳ'!$X54)+1)-(K$5-1&gt;='Kế hoạch định kỳ'!$W54)*(INT((K$5-1-'Kế hoạch định kỳ'!$W54)/'Kế hoạch định kỳ'!$X54)+1))&gt;0,IF(EOMONTH(K$5,0)&lt;'Tổng quan'!$B$11,"✖","○"),"")))</f>
        <v/>
      </c>
      <c r="L54" s="24" t="str">
        <f>IF($A54="","",IF(COUNTIFS('Nhật ký bảo trì'!$D$6:$D$405,$A54,'Nhật ký bảo trì'!$Q$6:$Q$405,"Hoàn thành",'Nhật ký bảo trì'!$B$6:$B$405,"&gt;="&amp;L$5,'Nhật ký bảo trì'!$B$6:$B$405,"&lt;="&amp;EOMONTH(L$5,0))&gt;0,"✔",IF(((EOMONTH(L$5,0)&gt;='Kế hoạch định kỳ'!$W54)*(INT((EOMONTH(L$5,0)-'Kế hoạch định kỳ'!$W54)/'Kế hoạch định kỳ'!$X54)+1)-(L$5-1&gt;='Kế hoạch định kỳ'!$W54)*(INT((L$5-1-'Kế hoạch định kỳ'!$W54)/'Kế hoạch định kỳ'!$X54)+1))&gt;0,IF(EOMONTH(L$5,0)&lt;'Tổng quan'!$B$11,"✖","○"),"")))</f>
        <v/>
      </c>
      <c r="M54" s="24" t="str">
        <f>IF($A54="","",IF(COUNTIFS('Nhật ký bảo trì'!$D$6:$D$405,$A54,'Nhật ký bảo trì'!$Q$6:$Q$405,"Hoàn thành",'Nhật ký bảo trì'!$B$6:$B$405,"&gt;="&amp;M$5,'Nhật ký bảo trì'!$B$6:$B$405,"&lt;="&amp;EOMONTH(M$5,0))&gt;0,"✔",IF(((EOMONTH(M$5,0)&gt;='Kế hoạch định kỳ'!$W54)*(INT((EOMONTH(M$5,0)-'Kế hoạch định kỳ'!$W54)/'Kế hoạch định kỳ'!$X54)+1)-(M$5-1&gt;='Kế hoạch định kỳ'!$W54)*(INT((M$5-1-'Kế hoạch định kỳ'!$W54)/'Kế hoạch định kỳ'!$X54)+1))&gt;0,IF(EOMONTH(M$5,0)&lt;'Tổng quan'!$B$11,"✖","○"),"")))</f>
        <v/>
      </c>
      <c r="N54" s="24" t="str">
        <f>IF($A54="","",IF(COUNTIFS('Nhật ký bảo trì'!$D$6:$D$405,$A54,'Nhật ký bảo trì'!$Q$6:$Q$405,"Hoàn thành",'Nhật ký bảo trì'!$B$6:$B$405,"&gt;="&amp;N$5,'Nhật ký bảo trì'!$B$6:$B$405,"&lt;="&amp;EOMONTH(N$5,0))&gt;0,"✔",IF(((EOMONTH(N$5,0)&gt;='Kế hoạch định kỳ'!$W54)*(INT((EOMONTH(N$5,0)-'Kế hoạch định kỳ'!$W54)/'Kế hoạch định kỳ'!$X54)+1)-(N$5-1&gt;='Kế hoạch định kỳ'!$W54)*(INT((N$5-1-'Kế hoạch định kỳ'!$W54)/'Kế hoạch định kỳ'!$X54)+1))&gt;0,IF(EOMONTH(N$5,0)&lt;'Tổng quan'!$B$11,"✖","○"),"")))</f>
        <v/>
      </c>
      <c r="O54" s="24" t="str">
        <f>IF($A54="","",IF(COUNTIFS('Nhật ký bảo trì'!$D$6:$D$405,$A54,'Nhật ký bảo trì'!$Q$6:$Q$405,"Hoàn thành",'Nhật ký bảo trì'!$B$6:$B$405,"&gt;="&amp;O$5,'Nhật ký bảo trì'!$B$6:$B$405,"&lt;="&amp;EOMONTH(O$5,0))&gt;0,"✔",IF(((EOMONTH(O$5,0)&gt;='Kế hoạch định kỳ'!$W54)*(INT((EOMONTH(O$5,0)-'Kế hoạch định kỳ'!$W54)/'Kế hoạch định kỳ'!$X54)+1)-(O$5-1&gt;='Kế hoạch định kỳ'!$W54)*(INT((O$5-1-'Kế hoạch định kỳ'!$W54)/'Kế hoạch định kỳ'!$X54)+1))&gt;0,IF(EOMONTH(O$5,0)&lt;'Tổng quan'!$B$11,"✖","○"),"")))</f>
        <v/>
      </c>
      <c r="P54" s="24" t="str">
        <f>IF($A54="","",IF(COUNTIFS('Nhật ký bảo trì'!$D$6:$D$405,$A54,'Nhật ký bảo trì'!$Q$6:$Q$405,"Hoàn thành",'Nhật ký bảo trì'!$B$6:$B$405,"&gt;="&amp;P$5,'Nhật ký bảo trì'!$B$6:$B$405,"&lt;="&amp;EOMONTH(P$5,0))&gt;0,"✔",IF(((EOMONTH(P$5,0)&gt;='Kế hoạch định kỳ'!$W54)*(INT((EOMONTH(P$5,0)-'Kế hoạch định kỳ'!$W54)/'Kế hoạch định kỳ'!$X54)+1)-(P$5-1&gt;='Kế hoạch định kỳ'!$W54)*(INT((P$5-1-'Kế hoạch định kỳ'!$W54)/'Kế hoạch định kỳ'!$X54)+1))&gt;0,IF(EOMONTH(P$5,0)&lt;'Tổng quan'!$B$11,"✖","○"),"")))</f>
        <v/>
      </c>
      <c r="Q54" s="16" t="str">
        <f>IF($A54="","",COUNTIFS('Nhật ký bảo trì'!$D$6:$D$405,$A54,'Nhật ký bảo trì'!$Q$6:$Q$405,"Hoàn thành",'Nhật ký bảo trì'!$B$6:$B$405,"&gt;="&amp;DATE('Tổng quan'!$B$6,1,1),'Nhật ký bảo trì'!$B$6:$B$405,"&lt;="&amp;DATE('Tổng quan'!$B$6,12,31)))</f>
        <v/>
      </c>
      <c r="R54" s="16" t="str">
        <f t="shared" si="1"/>
        <v/>
      </c>
    </row>
    <row r="55" ht="24.0" customHeight="1">
      <c r="A55" s="26" t="str">
        <f>IF('Kế hoạch định kỳ'!$B55="","",'Kế hoạch định kỳ'!$B55)</f>
        <v/>
      </c>
      <c r="B55" s="28" t="str">
        <f>IF('Kế hoạch định kỳ'!$B55="","",'Kế hoạch định kỳ'!$D55)</f>
        <v/>
      </c>
      <c r="C55" s="56" t="str">
        <f>IF('Kế hoạch định kỳ'!$B55="","",'Kế hoạch định kỳ'!$F55)</f>
        <v/>
      </c>
      <c r="D55" s="26" t="str">
        <f>IF('Kế hoạch định kỳ'!$B55="","",IF('Kế hoạch định kỳ'!$I55&lt;&gt;"",'Kế hoạch định kỳ'!$I55&amp;" ngày",'Kế hoạch định kỳ'!$H55))</f>
        <v/>
      </c>
      <c r="E55" s="61" t="str">
        <f>IF($A55="","",IF(COUNTIFS('Nhật ký bảo trì'!$D$6:$D$405,$A55,'Nhật ký bảo trì'!$Q$6:$Q$405,"Hoàn thành",'Nhật ký bảo trì'!$B$6:$B$405,"&gt;="&amp;E$5,'Nhật ký bảo trì'!$B$6:$B$405,"&lt;="&amp;EOMONTH(E$5,0))&gt;0,"✔",IF(((EOMONTH(E$5,0)&gt;='Kế hoạch định kỳ'!$W55)*(INT((EOMONTH(E$5,0)-'Kế hoạch định kỳ'!$W55)/'Kế hoạch định kỳ'!$X55)+1)-(E$5-1&gt;='Kế hoạch định kỳ'!$W55)*(INT((E$5-1-'Kế hoạch định kỳ'!$W55)/'Kế hoạch định kỳ'!$X55)+1))&gt;0,IF(EOMONTH(E$5,0)&lt;'Tổng quan'!$B$11,"✖","○"),"")))</f>
        <v/>
      </c>
      <c r="F55" s="61" t="str">
        <f>IF($A55="","",IF(COUNTIFS('Nhật ký bảo trì'!$D$6:$D$405,$A55,'Nhật ký bảo trì'!$Q$6:$Q$405,"Hoàn thành",'Nhật ký bảo trì'!$B$6:$B$405,"&gt;="&amp;F$5,'Nhật ký bảo trì'!$B$6:$B$405,"&lt;="&amp;EOMONTH(F$5,0))&gt;0,"✔",IF(((EOMONTH(F$5,0)&gt;='Kế hoạch định kỳ'!$W55)*(INT((EOMONTH(F$5,0)-'Kế hoạch định kỳ'!$W55)/'Kế hoạch định kỳ'!$X55)+1)-(F$5-1&gt;='Kế hoạch định kỳ'!$W55)*(INT((F$5-1-'Kế hoạch định kỳ'!$W55)/'Kế hoạch định kỳ'!$X55)+1))&gt;0,IF(EOMONTH(F$5,0)&lt;'Tổng quan'!$B$11,"✖","○"),"")))</f>
        <v/>
      </c>
      <c r="G55" s="61" t="str">
        <f>IF($A55="","",IF(COUNTIFS('Nhật ký bảo trì'!$D$6:$D$405,$A55,'Nhật ký bảo trì'!$Q$6:$Q$405,"Hoàn thành",'Nhật ký bảo trì'!$B$6:$B$405,"&gt;="&amp;G$5,'Nhật ký bảo trì'!$B$6:$B$405,"&lt;="&amp;EOMONTH(G$5,0))&gt;0,"✔",IF(((EOMONTH(G$5,0)&gt;='Kế hoạch định kỳ'!$W55)*(INT((EOMONTH(G$5,0)-'Kế hoạch định kỳ'!$W55)/'Kế hoạch định kỳ'!$X55)+1)-(G$5-1&gt;='Kế hoạch định kỳ'!$W55)*(INT((G$5-1-'Kế hoạch định kỳ'!$W55)/'Kế hoạch định kỳ'!$X55)+1))&gt;0,IF(EOMONTH(G$5,0)&lt;'Tổng quan'!$B$11,"✖","○"),"")))</f>
        <v/>
      </c>
      <c r="H55" s="61" t="str">
        <f>IF($A55="","",IF(COUNTIFS('Nhật ký bảo trì'!$D$6:$D$405,$A55,'Nhật ký bảo trì'!$Q$6:$Q$405,"Hoàn thành",'Nhật ký bảo trì'!$B$6:$B$405,"&gt;="&amp;H$5,'Nhật ký bảo trì'!$B$6:$B$405,"&lt;="&amp;EOMONTH(H$5,0))&gt;0,"✔",IF(((EOMONTH(H$5,0)&gt;='Kế hoạch định kỳ'!$W55)*(INT((EOMONTH(H$5,0)-'Kế hoạch định kỳ'!$W55)/'Kế hoạch định kỳ'!$X55)+1)-(H$5-1&gt;='Kế hoạch định kỳ'!$W55)*(INT((H$5-1-'Kế hoạch định kỳ'!$W55)/'Kế hoạch định kỳ'!$X55)+1))&gt;0,IF(EOMONTH(H$5,0)&lt;'Tổng quan'!$B$11,"✖","○"),"")))</f>
        <v/>
      </c>
      <c r="I55" s="61" t="str">
        <f>IF($A55="","",IF(COUNTIFS('Nhật ký bảo trì'!$D$6:$D$405,$A55,'Nhật ký bảo trì'!$Q$6:$Q$405,"Hoàn thành",'Nhật ký bảo trì'!$B$6:$B$405,"&gt;="&amp;I$5,'Nhật ký bảo trì'!$B$6:$B$405,"&lt;="&amp;EOMONTH(I$5,0))&gt;0,"✔",IF(((EOMONTH(I$5,0)&gt;='Kế hoạch định kỳ'!$W55)*(INT((EOMONTH(I$5,0)-'Kế hoạch định kỳ'!$W55)/'Kế hoạch định kỳ'!$X55)+1)-(I$5-1&gt;='Kế hoạch định kỳ'!$W55)*(INT((I$5-1-'Kế hoạch định kỳ'!$W55)/'Kế hoạch định kỳ'!$X55)+1))&gt;0,IF(EOMONTH(I$5,0)&lt;'Tổng quan'!$B$11,"✖","○"),"")))</f>
        <v/>
      </c>
      <c r="J55" s="61" t="str">
        <f>IF($A55="","",IF(COUNTIFS('Nhật ký bảo trì'!$D$6:$D$405,$A55,'Nhật ký bảo trì'!$Q$6:$Q$405,"Hoàn thành",'Nhật ký bảo trì'!$B$6:$B$405,"&gt;="&amp;J$5,'Nhật ký bảo trì'!$B$6:$B$405,"&lt;="&amp;EOMONTH(J$5,0))&gt;0,"✔",IF(((EOMONTH(J$5,0)&gt;='Kế hoạch định kỳ'!$W55)*(INT((EOMONTH(J$5,0)-'Kế hoạch định kỳ'!$W55)/'Kế hoạch định kỳ'!$X55)+1)-(J$5-1&gt;='Kế hoạch định kỳ'!$W55)*(INT((J$5-1-'Kế hoạch định kỳ'!$W55)/'Kế hoạch định kỳ'!$X55)+1))&gt;0,IF(EOMONTH(J$5,0)&lt;'Tổng quan'!$B$11,"✖","○"),"")))</f>
        <v/>
      </c>
      <c r="K55" s="61" t="str">
        <f>IF($A55="","",IF(COUNTIFS('Nhật ký bảo trì'!$D$6:$D$405,$A55,'Nhật ký bảo trì'!$Q$6:$Q$405,"Hoàn thành",'Nhật ký bảo trì'!$B$6:$B$405,"&gt;="&amp;K$5,'Nhật ký bảo trì'!$B$6:$B$405,"&lt;="&amp;EOMONTH(K$5,0))&gt;0,"✔",IF(((EOMONTH(K$5,0)&gt;='Kế hoạch định kỳ'!$W55)*(INT((EOMONTH(K$5,0)-'Kế hoạch định kỳ'!$W55)/'Kế hoạch định kỳ'!$X55)+1)-(K$5-1&gt;='Kế hoạch định kỳ'!$W55)*(INT((K$5-1-'Kế hoạch định kỳ'!$W55)/'Kế hoạch định kỳ'!$X55)+1))&gt;0,IF(EOMONTH(K$5,0)&lt;'Tổng quan'!$B$11,"✖","○"),"")))</f>
        <v/>
      </c>
      <c r="L55" s="61" t="str">
        <f>IF($A55="","",IF(COUNTIFS('Nhật ký bảo trì'!$D$6:$D$405,$A55,'Nhật ký bảo trì'!$Q$6:$Q$405,"Hoàn thành",'Nhật ký bảo trì'!$B$6:$B$405,"&gt;="&amp;L$5,'Nhật ký bảo trì'!$B$6:$B$405,"&lt;="&amp;EOMONTH(L$5,0))&gt;0,"✔",IF(((EOMONTH(L$5,0)&gt;='Kế hoạch định kỳ'!$W55)*(INT((EOMONTH(L$5,0)-'Kế hoạch định kỳ'!$W55)/'Kế hoạch định kỳ'!$X55)+1)-(L$5-1&gt;='Kế hoạch định kỳ'!$W55)*(INT((L$5-1-'Kế hoạch định kỳ'!$W55)/'Kế hoạch định kỳ'!$X55)+1))&gt;0,IF(EOMONTH(L$5,0)&lt;'Tổng quan'!$B$11,"✖","○"),"")))</f>
        <v/>
      </c>
      <c r="M55" s="61" t="str">
        <f>IF($A55="","",IF(COUNTIFS('Nhật ký bảo trì'!$D$6:$D$405,$A55,'Nhật ký bảo trì'!$Q$6:$Q$405,"Hoàn thành",'Nhật ký bảo trì'!$B$6:$B$405,"&gt;="&amp;M$5,'Nhật ký bảo trì'!$B$6:$B$405,"&lt;="&amp;EOMONTH(M$5,0))&gt;0,"✔",IF(((EOMONTH(M$5,0)&gt;='Kế hoạch định kỳ'!$W55)*(INT((EOMONTH(M$5,0)-'Kế hoạch định kỳ'!$W55)/'Kế hoạch định kỳ'!$X55)+1)-(M$5-1&gt;='Kế hoạch định kỳ'!$W55)*(INT((M$5-1-'Kế hoạch định kỳ'!$W55)/'Kế hoạch định kỳ'!$X55)+1))&gt;0,IF(EOMONTH(M$5,0)&lt;'Tổng quan'!$B$11,"✖","○"),"")))</f>
        <v/>
      </c>
      <c r="N55" s="61" t="str">
        <f>IF($A55="","",IF(COUNTIFS('Nhật ký bảo trì'!$D$6:$D$405,$A55,'Nhật ký bảo trì'!$Q$6:$Q$405,"Hoàn thành",'Nhật ký bảo trì'!$B$6:$B$405,"&gt;="&amp;N$5,'Nhật ký bảo trì'!$B$6:$B$405,"&lt;="&amp;EOMONTH(N$5,0))&gt;0,"✔",IF(((EOMONTH(N$5,0)&gt;='Kế hoạch định kỳ'!$W55)*(INT((EOMONTH(N$5,0)-'Kế hoạch định kỳ'!$W55)/'Kế hoạch định kỳ'!$X55)+1)-(N$5-1&gt;='Kế hoạch định kỳ'!$W55)*(INT((N$5-1-'Kế hoạch định kỳ'!$W55)/'Kế hoạch định kỳ'!$X55)+1))&gt;0,IF(EOMONTH(N$5,0)&lt;'Tổng quan'!$B$11,"✖","○"),"")))</f>
        <v/>
      </c>
      <c r="O55" s="61" t="str">
        <f>IF($A55="","",IF(COUNTIFS('Nhật ký bảo trì'!$D$6:$D$405,$A55,'Nhật ký bảo trì'!$Q$6:$Q$405,"Hoàn thành",'Nhật ký bảo trì'!$B$6:$B$405,"&gt;="&amp;O$5,'Nhật ký bảo trì'!$B$6:$B$405,"&lt;="&amp;EOMONTH(O$5,0))&gt;0,"✔",IF(((EOMONTH(O$5,0)&gt;='Kế hoạch định kỳ'!$W55)*(INT((EOMONTH(O$5,0)-'Kế hoạch định kỳ'!$W55)/'Kế hoạch định kỳ'!$X55)+1)-(O$5-1&gt;='Kế hoạch định kỳ'!$W55)*(INT((O$5-1-'Kế hoạch định kỳ'!$W55)/'Kế hoạch định kỳ'!$X55)+1))&gt;0,IF(EOMONTH(O$5,0)&lt;'Tổng quan'!$B$11,"✖","○"),"")))</f>
        <v/>
      </c>
      <c r="P55" s="61" t="str">
        <f>IF($A55="","",IF(COUNTIFS('Nhật ký bảo trì'!$D$6:$D$405,$A55,'Nhật ký bảo trì'!$Q$6:$Q$405,"Hoàn thành",'Nhật ký bảo trì'!$B$6:$B$405,"&gt;="&amp;P$5,'Nhật ký bảo trì'!$B$6:$B$405,"&lt;="&amp;EOMONTH(P$5,0))&gt;0,"✔",IF(((EOMONTH(P$5,0)&gt;='Kế hoạch định kỳ'!$W55)*(INT((EOMONTH(P$5,0)-'Kế hoạch định kỳ'!$W55)/'Kế hoạch định kỳ'!$X55)+1)-(P$5-1&gt;='Kế hoạch định kỳ'!$W55)*(INT((P$5-1-'Kế hoạch định kỳ'!$W55)/'Kế hoạch định kỳ'!$X55)+1))&gt;0,IF(EOMONTH(P$5,0)&lt;'Tổng quan'!$B$11,"✖","○"),"")))</f>
        <v/>
      </c>
      <c r="Q55" s="30" t="str">
        <f>IF($A55="","",COUNTIFS('Nhật ký bảo trì'!$D$6:$D$405,$A55,'Nhật ký bảo trì'!$Q$6:$Q$405,"Hoàn thành",'Nhật ký bảo trì'!$B$6:$B$405,"&gt;="&amp;DATE('Tổng quan'!$B$6,1,1),'Nhật ký bảo trì'!$B$6:$B$405,"&lt;="&amp;DATE('Tổng quan'!$B$6,12,31)))</f>
        <v/>
      </c>
      <c r="R55" s="30" t="str">
        <f t="shared" si="1"/>
        <v/>
      </c>
    </row>
    <row r="56" ht="24.0" customHeight="1">
      <c r="A56" s="10" t="str">
        <f>IF('Kế hoạch định kỳ'!$B56="","",'Kế hoạch định kỳ'!$B56)</f>
        <v/>
      </c>
      <c r="B56" s="14" t="str">
        <f>IF('Kế hoạch định kỳ'!$B56="","",'Kế hoạch định kỳ'!$D56)</f>
        <v/>
      </c>
      <c r="C56" s="18" t="str">
        <f>IF('Kế hoạch định kỳ'!$B56="","",'Kế hoạch định kỳ'!$F56)</f>
        <v/>
      </c>
      <c r="D56" s="10" t="str">
        <f>IF('Kế hoạch định kỳ'!$B56="","",IF('Kế hoạch định kỳ'!$I56&lt;&gt;"",'Kế hoạch định kỳ'!$I56&amp;" ngày",'Kế hoạch định kỳ'!$H56))</f>
        <v/>
      </c>
      <c r="E56" s="24" t="str">
        <f>IF($A56="","",IF(COUNTIFS('Nhật ký bảo trì'!$D$6:$D$405,$A56,'Nhật ký bảo trì'!$Q$6:$Q$405,"Hoàn thành",'Nhật ký bảo trì'!$B$6:$B$405,"&gt;="&amp;E$5,'Nhật ký bảo trì'!$B$6:$B$405,"&lt;="&amp;EOMONTH(E$5,0))&gt;0,"✔",IF(((EOMONTH(E$5,0)&gt;='Kế hoạch định kỳ'!$W56)*(INT((EOMONTH(E$5,0)-'Kế hoạch định kỳ'!$W56)/'Kế hoạch định kỳ'!$X56)+1)-(E$5-1&gt;='Kế hoạch định kỳ'!$W56)*(INT((E$5-1-'Kế hoạch định kỳ'!$W56)/'Kế hoạch định kỳ'!$X56)+1))&gt;0,IF(EOMONTH(E$5,0)&lt;'Tổng quan'!$B$11,"✖","○"),"")))</f>
        <v/>
      </c>
      <c r="F56" s="24" t="str">
        <f>IF($A56="","",IF(COUNTIFS('Nhật ký bảo trì'!$D$6:$D$405,$A56,'Nhật ký bảo trì'!$Q$6:$Q$405,"Hoàn thành",'Nhật ký bảo trì'!$B$6:$B$405,"&gt;="&amp;F$5,'Nhật ký bảo trì'!$B$6:$B$405,"&lt;="&amp;EOMONTH(F$5,0))&gt;0,"✔",IF(((EOMONTH(F$5,0)&gt;='Kế hoạch định kỳ'!$W56)*(INT((EOMONTH(F$5,0)-'Kế hoạch định kỳ'!$W56)/'Kế hoạch định kỳ'!$X56)+1)-(F$5-1&gt;='Kế hoạch định kỳ'!$W56)*(INT((F$5-1-'Kế hoạch định kỳ'!$W56)/'Kế hoạch định kỳ'!$X56)+1))&gt;0,IF(EOMONTH(F$5,0)&lt;'Tổng quan'!$B$11,"✖","○"),"")))</f>
        <v/>
      </c>
      <c r="G56" s="24" t="str">
        <f>IF($A56="","",IF(COUNTIFS('Nhật ký bảo trì'!$D$6:$D$405,$A56,'Nhật ký bảo trì'!$Q$6:$Q$405,"Hoàn thành",'Nhật ký bảo trì'!$B$6:$B$405,"&gt;="&amp;G$5,'Nhật ký bảo trì'!$B$6:$B$405,"&lt;="&amp;EOMONTH(G$5,0))&gt;0,"✔",IF(((EOMONTH(G$5,0)&gt;='Kế hoạch định kỳ'!$W56)*(INT((EOMONTH(G$5,0)-'Kế hoạch định kỳ'!$W56)/'Kế hoạch định kỳ'!$X56)+1)-(G$5-1&gt;='Kế hoạch định kỳ'!$W56)*(INT((G$5-1-'Kế hoạch định kỳ'!$W56)/'Kế hoạch định kỳ'!$X56)+1))&gt;0,IF(EOMONTH(G$5,0)&lt;'Tổng quan'!$B$11,"✖","○"),"")))</f>
        <v/>
      </c>
      <c r="H56" s="24" t="str">
        <f>IF($A56="","",IF(COUNTIFS('Nhật ký bảo trì'!$D$6:$D$405,$A56,'Nhật ký bảo trì'!$Q$6:$Q$405,"Hoàn thành",'Nhật ký bảo trì'!$B$6:$B$405,"&gt;="&amp;H$5,'Nhật ký bảo trì'!$B$6:$B$405,"&lt;="&amp;EOMONTH(H$5,0))&gt;0,"✔",IF(((EOMONTH(H$5,0)&gt;='Kế hoạch định kỳ'!$W56)*(INT((EOMONTH(H$5,0)-'Kế hoạch định kỳ'!$W56)/'Kế hoạch định kỳ'!$X56)+1)-(H$5-1&gt;='Kế hoạch định kỳ'!$W56)*(INT((H$5-1-'Kế hoạch định kỳ'!$W56)/'Kế hoạch định kỳ'!$X56)+1))&gt;0,IF(EOMONTH(H$5,0)&lt;'Tổng quan'!$B$11,"✖","○"),"")))</f>
        <v/>
      </c>
      <c r="I56" s="24" t="str">
        <f>IF($A56="","",IF(COUNTIFS('Nhật ký bảo trì'!$D$6:$D$405,$A56,'Nhật ký bảo trì'!$Q$6:$Q$405,"Hoàn thành",'Nhật ký bảo trì'!$B$6:$B$405,"&gt;="&amp;I$5,'Nhật ký bảo trì'!$B$6:$B$405,"&lt;="&amp;EOMONTH(I$5,0))&gt;0,"✔",IF(((EOMONTH(I$5,0)&gt;='Kế hoạch định kỳ'!$W56)*(INT((EOMONTH(I$5,0)-'Kế hoạch định kỳ'!$W56)/'Kế hoạch định kỳ'!$X56)+1)-(I$5-1&gt;='Kế hoạch định kỳ'!$W56)*(INT((I$5-1-'Kế hoạch định kỳ'!$W56)/'Kế hoạch định kỳ'!$X56)+1))&gt;0,IF(EOMONTH(I$5,0)&lt;'Tổng quan'!$B$11,"✖","○"),"")))</f>
        <v/>
      </c>
      <c r="J56" s="24" t="str">
        <f>IF($A56="","",IF(COUNTIFS('Nhật ký bảo trì'!$D$6:$D$405,$A56,'Nhật ký bảo trì'!$Q$6:$Q$405,"Hoàn thành",'Nhật ký bảo trì'!$B$6:$B$405,"&gt;="&amp;J$5,'Nhật ký bảo trì'!$B$6:$B$405,"&lt;="&amp;EOMONTH(J$5,0))&gt;0,"✔",IF(((EOMONTH(J$5,0)&gt;='Kế hoạch định kỳ'!$W56)*(INT((EOMONTH(J$5,0)-'Kế hoạch định kỳ'!$W56)/'Kế hoạch định kỳ'!$X56)+1)-(J$5-1&gt;='Kế hoạch định kỳ'!$W56)*(INT((J$5-1-'Kế hoạch định kỳ'!$W56)/'Kế hoạch định kỳ'!$X56)+1))&gt;0,IF(EOMONTH(J$5,0)&lt;'Tổng quan'!$B$11,"✖","○"),"")))</f>
        <v/>
      </c>
      <c r="K56" s="24" t="str">
        <f>IF($A56="","",IF(COUNTIFS('Nhật ký bảo trì'!$D$6:$D$405,$A56,'Nhật ký bảo trì'!$Q$6:$Q$405,"Hoàn thành",'Nhật ký bảo trì'!$B$6:$B$405,"&gt;="&amp;K$5,'Nhật ký bảo trì'!$B$6:$B$405,"&lt;="&amp;EOMONTH(K$5,0))&gt;0,"✔",IF(((EOMONTH(K$5,0)&gt;='Kế hoạch định kỳ'!$W56)*(INT((EOMONTH(K$5,0)-'Kế hoạch định kỳ'!$W56)/'Kế hoạch định kỳ'!$X56)+1)-(K$5-1&gt;='Kế hoạch định kỳ'!$W56)*(INT((K$5-1-'Kế hoạch định kỳ'!$W56)/'Kế hoạch định kỳ'!$X56)+1))&gt;0,IF(EOMONTH(K$5,0)&lt;'Tổng quan'!$B$11,"✖","○"),"")))</f>
        <v/>
      </c>
      <c r="L56" s="24" t="str">
        <f>IF($A56="","",IF(COUNTIFS('Nhật ký bảo trì'!$D$6:$D$405,$A56,'Nhật ký bảo trì'!$Q$6:$Q$405,"Hoàn thành",'Nhật ký bảo trì'!$B$6:$B$405,"&gt;="&amp;L$5,'Nhật ký bảo trì'!$B$6:$B$405,"&lt;="&amp;EOMONTH(L$5,0))&gt;0,"✔",IF(((EOMONTH(L$5,0)&gt;='Kế hoạch định kỳ'!$W56)*(INT((EOMONTH(L$5,0)-'Kế hoạch định kỳ'!$W56)/'Kế hoạch định kỳ'!$X56)+1)-(L$5-1&gt;='Kế hoạch định kỳ'!$W56)*(INT((L$5-1-'Kế hoạch định kỳ'!$W56)/'Kế hoạch định kỳ'!$X56)+1))&gt;0,IF(EOMONTH(L$5,0)&lt;'Tổng quan'!$B$11,"✖","○"),"")))</f>
        <v/>
      </c>
      <c r="M56" s="24" t="str">
        <f>IF($A56="","",IF(COUNTIFS('Nhật ký bảo trì'!$D$6:$D$405,$A56,'Nhật ký bảo trì'!$Q$6:$Q$405,"Hoàn thành",'Nhật ký bảo trì'!$B$6:$B$405,"&gt;="&amp;M$5,'Nhật ký bảo trì'!$B$6:$B$405,"&lt;="&amp;EOMONTH(M$5,0))&gt;0,"✔",IF(((EOMONTH(M$5,0)&gt;='Kế hoạch định kỳ'!$W56)*(INT((EOMONTH(M$5,0)-'Kế hoạch định kỳ'!$W56)/'Kế hoạch định kỳ'!$X56)+1)-(M$5-1&gt;='Kế hoạch định kỳ'!$W56)*(INT((M$5-1-'Kế hoạch định kỳ'!$W56)/'Kế hoạch định kỳ'!$X56)+1))&gt;0,IF(EOMONTH(M$5,0)&lt;'Tổng quan'!$B$11,"✖","○"),"")))</f>
        <v/>
      </c>
      <c r="N56" s="24" t="str">
        <f>IF($A56="","",IF(COUNTIFS('Nhật ký bảo trì'!$D$6:$D$405,$A56,'Nhật ký bảo trì'!$Q$6:$Q$405,"Hoàn thành",'Nhật ký bảo trì'!$B$6:$B$405,"&gt;="&amp;N$5,'Nhật ký bảo trì'!$B$6:$B$405,"&lt;="&amp;EOMONTH(N$5,0))&gt;0,"✔",IF(((EOMONTH(N$5,0)&gt;='Kế hoạch định kỳ'!$W56)*(INT((EOMONTH(N$5,0)-'Kế hoạch định kỳ'!$W56)/'Kế hoạch định kỳ'!$X56)+1)-(N$5-1&gt;='Kế hoạch định kỳ'!$W56)*(INT((N$5-1-'Kế hoạch định kỳ'!$W56)/'Kế hoạch định kỳ'!$X56)+1))&gt;0,IF(EOMONTH(N$5,0)&lt;'Tổng quan'!$B$11,"✖","○"),"")))</f>
        <v/>
      </c>
      <c r="O56" s="24" t="str">
        <f>IF($A56="","",IF(COUNTIFS('Nhật ký bảo trì'!$D$6:$D$405,$A56,'Nhật ký bảo trì'!$Q$6:$Q$405,"Hoàn thành",'Nhật ký bảo trì'!$B$6:$B$405,"&gt;="&amp;O$5,'Nhật ký bảo trì'!$B$6:$B$405,"&lt;="&amp;EOMONTH(O$5,0))&gt;0,"✔",IF(((EOMONTH(O$5,0)&gt;='Kế hoạch định kỳ'!$W56)*(INT((EOMONTH(O$5,0)-'Kế hoạch định kỳ'!$W56)/'Kế hoạch định kỳ'!$X56)+1)-(O$5-1&gt;='Kế hoạch định kỳ'!$W56)*(INT((O$5-1-'Kế hoạch định kỳ'!$W56)/'Kế hoạch định kỳ'!$X56)+1))&gt;0,IF(EOMONTH(O$5,0)&lt;'Tổng quan'!$B$11,"✖","○"),"")))</f>
        <v/>
      </c>
      <c r="P56" s="24" t="str">
        <f>IF($A56="","",IF(COUNTIFS('Nhật ký bảo trì'!$D$6:$D$405,$A56,'Nhật ký bảo trì'!$Q$6:$Q$405,"Hoàn thành",'Nhật ký bảo trì'!$B$6:$B$405,"&gt;="&amp;P$5,'Nhật ký bảo trì'!$B$6:$B$405,"&lt;="&amp;EOMONTH(P$5,0))&gt;0,"✔",IF(((EOMONTH(P$5,0)&gt;='Kế hoạch định kỳ'!$W56)*(INT((EOMONTH(P$5,0)-'Kế hoạch định kỳ'!$W56)/'Kế hoạch định kỳ'!$X56)+1)-(P$5-1&gt;='Kế hoạch định kỳ'!$W56)*(INT((P$5-1-'Kế hoạch định kỳ'!$W56)/'Kế hoạch định kỳ'!$X56)+1))&gt;0,IF(EOMONTH(P$5,0)&lt;'Tổng quan'!$B$11,"✖","○"),"")))</f>
        <v/>
      </c>
      <c r="Q56" s="16" t="str">
        <f>IF($A56="","",COUNTIFS('Nhật ký bảo trì'!$D$6:$D$405,$A56,'Nhật ký bảo trì'!$Q$6:$Q$405,"Hoàn thành",'Nhật ký bảo trì'!$B$6:$B$405,"&gt;="&amp;DATE('Tổng quan'!$B$6,1,1),'Nhật ký bảo trì'!$B$6:$B$405,"&lt;="&amp;DATE('Tổng quan'!$B$6,12,31)))</f>
        <v/>
      </c>
      <c r="R56" s="16" t="str">
        <f t="shared" si="1"/>
        <v/>
      </c>
    </row>
    <row r="57" ht="24.0" customHeight="1">
      <c r="A57" s="26" t="str">
        <f>IF('Kế hoạch định kỳ'!$B57="","",'Kế hoạch định kỳ'!$B57)</f>
        <v/>
      </c>
      <c r="B57" s="28" t="str">
        <f>IF('Kế hoạch định kỳ'!$B57="","",'Kế hoạch định kỳ'!$D57)</f>
        <v/>
      </c>
      <c r="C57" s="56" t="str">
        <f>IF('Kế hoạch định kỳ'!$B57="","",'Kế hoạch định kỳ'!$F57)</f>
        <v/>
      </c>
      <c r="D57" s="26" t="str">
        <f>IF('Kế hoạch định kỳ'!$B57="","",IF('Kế hoạch định kỳ'!$I57&lt;&gt;"",'Kế hoạch định kỳ'!$I57&amp;" ngày",'Kế hoạch định kỳ'!$H57))</f>
        <v/>
      </c>
      <c r="E57" s="61" t="str">
        <f>IF($A57="","",IF(COUNTIFS('Nhật ký bảo trì'!$D$6:$D$405,$A57,'Nhật ký bảo trì'!$Q$6:$Q$405,"Hoàn thành",'Nhật ký bảo trì'!$B$6:$B$405,"&gt;="&amp;E$5,'Nhật ký bảo trì'!$B$6:$B$405,"&lt;="&amp;EOMONTH(E$5,0))&gt;0,"✔",IF(((EOMONTH(E$5,0)&gt;='Kế hoạch định kỳ'!$W57)*(INT((EOMONTH(E$5,0)-'Kế hoạch định kỳ'!$W57)/'Kế hoạch định kỳ'!$X57)+1)-(E$5-1&gt;='Kế hoạch định kỳ'!$W57)*(INT((E$5-1-'Kế hoạch định kỳ'!$W57)/'Kế hoạch định kỳ'!$X57)+1))&gt;0,IF(EOMONTH(E$5,0)&lt;'Tổng quan'!$B$11,"✖","○"),"")))</f>
        <v/>
      </c>
      <c r="F57" s="61" t="str">
        <f>IF($A57="","",IF(COUNTIFS('Nhật ký bảo trì'!$D$6:$D$405,$A57,'Nhật ký bảo trì'!$Q$6:$Q$405,"Hoàn thành",'Nhật ký bảo trì'!$B$6:$B$405,"&gt;="&amp;F$5,'Nhật ký bảo trì'!$B$6:$B$405,"&lt;="&amp;EOMONTH(F$5,0))&gt;0,"✔",IF(((EOMONTH(F$5,0)&gt;='Kế hoạch định kỳ'!$W57)*(INT((EOMONTH(F$5,0)-'Kế hoạch định kỳ'!$W57)/'Kế hoạch định kỳ'!$X57)+1)-(F$5-1&gt;='Kế hoạch định kỳ'!$W57)*(INT((F$5-1-'Kế hoạch định kỳ'!$W57)/'Kế hoạch định kỳ'!$X57)+1))&gt;0,IF(EOMONTH(F$5,0)&lt;'Tổng quan'!$B$11,"✖","○"),"")))</f>
        <v/>
      </c>
      <c r="G57" s="61" t="str">
        <f>IF($A57="","",IF(COUNTIFS('Nhật ký bảo trì'!$D$6:$D$405,$A57,'Nhật ký bảo trì'!$Q$6:$Q$405,"Hoàn thành",'Nhật ký bảo trì'!$B$6:$B$405,"&gt;="&amp;G$5,'Nhật ký bảo trì'!$B$6:$B$405,"&lt;="&amp;EOMONTH(G$5,0))&gt;0,"✔",IF(((EOMONTH(G$5,0)&gt;='Kế hoạch định kỳ'!$W57)*(INT((EOMONTH(G$5,0)-'Kế hoạch định kỳ'!$W57)/'Kế hoạch định kỳ'!$X57)+1)-(G$5-1&gt;='Kế hoạch định kỳ'!$W57)*(INT((G$5-1-'Kế hoạch định kỳ'!$W57)/'Kế hoạch định kỳ'!$X57)+1))&gt;0,IF(EOMONTH(G$5,0)&lt;'Tổng quan'!$B$11,"✖","○"),"")))</f>
        <v/>
      </c>
      <c r="H57" s="61" t="str">
        <f>IF($A57="","",IF(COUNTIFS('Nhật ký bảo trì'!$D$6:$D$405,$A57,'Nhật ký bảo trì'!$Q$6:$Q$405,"Hoàn thành",'Nhật ký bảo trì'!$B$6:$B$405,"&gt;="&amp;H$5,'Nhật ký bảo trì'!$B$6:$B$405,"&lt;="&amp;EOMONTH(H$5,0))&gt;0,"✔",IF(((EOMONTH(H$5,0)&gt;='Kế hoạch định kỳ'!$W57)*(INT((EOMONTH(H$5,0)-'Kế hoạch định kỳ'!$W57)/'Kế hoạch định kỳ'!$X57)+1)-(H$5-1&gt;='Kế hoạch định kỳ'!$W57)*(INT((H$5-1-'Kế hoạch định kỳ'!$W57)/'Kế hoạch định kỳ'!$X57)+1))&gt;0,IF(EOMONTH(H$5,0)&lt;'Tổng quan'!$B$11,"✖","○"),"")))</f>
        <v/>
      </c>
      <c r="I57" s="61" t="str">
        <f>IF($A57="","",IF(COUNTIFS('Nhật ký bảo trì'!$D$6:$D$405,$A57,'Nhật ký bảo trì'!$Q$6:$Q$405,"Hoàn thành",'Nhật ký bảo trì'!$B$6:$B$405,"&gt;="&amp;I$5,'Nhật ký bảo trì'!$B$6:$B$405,"&lt;="&amp;EOMONTH(I$5,0))&gt;0,"✔",IF(((EOMONTH(I$5,0)&gt;='Kế hoạch định kỳ'!$W57)*(INT((EOMONTH(I$5,0)-'Kế hoạch định kỳ'!$W57)/'Kế hoạch định kỳ'!$X57)+1)-(I$5-1&gt;='Kế hoạch định kỳ'!$W57)*(INT((I$5-1-'Kế hoạch định kỳ'!$W57)/'Kế hoạch định kỳ'!$X57)+1))&gt;0,IF(EOMONTH(I$5,0)&lt;'Tổng quan'!$B$11,"✖","○"),"")))</f>
        <v/>
      </c>
      <c r="J57" s="61" t="str">
        <f>IF($A57="","",IF(COUNTIFS('Nhật ký bảo trì'!$D$6:$D$405,$A57,'Nhật ký bảo trì'!$Q$6:$Q$405,"Hoàn thành",'Nhật ký bảo trì'!$B$6:$B$405,"&gt;="&amp;J$5,'Nhật ký bảo trì'!$B$6:$B$405,"&lt;="&amp;EOMONTH(J$5,0))&gt;0,"✔",IF(((EOMONTH(J$5,0)&gt;='Kế hoạch định kỳ'!$W57)*(INT((EOMONTH(J$5,0)-'Kế hoạch định kỳ'!$W57)/'Kế hoạch định kỳ'!$X57)+1)-(J$5-1&gt;='Kế hoạch định kỳ'!$W57)*(INT((J$5-1-'Kế hoạch định kỳ'!$W57)/'Kế hoạch định kỳ'!$X57)+1))&gt;0,IF(EOMONTH(J$5,0)&lt;'Tổng quan'!$B$11,"✖","○"),"")))</f>
        <v/>
      </c>
      <c r="K57" s="61" t="str">
        <f>IF($A57="","",IF(COUNTIFS('Nhật ký bảo trì'!$D$6:$D$405,$A57,'Nhật ký bảo trì'!$Q$6:$Q$405,"Hoàn thành",'Nhật ký bảo trì'!$B$6:$B$405,"&gt;="&amp;K$5,'Nhật ký bảo trì'!$B$6:$B$405,"&lt;="&amp;EOMONTH(K$5,0))&gt;0,"✔",IF(((EOMONTH(K$5,0)&gt;='Kế hoạch định kỳ'!$W57)*(INT((EOMONTH(K$5,0)-'Kế hoạch định kỳ'!$W57)/'Kế hoạch định kỳ'!$X57)+1)-(K$5-1&gt;='Kế hoạch định kỳ'!$W57)*(INT((K$5-1-'Kế hoạch định kỳ'!$W57)/'Kế hoạch định kỳ'!$X57)+1))&gt;0,IF(EOMONTH(K$5,0)&lt;'Tổng quan'!$B$11,"✖","○"),"")))</f>
        <v/>
      </c>
      <c r="L57" s="61" t="str">
        <f>IF($A57="","",IF(COUNTIFS('Nhật ký bảo trì'!$D$6:$D$405,$A57,'Nhật ký bảo trì'!$Q$6:$Q$405,"Hoàn thành",'Nhật ký bảo trì'!$B$6:$B$405,"&gt;="&amp;L$5,'Nhật ký bảo trì'!$B$6:$B$405,"&lt;="&amp;EOMONTH(L$5,0))&gt;0,"✔",IF(((EOMONTH(L$5,0)&gt;='Kế hoạch định kỳ'!$W57)*(INT((EOMONTH(L$5,0)-'Kế hoạch định kỳ'!$W57)/'Kế hoạch định kỳ'!$X57)+1)-(L$5-1&gt;='Kế hoạch định kỳ'!$W57)*(INT((L$5-1-'Kế hoạch định kỳ'!$W57)/'Kế hoạch định kỳ'!$X57)+1))&gt;0,IF(EOMONTH(L$5,0)&lt;'Tổng quan'!$B$11,"✖","○"),"")))</f>
        <v/>
      </c>
      <c r="M57" s="61" t="str">
        <f>IF($A57="","",IF(COUNTIFS('Nhật ký bảo trì'!$D$6:$D$405,$A57,'Nhật ký bảo trì'!$Q$6:$Q$405,"Hoàn thành",'Nhật ký bảo trì'!$B$6:$B$405,"&gt;="&amp;M$5,'Nhật ký bảo trì'!$B$6:$B$405,"&lt;="&amp;EOMONTH(M$5,0))&gt;0,"✔",IF(((EOMONTH(M$5,0)&gt;='Kế hoạch định kỳ'!$W57)*(INT((EOMONTH(M$5,0)-'Kế hoạch định kỳ'!$W57)/'Kế hoạch định kỳ'!$X57)+1)-(M$5-1&gt;='Kế hoạch định kỳ'!$W57)*(INT((M$5-1-'Kế hoạch định kỳ'!$W57)/'Kế hoạch định kỳ'!$X57)+1))&gt;0,IF(EOMONTH(M$5,0)&lt;'Tổng quan'!$B$11,"✖","○"),"")))</f>
        <v/>
      </c>
      <c r="N57" s="61" t="str">
        <f>IF($A57="","",IF(COUNTIFS('Nhật ký bảo trì'!$D$6:$D$405,$A57,'Nhật ký bảo trì'!$Q$6:$Q$405,"Hoàn thành",'Nhật ký bảo trì'!$B$6:$B$405,"&gt;="&amp;N$5,'Nhật ký bảo trì'!$B$6:$B$405,"&lt;="&amp;EOMONTH(N$5,0))&gt;0,"✔",IF(((EOMONTH(N$5,0)&gt;='Kế hoạch định kỳ'!$W57)*(INT((EOMONTH(N$5,0)-'Kế hoạch định kỳ'!$W57)/'Kế hoạch định kỳ'!$X57)+1)-(N$5-1&gt;='Kế hoạch định kỳ'!$W57)*(INT((N$5-1-'Kế hoạch định kỳ'!$W57)/'Kế hoạch định kỳ'!$X57)+1))&gt;0,IF(EOMONTH(N$5,0)&lt;'Tổng quan'!$B$11,"✖","○"),"")))</f>
        <v/>
      </c>
      <c r="O57" s="61" t="str">
        <f>IF($A57="","",IF(COUNTIFS('Nhật ký bảo trì'!$D$6:$D$405,$A57,'Nhật ký bảo trì'!$Q$6:$Q$405,"Hoàn thành",'Nhật ký bảo trì'!$B$6:$B$405,"&gt;="&amp;O$5,'Nhật ký bảo trì'!$B$6:$B$405,"&lt;="&amp;EOMONTH(O$5,0))&gt;0,"✔",IF(((EOMONTH(O$5,0)&gt;='Kế hoạch định kỳ'!$W57)*(INT((EOMONTH(O$5,0)-'Kế hoạch định kỳ'!$W57)/'Kế hoạch định kỳ'!$X57)+1)-(O$5-1&gt;='Kế hoạch định kỳ'!$W57)*(INT((O$5-1-'Kế hoạch định kỳ'!$W57)/'Kế hoạch định kỳ'!$X57)+1))&gt;0,IF(EOMONTH(O$5,0)&lt;'Tổng quan'!$B$11,"✖","○"),"")))</f>
        <v/>
      </c>
      <c r="P57" s="61" t="str">
        <f>IF($A57="","",IF(COUNTIFS('Nhật ký bảo trì'!$D$6:$D$405,$A57,'Nhật ký bảo trì'!$Q$6:$Q$405,"Hoàn thành",'Nhật ký bảo trì'!$B$6:$B$405,"&gt;="&amp;P$5,'Nhật ký bảo trì'!$B$6:$B$405,"&lt;="&amp;EOMONTH(P$5,0))&gt;0,"✔",IF(((EOMONTH(P$5,0)&gt;='Kế hoạch định kỳ'!$W57)*(INT((EOMONTH(P$5,0)-'Kế hoạch định kỳ'!$W57)/'Kế hoạch định kỳ'!$X57)+1)-(P$5-1&gt;='Kế hoạch định kỳ'!$W57)*(INT((P$5-1-'Kế hoạch định kỳ'!$W57)/'Kế hoạch định kỳ'!$X57)+1))&gt;0,IF(EOMONTH(P$5,0)&lt;'Tổng quan'!$B$11,"✖","○"),"")))</f>
        <v/>
      </c>
      <c r="Q57" s="30" t="str">
        <f>IF($A57="","",COUNTIFS('Nhật ký bảo trì'!$D$6:$D$405,$A57,'Nhật ký bảo trì'!$Q$6:$Q$405,"Hoàn thành",'Nhật ký bảo trì'!$B$6:$B$405,"&gt;="&amp;DATE('Tổng quan'!$B$6,1,1),'Nhật ký bảo trì'!$B$6:$B$405,"&lt;="&amp;DATE('Tổng quan'!$B$6,12,31)))</f>
        <v/>
      </c>
      <c r="R57" s="30" t="str">
        <f t="shared" si="1"/>
        <v/>
      </c>
    </row>
    <row r="58" ht="24.0" customHeight="1">
      <c r="A58" s="10" t="str">
        <f>IF('Kế hoạch định kỳ'!$B58="","",'Kế hoạch định kỳ'!$B58)</f>
        <v/>
      </c>
      <c r="B58" s="14" t="str">
        <f>IF('Kế hoạch định kỳ'!$B58="","",'Kế hoạch định kỳ'!$D58)</f>
        <v/>
      </c>
      <c r="C58" s="18" t="str">
        <f>IF('Kế hoạch định kỳ'!$B58="","",'Kế hoạch định kỳ'!$F58)</f>
        <v/>
      </c>
      <c r="D58" s="10" t="str">
        <f>IF('Kế hoạch định kỳ'!$B58="","",IF('Kế hoạch định kỳ'!$I58&lt;&gt;"",'Kế hoạch định kỳ'!$I58&amp;" ngày",'Kế hoạch định kỳ'!$H58))</f>
        <v/>
      </c>
      <c r="E58" s="24" t="str">
        <f>IF($A58="","",IF(COUNTIFS('Nhật ký bảo trì'!$D$6:$D$405,$A58,'Nhật ký bảo trì'!$Q$6:$Q$405,"Hoàn thành",'Nhật ký bảo trì'!$B$6:$B$405,"&gt;="&amp;E$5,'Nhật ký bảo trì'!$B$6:$B$405,"&lt;="&amp;EOMONTH(E$5,0))&gt;0,"✔",IF(((EOMONTH(E$5,0)&gt;='Kế hoạch định kỳ'!$W58)*(INT((EOMONTH(E$5,0)-'Kế hoạch định kỳ'!$W58)/'Kế hoạch định kỳ'!$X58)+1)-(E$5-1&gt;='Kế hoạch định kỳ'!$W58)*(INT((E$5-1-'Kế hoạch định kỳ'!$W58)/'Kế hoạch định kỳ'!$X58)+1))&gt;0,IF(EOMONTH(E$5,0)&lt;'Tổng quan'!$B$11,"✖","○"),"")))</f>
        <v/>
      </c>
      <c r="F58" s="24" t="str">
        <f>IF($A58="","",IF(COUNTIFS('Nhật ký bảo trì'!$D$6:$D$405,$A58,'Nhật ký bảo trì'!$Q$6:$Q$405,"Hoàn thành",'Nhật ký bảo trì'!$B$6:$B$405,"&gt;="&amp;F$5,'Nhật ký bảo trì'!$B$6:$B$405,"&lt;="&amp;EOMONTH(F$5,0))&gt;0,"✔",IF(((EOMONTH(F$5,0)&gt;='Kế hoạch định kỳ'!$W58)*(INT((EOMONTH(F$5,0)-'Kế hoạch định kỳ'!$W58)/'Kế hoạch định kỳ'!$X58)+1)-(F$5-1&gt;='Kế hoạch định kỳ'!$W58)*(INT((F$5-1-'Kế hoạch định kỳ'!$W58)/'Kế hoạch định kỳ'!$X58)+1))&gt;0,IF(EOMONTH(F$5,0)&lt;'Tổng quan'!$B$11,"✖","○"),"")))</f>
        <v/>
      </c>
      <c r="G58" s="24" t="str">
        <f>IF($A58="","",IF(COUNTIFS('Nhật ký bảo trì'!$D$6:$D$405,$A58,'Nhật ký bảo trì'!$Q$6:$Q$405,"Hoàn thành",'Nhật ký bảo trì'!$B$6:$B$405,"&gt;="&amp;G$5,'Nhật ký bảo trì'!$B$6:$B$405,"&lt;="&amp;EOMONTH(G$5,0))&gt;0,"✔",IF(((EOMONTH(G$5,0)&gt;='Kế hoạch định kỳ'!$W58)*(INT((EOMONTH(G$5,0)-'Kế hoạch định kỳ'!$W58)/'Kế hoạch định kỳ'!$X58)+1)-(G$5-1&gt;='Kế hoạch định kỳ'!$W58)*(INT((G$5-1-'Kế hoạch định kỳ'!$W58)/'Kế hoạch định kỳ'!$X58)+1))&gt;0,IF(EOMONTH(G$5,0)&lt;'Tổng quan'!$B$11,"✖","○"),"")))</f>
        <v/>
      </c>
      <c r="H58" s="24" t="str">
        <f>IF($A58="","",IF(COUNTIFS('Nhật ký bảo trì'!$D$6:$D$405,$A58,'Nhật ký bảo trì'!$Q$6:$Q$405,"Hoàn thành",'Nhật ký bảo trì'!$B$6:$B$405,"&gt;="&amp;H$5,'Nhật ký bảo trì'!$B$6:$B$405,"&lt;="&amp;EOMONTH(H$5,0))&gt;0,"✔",IF(((EOMONTH(H$5,0)&gt;='Kế hoạch định kỳ'!$W58)*(INT((EOMONTH(H$5,0)-'Kế hoạch định kỳ'!$W58)/'Kế hoạch định kỳ'!$X58)+1)-(H$5-1&gt;='Kế hoạch định kỳ'!$W58)*(INT((H$5-1-'Kế hoạch định kỳ'!$W58)/'Kế hoạch định kỳ'!$X58)+1))&gt;0,IF(EOMONTH(H$5,0)&lt;'Tổng quan'!$B$11,"✖","○"),"")))</f>
        <v/>
      </c>
      <c r="I58" s="24" t="str">
        <f>IF($A58="","",IF(COUNTIFS('Nhật ký bảo trì'!$D$6:$D$405,$A58,'Nhật ký bảo trì'!$Q$6:$Q$405,"Hoàn thành",'Nhật ký bảo trì'!$B$6:$B$405,"&gt;="&amp;I$5,'Nhật ký bảo trì'!$B$6:$B$405,"&lt;="&amp;EOMONTH(I$5,0))&gt;0,"✔",IF(((EOMONTH(I$5,0)&gt;='Kế hoạch định kỳ'!$W58)*(INT((EOMONTH(I$5,0)-'Kế hoạch định kỳ'!$W58)/'Kế hoạch định kỳ'!$X58)+1)-(I$5-1&gt;='Kế hoạch định kỳ'!$W58)*(INT((I$5-1-'Kế hoạch định kỳ'!$W58)/'Kế hoạch định kỳ'!$X58)+1))&gt;0,IF(EOMONTH(I$5,0)&lt;'Tổng quan'!$B$11,"✖","○"),"")))</f>
        <v/>
      </c>
      <c r="J58" s="24" t="str">
        <f>IF($A58="","",IF(COUNTIFS('Nhật ký bảo trì'!$D$6:$D$405,$A58,'Nhật ký bảo trì'!$Q$6:$Q$405,"Hoàn thành",'Nhật ký bảo trì'!$B$6:$B$405,"&gt;="&amp;J$5,'Nhật ký bảo trì'!$B$6:$B$405,"&lt;="&amp;EOMONTH(J$5,0))&gt;0,"✔",IF(((EOMONTH(J$5,0)&gt;='Kế hoạch định kỳ'!$W58)*(INT((EOMONTH(J$5,0)-'Kế hoạch định kỳ'!$W58)/'Kế hoạch định kỳ'!$X58)+1)-(J$5-1&gt;='Kế hoạch định kỳ'!$W58)*(INT((J$5-1-'Kế hoạch định kỳ'!$W58)/'Kế hoạch định kỳ'!$X58)+1))&gt;0,IF(EOMONTH(J$5,0)&lt;'Tổng quan'!$B$11,"✖","○"),"")))</f>
        <v/>
      </c>
      <c r="K58" s="24" t="str">
        <f>IF($A58="","",IF(COUNTIFS('Nhật ký bảo trì'!$D$6:$D$405,$A58,'Nhật ký bảo trì'!$Q$6:$Q$405,"Hoàn thành",'Nhật ký bảo trì'!$B$6:$B$405,"&gt;="&amp;K$5,'Nhật ký bảo trì'!$B$6:$B$405,"&lt;="&amp;EOMONTH(K$5,0))&gt;0,"✔",IF(((EOMONTH(K$5,0)&gt;='Kế hoạch định kỳ'!$W58)*(INT((EOMONTH(K$5,0)-'Kế hoạch định kỳ'!$W58)/'Kế hoạch định kỳ'!$X58)+1)-(K$5-1&gt;='Kế hoạch định kỳ'!$W58)*(INT((K$5-1-'Kế hoạch định kỳ'!$W58)/'Kế hoạch định kỳ'!$X58)+1))&gt;0,IF(EOMONTH(K$5,0)&lt;'Tổng quan'!$B$11,"✖","○"),"")))</f>
        <v/>
      </c>
      <c r="L58" s="24" t="str">
        <f>IF($A58="","",IF(COUNTIFS('Nhật ký bảo trì'!$D$6:$D$405,$A58,'Nhật ký bảo trì'!$Q$6:$Q$405,"Hoàn thành",'Nhật ký bảo trì'!$B$6:$B$405,"&gt;="&amp;L$5,'Nhật ký bảo trì'!$B$6:$B$405,"&lt;="&amp;EOMONTH(L$5,0))&gt;0,"✔",IF(((EOMONTH(L$5,0)&gt;='Kế hoạch định kỳ'!$W58)*(INT((EOMONTH(L$5,0)-'Kế hoạch định kỳ'!$W58)/'Kế hoạch định kỳ'!$X58)+1)-(L$5-1&gt;='Kế hoạch định kỳ'!$W58)*(INT((L$5-1-'Kế hoạch định kỳ'!$W58)/'Kế hoạch định kỳ'!$X58)+1))&gt;0,IF(EOMONTH(L$5,0)&lt;'Tổng quan'!$B$11,"✖","○"),"")))</f>
        <v/>
      </c>
      <c r="M58" s="24" t="str">
        <f>IF($A58="","",IF(COUNTIFS('Nhật ký bảo trì'!$D$6:$D$405,$A58,'Nhật ký bảo trì'!$Q$6:$Q$405,"Hoàn thành",'Nhật ký bảo trì'!$B$6:$B$405,"&gt;="&amp;M$5,'Nhật ký bảo trì'!$B$6:$B$405,"&lt;="&amp;EOMONTH(M$5,0))&gt;0,"✔",IF(((EOMONTH(M$5,0)&gt;='Kế hoạch định kỳ'!$W58)*(INT((EOMONTH(M$5,0)-'Kế hoạch định kỳ'!$W58)/'Kế hoạch định kỳ'!$X58)+1)-(M$5-1&gt;='Kế hoạch định kỳ'!$W58)*(INT((M$5-1-'Kế hoạch định kỳ'!$W58)/'Kế hoạch định kỳ'!$X58)+1))&gt;0,IF(EOMONTH(M$5,0)&lt;'Tổng quan'!$B$11,"✖","○"),"")))</f>
        <v/>
      </c>
      <c r="N58" s="24" t="str">
        <f>IF($A58="","",IF(COUNTIFS('Nhật ký bảo trì'!$D$6:$D$405,$A58,'Nhật ký bảo trì'!$Q$6:$Q$405,"Hoàn thành",'Nhật ký bảo trì'!$B$6:$B$405,"&gt;="&amp;N$5,'Nhật ký bảo trì'!$B$6:$B$405,"&lt;="&amp;EOMONTH(N$5,0))&gt;0,"✔",IF(((EOMONTH(N$5,0)&gt;='Kế hoạch định kỳ'!$W58)*(INT((EOMONTH(N$5,0)-'Kế hoạch định kỳ'!$W58)/'Kế hoạch định kỳ'!$X58)+1)-(N$5-1&gt;='Kế hoạch định kỳ'!$W58)*(INT((N$5-1-'Kế hoạch định kỳ'!$W58)/'Kế hoạch định kỳ'!$X58)+1))&gt;0,IF(EOMONTH(N$5,0)&lt;'Tổng quan'!$B$11,"✖","○"),"")))</f>
        <v/>
      </c>
      <c r="O58" s="24" t="str">
        <f>IF($A58="","",IF(COUNTIFS('Nhật ký bảo trì'!$D$6:$D$405,$A58,'Nhật ký bảo trì'!$Q$6:$Q$405,"Hoàn thành",'Nhật ký bảo trì'!$B$6:$B$405,"&gt;="&amp;O$5,'Nhật ký bảo trì'!$B$6:$B$405,"&lt;="&amp;EOMONTH(O$5,0))&gt;0,"✔",IF(((EOMONTH(O$5,0)&gt;='Kế hoạch định kỳ'!$W58)*(INT((EOMONTH(O$5,0)-'Kế hoạch định kỳ'!$W58)/'Kế hoạch định kỳ'!$X58)+1)-(O$5-1&gt;='Kế hoạch định kỳ'!$W58)*(INT((O$5-1-'Kế hoạch định kỳ'!$W58)/'Kế hoạch định kỳ'!$X58)+1))&gt;0,IF(EOMONTH(O$5,0)&lt;'Tổng quan'!$B$11,"✖","○"),"")))</f>
        <v/>
      </c>
      <c r="P58" s="24" t="str">
        <f>IF($A58="","",IF(COUNTIFS('Nhật ký bảo trì'!$D$6:$D$405,$A58,'Nhật ký bảo trì'!$Q$6:$Q$405,"Hoàn thành",'Nhật ký bảo trì'!$B$6:$B$405,"&gt;="&amp;P$5,'Nhật ký bảo trì'!$B$6:$B$405,"&lt;="&amp;EOMONTH(P$5,0))&gt;0,"✔",IF(((EOMONTH(P$5,0)&gt;='Kế hoạch định kỳ'!$W58)*(INT((EOMONTH(P$5,0)-'Kế hoạch định kỳ'!$W58)/'Kế hoạch định kỳ'!$X58)+1)-(P$5-1&gt;='Kế hoạch định kỳ'!$W58)*(INT((P$5-1-'Kế hoạch định kỳ'!$W58)/'Kế hoạch định kỳ'!$X58)+1))&gt;0,IF(EOMONTH(P$5,0)&lt;'Tổng quan'!$B$11,"✖","○"),"")))</f>
        <v/>
      </c>
      <c r="Q58" s="16" t="str">
        <f>IF($A58="","",COUNTIFS('Nhật ký bảo trì'!$D$6:$D$405,$A58,'Nhật ký bảo trì'!$Q$6:$Q$405,"Hoàn thành",'Nhật ký bảo trì'!$B$6:$B$405,"&gt;="&amp;DATE('Tổng quan'!$B$6,1,1),'Nhật ký bảo trì'!$B$6:$B$405,"&lt;="&amp;DATE('Tổng quan'!$B$6,12,31)))</f>
        <v/>
      </c>
      <c r="R58" s="16" t="str">
        <f t="shared" si="1"/>
        <v/>
      </c>
    </row>
    <row r="59" ht="24.0" customHeight="1">
      <c r="A59" s="26" t="str">
        <f>IF('Kế hoạch định kỳ'!$B59="","",'Kế hoạch định kỳ'!$B59)</f>
        <v/>
      </c>
      <c r="B59" s="28" t="str">
        <f>IF('Kế hoạch định kỳ'!$B59="","",'Kế hoạch định kỳ'!$D59)</f>
        <v/>
      </c>
      <c r="C59" s="56" t="str">
        <f>IF('Kế hoạch định kỳ'!$B59="","",'Kế hoạch định kỳ'!$F59)</f>
        <v/>
      </c>
      <c r="D59" s="26" t="str">
        <f>IF('Kế hoạch định kỳ'!$B59="","",IF('Kế hoạch định kỳ'!$I59&lt;&gt;"",'Kế hoạch định kỳ'!$I59&amp;" ngày",'Kế hoạch định kỳ'!$H59))</f>
        <v/>
      </c>
      <c r="E59" s="61" t="str">
        <f>IF($A59="","",IF(COUNTIFS('Nhật ký bảo trì'!$D$6:$D$405,$A59,'Nhật ký bảo trì'!$Q$6:$Q$405,"Hoàn thành",'Nhật ký bảo trì'!$B$6:$B$405,"&gt;="&amp;E$5,'Nhật ký bảo trì'!$B$6:$B$405,"&lt;="&amp;EOMONTH(E$5,0))&gt;0,"✔",IF(((EOMONTH(E$5,0)&gt;='Kế hoạch định kỳ'!$W59)*(INT((EOMONTH(E$5,0)-'Kế hoạch định kỳ'!$W59)/'Kế hoạch định kỳ'!$X59)+1)-(E$5-1&gt;='Kế hoạch định kỳ'!$W59)*(INT((E$5-1-'Kế hoạch định kỳ'!$W59)/'Kế hoạch định kỳ'!$X59)+1))&gt;0,IF(EOMONTH(E$5,0)&lt;'Tổng quan'!$B$11,"✖","○"),"")))</f>
        <v/>
      </c>
      <c r="F59" s="61" t="str">
        <f>IF($A59="","",IF(COUNTIFS('Nhật ký bảo trì'!$D$6:$D$405,$A59,'Nhật ký bảo trì'!$Q$6:$Q$405,"Hoàn thành",'Nhật ký bảo trì'!$B$6:$B$405,"&gt;="&amp;F$5,'Nhật ký bảo trì'!$B$6:$B$405,"&lt;="&amp;EOMONTH(F$5,0))&gt;0,"✔",IF(((EOMONTH(F$5,0)&gt;='Kế hoạch định kỳ'!$W59)*(INT((EOMONTH(F$5,0)-'Kế hoạch định kỳ'!$W59)/'Kế hoạch định kỳ'!$X59)+1)-(F$5-1&gt;='Kế hoạch định kỳ'!$W59)*(INT((F$5-1-'Kế hoạch định kỳ'!$W59)/'Kế hoạch định kỳ'!$X59)+1))&gt;0,IF(EOMONTH(F$5,0)&lt;'Tổng quan'!$B$11,"✖","○"),"")))</f>
        <v/>
      </c>
      <c r="G59" s="61" t="str">
        <f>IF($A59="","",IF(COUNTIFS('Nhật ký bảo trì'!$D$6:$D$405,$A59,'Nhật ký bảo trì'!$Q$6:$Q$405,"Hoàn thành",'Nhật ký bảo trì'!$B$6:$B$405,"&gt;="&amp;G$5,'Nhật ký bảo trì'!$B$6:$B$405,"&lt;="&amp;EOMONTH(G$5,0))&gt;0,"✔",IF(((EOMONTH(G$5,0)&gt;='Kế hoạch định kỳ'!$W59)*(INT((EOMONTH(G$5,0)-'Kế hoạch định kỳ'!$W59)/'Kế hoạch định kỳ'!$X59)+1)-(G$5-1&gt;='Kế hoạch định kỳ'!$W59)*(INT((G$5-1-'Kế hoạch định kỳ'!$W59)/'Kế hoạch định kỳ'!$X59)+1))&gt;0,IF(EOMONTH(G$5,0)&lt;'Tổng quan'!$B$11,"✖","○"),"")))</f>
        <v/>
      </c>
      <c r="H59" s="61" t="str">
        <f>IF($A59="","",IF(COUNTIFS('Nhật ký bảo trì'!$D$6:$D$405,$A59,'Nhật ký bảo trì'!$Q$6:$Q$405,"Hoàn thành",'Nhật ký bảo trì'!$B$6:$B$405,"&gt;="&amp;H$5,'Nhật ký bảo trì'!$B$6:$B$405,"&lt;="&amp;EOMONTH(H$5,0))&gt;0,"✔",IF(((EOMONTH(H$5,0)&gt;='Kế hoạch định kỳ'!$W59)*(INT((EOMONTH(H$5,0)-'Kế hoạch định kỳ'!$W59)/'Kế hoạch định kỳ'!$X59)+1)-(H$5-1&gt;='Kế hoạch định kỳ'!$W59)*(INT((H$5-1-'Kế hoạch định kỳ'!$W59)/'Kế hoạch định kỳ'!$X59)+1))&gt;0,IF(EOMONTH(H$5,0)&lt;'Tổng quan'!$B$11,"✖","○"),"")))</f>
        <v/>
      </c>
      <c r="I59" s="61" t="str">
        <f>IF($A59="","",IF(COUNTIFS('Nhật ký bảo trì'!$D$6:$D$405,$A59,'Nhật ký bảo trì'!$Q$6:$Q$405,"Hoàn thành",'Nhật ký bảo trì'!$B$6:$B$405,"&gt;="&amp;I$5,'Nhật ký bảo trì'!$B$6:$B$405,"&lt;="&amp;EOMONTH(I$5,0))&gt;0,"✔",IF(((EOMONTH(I$5,0)&gt;='Kế hoạch định kỳ'!$W59)*(INT((EOMONTH(I$5,0)-'Kế hoạch định kỳ'!$W59)/'Kế hoạch định kỳ'!$X59)+1)-(I$5-1&gt;='Kế hoạch định kỳ'!$W59)*(INT((I$5-1-'Kế hoạch định kỳ'!$W59)/'Kế hoạch định kỳ'!$X59)+1))&gt;0,IF(EOMONTH(I$5,0)&lt;'Tổng quan'!$B$11,"✖","○"),"")))</f>
        <v/>
      </c>
      <c r="J59" s="61" t="str">
        <f>IF($A59="","",IF(COUNTIFS('Nhật ký bảo trì'!$D$6:$D$405,$A59,'Nhật ký bảo trì'!$Q$6:$Q$405,"Hoàn thành",'Nhật ký bảo trì'!$B$6:$B$405,"&gt;="&amp;J$5,'Nhật ký bảo trì'!$B$6:$B$405,"&lt;="&amp;EOMONTH(J$5,0))&gt;0,"✔",IF(((EOMONTH(J$5,0)&gt;='Kế hoạch định kỳ'!$W59)*(INT((EOMONTH(J$5,0)-'Kế hoạch định kỳ'!$W59)/'Kế hoạch định kỳ'!$X59)+1)-(J$5-1&gt;='Kế hoạch định kỳ'!$W59)*(INT((J$5-1-'Kế hoạch định kỳ'!$W59)/'Kế hoạch định kỳ'!$X59)+1))&gt;0,IF(EOMONTH(J$5,0)&lt;'Tổng quan'!$B$11,"✖","○"),"")))</f>
        <v/>
      </c>
      <c r="K59" s="61" t="str">
        <f>IF($A59="","",IF(COUNTIFS('Nhật ký bảo trì'!$D$6:$D$405,$A59,'Nhật ký bảo trì'!$Q$6:$Q$405,"Hoàn thành",'Nhật ký bảo trì'!$B$6:$B$405,"&gt;="&amp;K$5,'Nhật ký bảo trì'!$B$6:$B$405,"&lt;="&amp;EOMONTH(K$5,0))&gt;0,"✔",IF(((EOMONTH(K$5,0)&gt;='Kế hoạch định kỳ'!$W59)*(INT((EOMONTH(K$5,0)-'Kế hoạch định kỳ'!$W59)/'Kế hoạch định kỳ'!$X59)+1)-(K$5-1&gt;='Kế hoạch định kỳ'!$W59)*(INT((K$5-1-'Kế hoạch định kỳ'!$W59)/'Kế hoạch định kỳ'!$X59)+1))&gt;0,IF(EOMONTH(K$5,0)&lt;'Tổng quan'!$B$11,"✖","○"),"")))</f>
        <v/>
      </c>
      <c r="L59" s="61" t="str">
        <f>IF($A59="","",IF(COUNTIFS('Nhật ký bảo trì'!$D$6:$D$405,$A59,'Nhật ký bảo trì'!$Q$6:$Q$405,"Hoàn thành",'Nhật ký bảo trì'!$B$6:$B$405,"&gt;="&amp;L$5,'Nhật ký bảo trì'!$B$6:$B$405,"&lt;="&amp;EOMONTH(L$5,0))&gt;0,"✔",IF(((EOMONTH(L$5,0)&gt;='Kế hoạch định kỳ'!$W59)*(INT((EOMONTH(L$5,0)-'Kế hoạch định kỳ'!$W59)/'Kế hoạch định kỳ'!$X59)+1)-(L$5-1&gt;='Kế hoạch định kỳ'!$W59)*(INT((L$5-1-'Kế hoạch định kỳ'!$W59)/'Kế hoạch định kỳ'!$X59)+1))&gt;0,IF(EOMONTH(L$5,0)&lt;'Tổng quan'!$B$11,"✖","○"),"")))</f>
        <v/>
      </c>
      <c r="M59" s="61" t="str">
        <f>IF($A59="","",IF(COUNTIFS('Nhật ký bảo trì'!$D$6:$D$405,$A59,'Nhật ký bảo trì'!$Q$6:$Q$405,"Hoàn thành",'Nhật ký bảo trì'!$B$6:$B$405,"&gt;="&amp;M$5,'Nhật ký bảo trì'!$B$6:$B$405,"&lt;="&amp;EOMONTH(M$5,0))&gt;0,"✔",IF(((EOMONTH(M$5,0)&gt;='Kế hoạch định kỳ'!$W59)*(INT((EOMONTH(M$5,0)-'Kế hoạch định kỳ'!$W59)/'Kế hoạch định kỳ'!$X59)+1)-(M$5-1&gt;='Kế hoạch định kỳ'!$W59)*(INT((M$5-1-'Kế hoạch định kỳ'!$W59)/'Kế hoạch định kỳ'!$X59)+1))&gt;0,IF(EOMONTH(M$5,0)&lt;'Tổng quan'!$B$11,"✖","○"),"")))</f>
        <v/>
      </c>
      <c r="N59" s="61" t="str">
        <f>IF($A59="","",IF(COUNTIFS('Nhật ký bảo trì'!$D$6:$D$405,$A59,'Nhật ký bảo trì'!$Q$6:$Q$405,"Hoàn thành",'Nhật ký bảo trì'!$B$6:$B$405,"&gt;="&amp;N$5,'Nhật ký bảo trì'!$B$6:$B$405,"&lt;="&amp;EOMONTH(N$5,0))&gt;0,"✔",IF(((EOMONTH(N$5,0)&gt;='Kế hoạch định kỳ'!$W59)*(INT((EOMONTH(N$5,0)-'Kế hoạch định kỳ'!$W59)/'Kế hoạch định kỳ'!$X59)+1)-(N$5-1&gt;='Kế hoạch định kỳ'!$W59)*(INT((N$5-1-'Kế hoạch định kỳ'!$W59)/'Kế hoạch định kỳ'!$X59)+1))&gt;0,IF(EOMONTH(N$5,0)&lt;'Tổng quan'!$B$11,"✖","○"),"")))</f>
        <v/>
      </c>
      <c r="O59" s="61" t="str">
        <f>IF($A59="","",IF(COUNTIFS('Nhật ký bảo trì'!$D$6:$D$405,$A59,'Nhật ký bảo trì'!$Q$6:$Q$405,"Hoàn thành",'Nhật ký bảo trì'!$B$6:$B$405,"&gt;="&amp;O$5,'Nhật ký bảo trì'!$B$6:$B$405,"&lt;="&amp;EOMONTH(O$5,0))&gt;0,"✔",IF(((EOMONTH(O$5,0)&gt;='Kế hoạch định kỳ'!$W59)*(INT((EOMONTH(O$5,0)-'Kế hoạch định kỳ'!$W59)/'Kế hoạch định kỳ'!$X59)+1)-(O$5-1&gt;='Kế hoạch định kỳ'!$W59)*(INT((O$5-1-'Kế hoạch định kỳ'!$W59)/'Kế hoạch định kỳ'!$X59)+1))&gt;0,IF(EOMONTH(O$5,0)&lt;'Tổng quan'!$B$11,"✖","○"),"")))</f>
        <v/>
      </c>
      <c r="P59" s="61" t="str">
        <f>IF($A59="","",IF(COUNTIFS('Nhật ký bảo trì'!$D$6:$D$405,$A59,'Nhật ký bảo trì'!$Q$6:$Q$405,"Hoàn thành",'Nhật ký bảo trì'!$B$6:$B$405,"&gt;="&amp;P$5,'Nhật ký bảo trì'!$B$6:$B$405,"&lt;="&amp;EOMONTH(P$5,0))&gt;0,"✔",IF(((EOMONTH(P$5,0)&gt;='Kế hoạch định kỳ'!$W59)*(INT((EOMONTH(P$5,0)-'Kế hoạch định kỳ'!$W59)/'Kế hoạch định kỳ'!$X59)+1)-(P$5-1&gt;='Kế hoạch định kỳ'!$W59)*(INT((P$5-1-'Kế hoạch định kỳ'!$W59)/'Kế hoạch định kỳ'!$X59)+1))&gt;0,IF(EOMONTH(P$5,0)&lt;'Tổng quan'!$B$11,"✖","○"),"")))</f>
        <v/>
      </c>
      <c r="Q59" s="30" t="str">
        <f>IF($A59="","",COUNTIFS('Nhật ký bảo trì'!$D$6:$D$405,$A59,'Nhật ký bảo trì'!$Q$6:$Q$405,"Hoàn thành",'Nhật ký bảo trì'!$B$6:$B$405,"&gt;="&amp;DATE('Tổng quan'!$B$6,1,1),'Nhật ký bảo trì'!$B$6:$B$405,"&lt;="&amp;DATE('Tổng quan'!$B$6,12,31)))</f>
        <v/>
      </c>
      <c r="R59" s="30" t="str">
        <f t="shared" si="1"/>
        <v/>
      </c>
    </row>
    <row r="60" ht="24.0" customHeight="1">
      <c r="A60" s="10" t="str">
        <f>IF('Kế hoạch định kỳ'!$B60="","",'Kế hoạch định kỳ'!$B60)</f>
        <v/>
      </c>
      <c r="B60" s="14" t="str">
        <f>IF('Kế hoạch định kỳ'!$B60="","",'Kế hoạch định kỳ'!$D60)</f>
        <v/>
      </c>
      <c r="C60" s="18" t="str">
        <f>IF('Kế hoạch định kỳ'!$B60="","",'Kế hoạch định kỳ'!$F60)</f>
        <v/>
      </c>
      <c r="D60" s="10" t="str">
        <f>IF('Kế hoạch định kỳ'!$B60="","",IF('Kế hoạch định kỳ'!$I60&lt;&gt;"",'Kế hoạch định kỳ'!$I60&amp;" ngày",'Kế hoạch định kỳ'!$H60))</f>
        <v/>
      </c>
      <c r="E60" s="24" t="str">
        <f>IF($A60="","",IF(COUNTIFS('Nhật ký bảo trì'!$D$6:$D$405,$A60,'Nhật ký bảo trì'!$Q$6:$Q$405,"Hoàn thành",'Nhật ký bảo trì'!$B$6:$B$405,"&gt;="&amp;E$5,'Nhật ký bảo trì'!$B$6:$B$405,"&lt;="&amp;EOMONTH(E$5,0))&gt;0,"✔",IF(((EOMONTH(E$5,0)&gt;='Kế hoạch định kỳ'!$W60)*(INT((EOMONTH(E$5,0)-'Kế hoạch định kỳ'!$W60)/'Kế hoạch định kỳ'!$X60)+1)-(E$5-1&gt;='Kế hoạch định kỳ'!$W60)*(INT((E$5-1-'Kế hoạch định kỳ'!$W60)/'Kế hoạch định kỳ'!$X60)+1))&gt;0,IF(EOMONTH(E$5,0)&lt;'Tổng quan'!$B$11,"✖","○"),"")))</f>
        <v/>
      </c>
      <c r="F60" s="24" t="str">
        <f>IF($A60="","",IF(COUNTIFS('Nhật ký bảo trì'!$D$6:$D$405,$A60,'Nhật ký bảo trì'!$Q$6:$Q$405,"Hoàn thành",'Nhật ký bảo trì'!$B$6:$B$405,"&gt;="&amp;F$5,'Nhật ký bảo trì'!$B$6:$B$405,"&lt;="&amp;EOMONTH(F$5,0))&gt;0,"✔",IF(((EOMONTH(F$5,0)&gt;='Kế hoạch định kỳ'!$W60)*(INT((EOMONTH(F$5,0)-'Kế hoạch định kỳ'!$W60)/'Kế hoạch định kỳ'!$X60)+1)-(F$5-1&gt;='Kế hoạch định kỳ'!$W60)*(INT((F$5-1-'Kế hoạch định kỳ'!$W60)/'Kế hoạch định kỳ'!$X60)+1))&gt;0,IF(EOMONTH(F$5,0)&lt;'Tổng quan'!$B$11,"✖","○"),"")))</f>
        <v/>
      </c>
      <c r="G60" s="24" t="str">
        <f>IF($A60="","",IF(COUNTIFS('Nhật ký bảo trì'!$D$6:$D$405,$A60,'Nhật ký bảo trì'!$Q$6:$Q$405,"Hoàn thành",'Nhật ký bảo trì'!$B$6:$B$405,"&gt;="&amp;G$5,'Nhật ký bảo trì'!$B$6:$B$405,"&lt;="&amp;EOMONTH(G$5,0))&gt;0,"✔",IF(((EOMONTH(G$5,0)&gt;='Kế hoạch định kỳ'!$W60)*(INT((EOMONTH(G$5,0)-'Kế hoạch định kỳ'!$W60)/'Kế hoạch định kỳ'!$X60)+1)-(G$5-1&gt;='Kế hoạch định kỳ'!$W60)*(INT((G$5-1-'Kế hoạch định kỳ'!$W60)/'Kế hoạch định kỳ'!$X60)+1))&gt;0,IF(EOMONTH(G$5,0)&lt;'Tổng quan'!$B$11,"✖","○"),"")))</f>
        <v/>
      </c>
      <c r="H60" s="24" t="str">
        <f>IF($A60="","",IF(COUNTIFS('Nhật ký bảo trì'!$D$6:$D$405,$A60,'Nhật ký bảo trì'!$Q$6:$Q$405,"Hoàn thành",'Nhật ký bảo trì'!$B$6:$B$405,"&gt;="&amp;H$5,'Nhật ký bảo trì'!$B$6:$B$405,"&lt;="&amp;EOMONTH(H$5,0))&gt;0,"✔",IF(((EOMONTH(H$5,0)&gt;='Kế hoạch định kỳ'!$W60)*(INT((EOMONTH(H$5,0)-'Kế hoạch định kỳ'!$W60)/'Kế hoạch định kỳ'!$X60)+1)-(H$5-1&gt;='Kế hoạch định kỳ'!$W60)*(INT((H$5-1-'Kế hoạch định kỳ'!$W60)/'Kế hoạch định kỳ'!$X60)+1))&gt;0,IF(EOMONTH(H$5,0)&lt;'Tổng quan'!$B$11,"✖","○"),"")))</f>
        <v/>
      </c>
      <c r="I60" s="24" t="str">
        <f>IF($A60="","",IF(COUNTIFS('Nhật ký bảo trì'!$D$6:$D$405,$A60,'Nhật ký bảo trì'!$Q$6:$Q$405,"Hoàn thành",'Nhật ký bảo trì'!$B$6:$B$405,"&gt;="&amp;I$5,'Nhật ký bảo trì'!$B$6:$B$405,"&lt;="&amp;EOMONTH(I$5,0))&gt;0,"✔",IF(((EOMONTH(I$5,0)&gt;='Kế hoạch định kỳ'!$W60)*(INT((EOMONTH(I$5,0)-'Kế hoạch định kỳ'!$W60)/'Kế hoạch định kỳ'!$X60)+1)-(I$5-1&gt;='Kế hoạch định kỳ'!$W60)*(INT((I$5-1-'Kế hoạch định kỳ'!$W60)/'Kế hoạch định kỳ'!$X60)+1))&gt;0,IF(EOMONTH(I$5,0)&lt;'Tổng quan'!$B$11,"✖","○"),"")))</f>
        <v/>
      </c>
      <c r="J60" s="24" t="str">
        <f>IF($A60="","",IF(COUNTIFS('Nhật ký bảo trì'!$D$6:$D$405,$A60,'Nhật ký bảo trì'!$Q$6:$Q$405,"Hoàn thành",'Nhật ký bảo trì'!$B$6:$B$405,"&gt;="&amp;J$5,'Nhật ký bảo trì'!$B$6:$B$405,"&lt;="&amp;EOMONTH(J$5,0))&gt;0,"✔",IF(((EOMONTH(J$5,0)&gt;='Kế hoạch định kỳ'!$W60)*(INT((EOMONTH(J$5,0)-'Kế hoạch định kỳ'!$W60)/'Kế hoạch định kỳ'!$X60)+1)-(J$5-1&gt;='Kế hoạch định kỳ'!$W60)*(INT((J$5-1-'Kế hoạch định kỳ'!$W60)/'Kế hoạch định kỳ'!$X60)+1))&gt;0,IF(EOMONTH(J$5,0)&lt;'Tổng quan'!$B$11,"✖","○"),"")))</f>
        <v/>
      </c>
      <c r="K60" s="24" t="str">
        <f>IF($A60="","",IF(COUNTIFS('Nhật ký bảo trì'!$D$6:$D$405,$A60,'Nhật ký bảo trì'!$Q$6:$Q$405,"Hoàn thành",'Nhật ký bảo trì'!$B$6:$B$405,"&gt;="&amp;K$5,'Nhật ký bảo trì'!$B$6:$B$405,"&lt;="&amp;EOMONTH(K$5,0))&gt;0,"✔",IF(((EOMONTH(K$5,0)&gt;='Kế hoạch định kỳ'!$W60)*(INT((EOMONTH(K$5,0)-'Kế hoạch định kỳ'!$W60)/'Kế hoạch định kỳ'!$X60)+1)-(K$5-1&gt;='Kế hoạch định kỳ'!$W60)*(INT((K$5-1-'Kế hoạch định kỳ'!$W60)/'Kế hoạch định kỳ'!$X60)+1))&gt;0,IF(EOMONTH(K$5,0)&lt;'Tổng quan'!$B$11,"✖","○"),"")))</f>
        <v/>
      </c>
      <c r="L60" s="24" t="str">
        <f>IF($A60="","",IF(COUNTIFS('Nhật ký bảo trì'!$D$6:$D$405,$A60,'Nhật ký bảo trì'!$Q$6:$Q$405,"Hoàn thành",'Nhật ký bảo trì'!$B$6:$B$405,"&gt;="&amp;L$5,'Nhật ký bảo trì'!$B$6:$B$405,"&lt;="&amp;EOMONTH(L$5,0))&gt;0,"✔",IF(((EOMONTH(L$5,0)&gt;='Kế hoạch định kỳ'!$W60)*(INT((EOMONTH(L$5,0)-'Kế hoạch định kỳ'!$W60)/'Kế hoạch định kỳ'!$X60)+1)-(L$5-1&gt;='Kế hoạch định kỳ'!$W60)*(INT((L$5-1-'Kế hoạch định kỳ'!$W60)/'Kế hoạch định kỳ'!$X60)+1))&gt;0,IF(EOMONTH(L$5,0)&lt;'Tổng quan'!$B$11,"✖","○"),"")))</f>
        <v/>
      </c>
      <c r="M60" s="24" t="str">
        <f>IF($A60="","",IF(COUNTIFS('Nhật ký bảo trì'!$D$6:$D$405,$A60,'Nhật ký bảo trì'!$Q$6:$Q$405,"Hoàn thành",'Nhật ký bảo trì'!$B$6:$B$405,"&gt;="&amp;M$5,'Nhật ký bảo trì'!$B$6:$B$405,"&lt;="&amp;EOMONTH(M$5,0))&gt;0,"✔",IF(((EOMONTH(M$5,0)&gt;='Kế hoạch định kỳ'!$W60)*(INT((EOMONTH(M$5,0)-'Kế hoạch định kỳ'!$W60)/'Kế hoạch định kỳ'!$X60)+1)-(M$5-1&gt;='Kế hoạch định kỳ'!$W60)*(INT((M$5-1-'Kế hoạch định kỳ'!$W60)/'Kế hoạch định kỳ'!$X60)+1))&gt;0,IF(EOMONTH(M$5,0)&lt;'Tổng quan'!$B$11,"✖","○"),"")))</f>
        <v/>
      </c>
      <c r="N60" s="24" t="str">
        <f>IF($A60="","",IF(COUNTIFS('Nhật ký bảo trì'!$D$6:$D$405,$A60,'Nhật ký bảo trì'!$Q$6:$Q$405,"Hoàn thành",'Nhật ký bảo trì'!$B$6:$B$405,"&gt;="&amp;N$5,'Nhật ký bảo trì'!$B$6:$B$405,"&lt;="&amp;EOMONTH(N$5,0))&gt;0,"✔",IF(((EOMONTH(N$5,0)&gt;='Kế hoạch định kỳ'!$W60)*(INT((EOMONTH(N$5,0)-'Kế hoạch định kỳ'!$W60)/'Kế hoạch định kỳ'!$X60)+1)-(N$5-1&gt;='Kế hoạch định kỳ'!$W60)*(INT((N$5-1-'Kế hoạch định kỳ'!$W60)/'Kế hoạch định kỳ'!$X60)+1))&gt;0,IF(EOMONTH(N$5,0)&lt;'Tổng quan'!$B$11,"✖","○"),"")))</f>
        <v/>
      </c>
      <c r="O60" s="24" t="str">
        <f>IF($A60="","",IF(COUNTIFS('Nhật ký bảo trì'!$D$6:$D$405,$A60,'Nhật ký bảo trì'!$Q$6:$Q$405,"Hoàn thành",'Nhật ký bảo trì'!$B$6:$B$405,"&gt;="&amp;O$5,'Nhật ký bảo trì'!$B$6:$B$405,"&lt;="&amp;EOMONTH(O$5,0))&gt;0,"✔",IF(((EOMONTH(O$5,0)&gt;='Kế hoạch định kỳ'!$W60)*(INT((EOMONTH(O$5,0)-'Kế hoạch định kỳ'!$W60)/'Kế hoạch định kỳ'!$X60)+1)-(O$5-1&gt;='Kế hoạch định kỳ'!$W60)*(INT((O$5-1-'Kế hoạch định kỳ'!$W60)/'Kế hoạch định kỳ'!$X60)+1))&gt;0,IF(EOMONTH(O$5,0)&lt;'Tổng quan'!$B$11,"✖","○"),"")))</f>
        <v/>
      </c>
      <c r="P60" s="24" t="str">
        <f>IF($A60="","",IF(COUNTIFS('Nhật ký bảo trì'!$D$6:$D$405,$A60,'Nhật ký bảo trì'!$Q$6:$Q$405,"Hoàn thành",'Nhật ký bảo trì'!$B$6:$B$405,"&gt;="&amp;P$5,'Nhật ký bảo trì'!$B$6:$B$405,"&lt;="&amp;EOMONTH(P$5,0))&gt;0,"✔",IF(((EOMONTH(P$5,0)&gt;='Kế hoạch định kỳ'!$W60)*(INT((EOMONTH(P$5,0)-'Kế hoạch định kỳ'!$W60)/'Kế hoạch định kỳ'!$X60)+1)-(P$5-1&gt;='Kế hoạch định kỳ'!$W60)*(INT((P$5-1-'Kế hoạch định kỳ'!$W60)/'Kế hoạch định kỳ'!$X60)+1))&gt;0,IF(EOMONTH(P$5,0)&lt;'Tổng quan'!$B$11,"✖","○"),"")))</f>
        <v/>
      </c>
      <c r="Q60" s="16" t="str">
        <f>IF($A60="","",COUNTIFS('Nhật ký bảo trì'!$D$6:$D$405,$A60,'Nhật ký bảo trì'!$Q$6:$Q$405,"Hoàn thành",'Nhật ký bảo trì'!$B$6:$B$405,"&gt;="&amp;DATE('Tổng quan'!$B$6,1,1),'Nhật ký bảo trì'!$B$6:$B$405,"&lt;="&amp;DATE('Tổng quan'!$B$6,12,31)))</f>
        <v/>
      </c>
      <c r="R60" s="16" t="str">
        <f t="shared" si="1"/>
        <v/>
      </c>
    </row>
    <row r="61" ht="24.0" customHeight="1">
      <c r="A61" s="26" t="str">
        <f>IF('Kế hoạch định kỳ'!$B61="","",'Kế hoạch định kỳ'!$B61)</f>
        <v/>
      </c>
      <c r="B61" s="28" t="str">
        <f>IF('Kế hoạch định kỳ'!$B61="","",'Kế hoạch định kỳ'!$D61)</f>
        <v/>
      </c>
      <c r="C61" s="56" t="str">
        <f>IF('Kế hoạch định kỳ'!$B61="","",'Kế hoạch định kỳ'!$F61)</f>
        <v/>
      </c>
      <c r="D61" s="26" t="str">
        <f>IF('Kế hoạch định kỳ'!$B61="","",IF('Kế hoạch định kỳ'!$I61&lt;&gt;"",'Kế hoạch định kỳ'!$I61&amp;" ngày",'Kế hoạch định kỳ'!$H61))</f>
        <v/>
      </c>
      <c r="E61" s="61" t="str">
        <f>IF($A61="","",IF(COUNTIFS('Nhật ký bảo trì'!$D$6:$D$405,$A61,'Nhật ký bảo trì'!$Q$6:$Q$405,"Hoàn thành",'Nhật ký bảo trì'!$B$6:$B$405,"&gt;="&amp;E$5,'Nhật ký bảo trì'!$B$6:$B$405,"&lt;="&amp;EOMONTH(E$5,0))&gt;0,"✔",IF(((EOMONTH(E$5,0)&gt;='Kế hoạch định kỳ'!$W61)*(INT((EOMONTH(E$5,0)-'Kế hoạch định kỳ'!$W61)/'Kế hoạch định kỳ'!$X61)+1)-(E$5-1&gt;='Kế hoạch định kỳ'!$W61)*(INT((E$5-1-'Kế hoạch định kỳ'!$W61)/'Kế hoạch định kỳ'!$X61)+1))&gt;0,IF(EOMONTH(E$5,0)&lt;'Tổng quan'!$B$11,"✖","○"),"")))</f>
        <v/>
      </c>
      <c r="F61" s="61" t="str">
        <f>IF($A61="","",IF(COUNTIFS('Nhật ký bảo trì'!$D$6:$D$405,$A61,'Nhật ký bảo trì'!$Q$6:$Q$405,"Hoàn thành",'Nhật ký bảo trì'!$B$6:$B$405,"&gt;="&amp;F$5,'Nhật ký bảo trì'!$B$6:$B$405,"&lt;="&amp;EOMONTH(F$5,0))&gt;0,"✔",IF(((EOMONTH(F$5,0)&gt;='Kế hoạch định kỳ'!$W61)*(INT((EOMONTH(F$5,0)-'Kế hoạch định kỳ'!$W61)/'Kế hoạch định kỳ'!$X61)+1)-(F$5-1&gt;='Kế hoạch định kỳ'!$W61)*(INT((F$5-1-'Kế hoạch định kỳ'!$W61)/'Kế hoạch định kỳ'!$X61)+1))&gt;0,IF(EOMONTH(F$5,0)&lt;'Tổng quan'!$B$11,"✖","○"),"")))</f>
        <v/>
      </c>
      <c r="G61" s="61" t="str">
        <f>IF($A61="","",IF(COUNTIFS('Nhật ký bảo trì'!$D$6:$D$405,$A61,'Nhật ký bảo trì'!$Q$6:$Q$405,"Hoàn thành",'Nhật ký bảo trì'!$B$6:$B$405,"&gt;="&amp;G$5,'Nhật ký bảo trì'!$B$6:$B$405,"&lt;="&amp;EOMONTH(G$5,0))&gt;0,"✔",IF(((EOMONTH(G$5,0)&gt;='Kế hoạch định kỳ'!$W61)*(INT((EOMONTH(G$5,0)-'Kế hoạch định kỳ'!$W61)/'Kế hoạch định kỳ'!$X61)+1)-(G$5-1&gt;='Kế hoạch định kỳ'!$W61)*(INT((G$5-1-'Kế hoạch định kỳ'!$W61)/'Kế hoạch định kỳ'!$X61)+1))&gt;0,IF(EOMONTH(G$5,0)&lt;'Tổng quan'!$B$11,"✖","○"),"")))</f>
        <v/>
      </c>
      <c r="H61" s="61" t="str">
        <f>IF($A61="","",IF(COUNTIFS('Nhật ký bảo trì'!$D$6:$D$405,$A61,'Nhật ký bảo trì'!$Q$6:$Q$405,"Hoàn thành",'Nhật ký bảo trì'!$B$6:$B$405,"&gt;="&amp;H$5,'Nhật ký bảo trì'!$B$6:$B$405,"&lt;="&amp;EOMONTH(H$5,0))&gt;0,"✔",IF(((EOMONTH(H$5,0)&gt;='Kế hoạch định kỳ'!$W61)*(INT((EOMONTH(H$5,0)-'Kế hoạch định kỳ'!$W61)/'Kế hoạch định kỳ'!$X61)+1)-(H$5-1&gt;='Kế hoạch định kỳ'!$W61)*(INT((H$5-1-'Kế hoạch định kỳ'!$W61)/'Kế hoạch định kỳ'!$X61)+1))&gt;0,IF(EOMONTH(H$5,0)&lt;'Tổng quan'!$B$11,"✖","○"),"")))</f>
        <v/>
      </c>
      <c r="I61" s="61" t="str">
        <f>IF($A61="","",IF(COUNTIFS('Nhật ký bảo trì'!$D$6:$D$405,$A61,'Nhật ký bảo trì'!$Q$6:$Q$405,"Hoàn thành",'Nhật ký bảo trì'!$B$6:$B$405,"&gt;="&amp;I$5,'Nhật ký bảo trì'!$B$6:$B$405,"&lt;="&amp;EOMONTH(I$5,0))&gt;0,"✔",IF(((EOMONTH(I$5,0)&gt;='Kế hoạch định kỳ'!$W61)*(INT((EOMONTH(I$5,0)-'Kế hoạch định kỳ'!$W61)/'Kế hoạch định kỳ'!$X61)+1)-(I$5-1&gt;='Kế hoạch định kỳ'!$W61)*(INT((I$5-1-'Kế hoạch định kỳ'!$W61)/'Kế hoạch định kỳ'!$X61)+1))&gt;0,IF(EOMONTH(I$5,0)&lt;'Tổng quan'!$B$11,"✖","○"),"")))</f>
        <v/>
      </c>
      <c r="J61" s="61" t="str">
        <f>IF($A61="","",IF(COUNTIFS('Nhật ký bảo trì'!$D$6:$D$405,$A61,'Nhật ký bảo trì'!$Q$6:$Q$405,"Hoàn thành",'Nhật ký bảo trì'!$B$6:$B$405,"&gt;="&amp;J$5,'Nhật ký bảo trì'!$B$6:$B$405,"&lt;="&amp;EOMONTH(J$5,0))&gt;0,"✔",IF(((EOMONTH(J$5,0)&gt;='Kế hoạch định kỳ'!$W61)*(INT((EOMONTH(J$5,0)-'Kế hoạch định kỳ'!$W61)/'Kế hoạch định kỳ'!$X61)+1)-(J$5-1&gt;='Kế hoạch định kỳ'!$W61)*(INT((J$5-1-'Kế hoạch định kỳ'!$W61)/'Kế hoạch định kỳ'!$X61)+1))&gt;0,IF(EOMONTH(J$5,0)&lt;'Tổng quan'!$B$11,"✖","○"),"")))</f>
        <v/>
      </c>
      <c r="K61" s="61" t="str">
        <f>IF($A61="","",IF(COUNTIFS('Nhật ký bảo trì'!$D$6:$D$405,$A61,'Nhật ký bảo trì'!$Q$6:$Q$405,"Hoàn thành",'Nhật ký bảo trì'!$B$6:$B$405,"&gt;="&amp;K$5,'Nhật ký bảo trì'!$B$6:$B$405,"&lt;="&amp;EOMONTH(K$5,0))&gt;0,"✔",IF(((EOMONTH(K$5,0)&gt;='Kế hoạch định kỳ'!$W61)*(INT((EOMONTH(K$5,0)-'Kế hoạch định kỳ'!$W61)/'Kế hoạch định kỳ'!$X61)+1)-(K$5-1&gt;='Kế hoạch định kỳ'!$W61)*(INT((K$5-1-'Kế hoạch định kỳ'!$W61)/'Kế hoạch định kỳ'!$X61)+1))&gt;0,IF(EOMONTH(K$5,0)&lt;'Tổng quan'!$B$11,"✖","○"),"")))</f>
        <v/>
      </c>
      <c r="L61" s="61" t="str">
        <f>IF($A61="","",IF(COUNTIFS('Nhật ký bảo trì'!$D$6:$D$405,$A61,'Nhật ký bảo trì'!$Q$6:$Q$405,"Hoàn thành",'Nhật ký bảo trì'!$B$6:$B$405,"&gt;="&amp;L$5,'Nhật ký bảo trì'!$B$6:$B$405,"&lt;="&amp;EOMONTH(L$5,0))&gt;0,"✔",IF(((EOMONTH(L$5,0)&gt;='Kế hoạch định kỳ'!$W61)*(INT((EOMONTH(L$5,0)-'Kế hoạch định kỳ'!$W61)/'Kế hoạch định kỳ'!$X61)+1)-(L$5-1&gt;='Kế hoạch định kỳ'!$W61)*(INT((L$5-1-'Kế hoạch định kỳ'!$W61)/'Kế hoạch định kỳ'!$X61)+1))&gt;0,IF(EOMONTH(L$5,0)&lt;'Tổng quan'!$B$11,"✖","○"),"")))</f>
        <v/>
      </c>
      <c r="M61" s="61" t="str">
        <f>IF($A61="","",IF(COUNTIFS('Nhật ký bảo trì'!$D$6:$D$405,$A61,'Nhật ký bảo trì'!$Q$6:$Q$405,"Hoàn thành",'Nhật ký bảo trì'!$B$6:$B$405,"&gt;="&amp;M$5,'Nhật ký bảo trì'!$B$6:$B$405,"&lt;="&amp;EOMONTH(M$5,0))&gt;0,"✔",IF(((EOMONTH(M$5,0)&gt;='Kế hoạch định kỳ'!$W61)*(INT((EOMONTH(M$5,0)-'Kế hoạch định kỳ'!$W61)/'Kế hoạch định kỳ'!$X61)+1)-(M$5-1&gt;='Kế hoạch định kỳ'!$W61)*(INT((M$5-1-'Kế hoạch định kỳ'!$W61)/'Kế hoạch định kỳ'!$X61)+1))&gt;0,IF(EOMONTH(M$5,0)&lt;'Tổng quan'!$B$11,"✖","○"),"")))</f>
        <v/>
      </c>
      <c r="N61" s="61" t="str">
        <f>IF($A61="","",IF(COUNTIFS('Nhật ký bảo trì'!$D$6:$D$405,$A61,'Nhật ký bảo trì'!$Q$6:$Q$405,"Hoàn thành",'Nhật ký bảo trì'!$B$6:$B$405,"&gt;="&amp;N$5,'Nhật ký bảo trì'!$B$6:$B$405,"&lt;="&amp;EOMONTH(N$5,0))&gt;0,"✔",IF(((EOMONTH(N$5,0)&gt;='Kế hoạch định kỳ'!$W61)*(INT((EOMONTH(N$5,0)-'Kế hoạch định kỳ'!$W61)/'Kế hoạch định kỳ'!$X61)+1)-(N$5-1&gt;='Kế hoạch định kỳ'!$W61)*(INT((N$5-1-'Kế hoạch định kỳ'!$W61)/'Kế hoạch định kỳ'!$X61)+1))&gt;0,IF(EOMONTH(N$5,0)&lt;'Tổng quan'!$B$11,"✖","○"),"")))</f>
        <v/>
      </c>
      <c r="O61" s="61" t="str">
        <f>IF($A61="","",IF(COUNTIFS('Nhật ký bảo trì'!$D$6:$D$405,$A61,'Nhật ký bảo trì'!$Q$6:$Q$405,"Hoàn thành",'Nhật ký bảo trì'!$B$6:$B$405,"&gt;="&amp;O$5,'Nhật ký bảo trì'!$B$6:$B$405,"&lt;="&amp;EOMONTH(O$5,0))&gt;0,"✔",IF(((EOMONTH(O$5,0)&gt;='Kế hoạch định kỳ'!$W61)*(INT((EOMONTH(O$5,0)-'Kế hoạch định kỳ'!$W61)/'Kế hoạch định kỳ'!$X61)+1)-(O$5-1&gt;='Kế hoạch định kỳ'!$W61)*(INT((O$5-1-'Kế hoạch định kỳ'!$W61)/'Kế hoạch định kỳ'!$X61)+1))&gt;0,IF(EOMONTH(O$5,0)&lt;'Tổng quan'!$B$11,"✖","○"),"")))</f>
        <v/>
      </c>
      <c r="P61" s="61" t="str">
        <f>IF($A61="","",IF(COUNTIFS('Nhật ký bảo trì'!$D$6:$D$405,$A61,'Nhật ký bảo trì'!$Q$6:$Q$405,"Hoàn thành",'Nhật ký bảo trì'!$B$6:$B$405,"&gt;="&amp;P$5,'Nhật ký bảo trì'!$B$6:$B$405,"&lt;="&amp;EOMONTH(P$5,0))&gt;0,"✔",IF(((EOMONTH(P$5,0)&gt;='Kế hoạch định kỳ'!$W61)*(INT((EOMONTH(P$5,0)-'Kế hoạch định kỳ'!$W61)/'Kế hoạch định kỳ'!$X61)+1)-(P$5-1&gt;='Kế hoạch định kỳ'!$W61)*(INT((P$5-1-'Kế hoạch định kỳ'!$W61)/'Kế hoạch định kỳ'!$X61)+1))&gt;0,IF(EOMONTH(P$5,0)&lt;'Tổng quan'!$B$11,"✖","○"),"")))</f>
        <v/>
      </c>
      <c r="Q61" s="30" t="str">
        <f>IF($A61="","",COUNTIFS('Nhật ký bảo trì'!$D$6:$D$405,$A61,'Nhật ký bảo trì'!$Q$6:$Q$405,"Hoàn thành",'Nhật ký bảo trì'!$B$6:$B$405,"&gt;="&amp;DATE('Tổng quan'!$B$6,1,1),'Nhật ký bảo trì'!$B$6:$B$405,"&lt;="&amp;DATE('Tổng quan'!$B$6,12,31)))</f>
        <v/>
      </c>
      <c r="R61" s="30" t="str">
        <f t="shared" si="1"/>
        <v/>
      </c>
    </row>
    <row r="62" ht="24.0" customHeight="1">
      <c r="A62" s="10" t="str">
        <f>IF('Kế hoạch định kỳ'!$B62="","",'Kế hoạch định kỳ'!$B62)</f>
        <v/>
      </c>
      <c r="B62" s="14" t="str">
        <f>IF('Kế hoạch định kỳ'!$B62="","",'Kế hoạch định kỳ'!$D62)</f>
        <v/>
      </c>
      <c r="C62" s="18" t="str">
        <f>IF('Kế hoạch định kỳ'!$B62="","",'Kế hoạch định kỳ'!$F62)</f>
        <v/>
      </c>
      <c r="D62" s="10" t="str">
        <f>IF('Kế hoạch định kỳ'!$B62="","",IF('Kế hoạch định kỳ'!$I62&lt;&gt;"",'Kế hoạch định kỳ'!$I62&amp;" ngày",'Kế hoạch định kỳ'!$H62))</f>
        <v/>
      </c>
      <c r="E62" s="24" t="str">
        <f>IF($A62="","",IF(COUNTIFS('Nhật ký bảo trì'!$D$6:$D$405,$A62,'Nhật ký bảo trì'!$Q$6:$Q$405,"Hoàn thành",'Nhật ký bảo trì'!$B$6:$B$405,"&gt;="&amp;E$5,'Nhật ký bảo trì'!$B$6:$B$405,"&lt;="&amp;EOMONTH(E$5,0))&gt;0,"✔",IF(((EOMONTH(E$5,0)&gt;='Kế hoạch định kỳ'!$W62)*(INT((EOMONTH(E$5,0)-'Kế hoạch định kỳ'!$W62)/'Kế hoạch định kỳ'!$X62)+1)-(E$5-1&gt;='Kế hoạch định kỳ'!$W62)*(INT((E$5-1-'Kế hoạch định kỳ'!$W62)/'Kế hoạch định kỳ'!$X62)+1))&gt;0,IF(EOMONTH(E$5,0)&lt;'Tổng quan'!$B$11,"✖","○"),"")))</f>
        <v/>
      </c>
      <c r="F62" s="24" t="str">
        <f>IF($A62="","",IF(COUNTIFS('Nhật ký bảo trì'!$D$6:$D$405,$A62,'Nhật ký bảo trì'!$Q$6:$Q$405,"Hoàn thành",'Nhật ký bảo trì'!$B$6:$B$405,"&gt;="&amp;F$5,'Nhật ký bảo trì'!$B$6:$B$405,"&lt;="&amp;EOMONTH(F$5,0))&gt;0,"✔",IF(((EOMONTH(F$5,0)&gt;='Kế hoạch định kỳ'!$W62)*(INT((EOMONTH(F$5,0)-'Kế hoạch định kỳ'!$W62)/'Kế hoạch định kỳ'!$X62)+1)-(F$5-1&gt;='Kế hoạch định kỳ'!$W62)*(INT((F$5-1-'Kế hoạch định kỳ'!$W62)/'Kế hoạch định kỳ'!$X62)+1))&gt;0,IF(EOMONTH(F$5,0)&lt;'Tổng quan'!$B$11,"✖","○"),"")))</f>
        <v/>
      </c>
      <c r="G62" s="24" t="str">
        <f>IF($A62="","",IF(COUNTIFS('Nhật ký bảo trì'!$D$6:$D$405,$A62,'Nhật ký bảo trì'!$Q$6:$Q$405,"Hoàn thành",'Nhật ký bảo trì'!$B$6:$B$405,"&gt;="&amp;G$5,'Nhật ký bảo trì'!$B$6:$B$405,"&lt;="&amp;EOMONTH(G$5,0))&gt;0,"✔",IF(((EOMONTH(G$5,0)&gt;='Kế hoạch định kỳ'!$W62)*(INT((EOMONTH(G$5,0)-'Kế hoạch định kỳ'!$W62)/'Kế hoạch định kỳ'!$X62)+1)-(G$5-1&gt;='Kế hoạch định kỳ'!$W62)*(INT((G$5-1-'Kế hoạch định kỳ'!$W62)/'Kế hoạch định kỳ'!$X62)+1))&gt;0,IF(EOMONTH(G$5,0)&lt;'Tổng quan'!$B$11,"✖","○"),"")))</f>
        <v/>
      </c>
      <c r="H62" s="24" t="str">
        <f>IF($A62="","",IF(COUNTIFS('Nhật ký bảo trì'!$D$6:$D$405,$A62,'Nhật ký bảo trì'!$Q$6:$Q$405,"Hoàn thành",'Nhật ký bảo trì'!$B$6:$B$405,"&gt;="&amp;H$5,'Nhật ký bảo trì'!$B$6:$B$405,"&lt;="&amp;EOMONTH(H$5,0))&gt;0,"✔",IF(((EOMONTH(H$5,0)&gt;='Kế hoạch định kỳ'!$W62)*(INT((EOMONTH(H$5,0)-'Kế hoạch định kỳ'!$W62)/'Kế hoạch định kỳ'!$X62)+1)-(H$5-1&gt;='Kế hoạch định kỳ'!$W62)*(INT((H$5-1-'Kế hoạch định kỳ'!$W62)/'Kế hoạch định kỳ'!$X62)+1))&gt;0,IF(EOMONTH(H$5,0)&lt;'Tổng quan'!$B$11,"✖","○"),"")))</f>
        <v/>
      </c>
      <c r="I62" s="24" t="str">
        <f>IF($A62="","",IF(COUNTIFS('Nhật ký bảo trì'!$D$6:$D$405,$A62,'Nhật ký bảo trì'!$Q$6:$Q$405,"Hoàn thành",'Nhật ký bảo trì'!$B$6:$B$405,"&gt;="&amp;I$5,'Nhật ký bảo trì'!$B$6:$B$405,"&lt;="&amp;EOMONTH(I$5,0))&gt;0,"✔",IF(((EOMONTH(I$5,0)&gt;='Kế hoạch định kỳ'!$W62)*(INT((EOMONTH(I$5,0)-'Kế hoạch định kỳ'!$W62)/'Kế hoạch định kỳ'!$X62)+1)-(I$5-1&gt;='Kế hoạch định kỳ'!$W62)*(INT((I$5-1-'Kế hoạch định kỳ'!$W62)/'Kế hoạch định kỳ'!$X62)+1))&gt;0,IF(EOMONTH(I$5,0)&lt;'Tổng quan'!$B$11,"✖","○"),"")))</f>
        <v/>
      </c>
      <c r="J62" s="24" t="str">
        <f>IF($A62="","",IF(COUNTIFS('Nhật ký bảo trì'!$D$6:$D$405,$A62,'Nhật ký bảo trì'!$Q$6:$Q$405,"Hoàn thành",'Nhật ký bảo trì'!$B$6:$B$405,"&gt;="&amp;J$5,'Nhật ký bảo trì'!$B$6:$B$405,"&lt;="&amp;EOMONTH(J$5,0))&gt;0,"✔",IF(((EOMONTH(J$5,0)&gt;='Kế hoạch định kỳ'!$W62)*(INT((EOMONTH(J$5,0)-'Kế hoạch định kỳ'!$W62)/'Kế hoạch định kỳ'!$X62)+1)-(J$5-1&gt;='Kế hoạch định kỳ'!$W62)*(INT((J$5-1-'Kế hoạch định kỳ'!$W62)/'Kế hoạch định kỳ'!$X62)+1))&gt;0,IF(EOMONTH(J$5,0)&lt;'Tổng quan'!$B$11,"✖","○"),"")))</f>
        <v/>
      </c>
      <c r="K62" s="24" t="str">
        <f>IF($A62="","",IF(COUNTIFS('Nhật ký bảo trì'!$D$6:$D$405,$A62,'Nhật ký bảo trì'!$Q$6:$Q$405,"Hoàn thành",'Nhật ký bảo trì'!$B$6:$B$405,"&gt;="&amp;K$5,'Nhật ký bảo trì'!$B$6:$B$405,"&lt;="&amp;EOMONTH(K$5,0))&gt;0,"✔",IF(((EOMONTH(K$5,0)&gt;='Kế hoạch định kỳ'!$W62)*(INT((EOMONTH(K$5,0)-'Kế hoạch định kỳ'!$W62)/'Kế hoạch định kỳ'!$X62)+1)-(K$5-1&gt;='Kế hoạch định kỳ'!$W62)*(INT((K$5-1-'Kế hoạch định kỳ'!$W62)/'Kế hoạch định kỳ'!$X62)+1))&gt;0,IF(EOMONTH(K$5,0)&lt;'Tổng quan'!$B$11,"✖","○"),"")))</f>
        <v/>
      </c>
      <c r="L62" s="24" t="str">
        <f>IF($A62="","",IF(COUNTIFS('Nhật ký bảo trì'!$D$6:$D$405,$A62,'Nhật ký bảo trì'!$Q$6:$Q$405,"Hoàn thành",'Nhật ký bảo trì'!$B$6:$B$405,"&gt;="&amp;L$5,'Nhật ký bảo trì'!$B$6:$B$405,"&lt;="&amp;EOMONTH(L$5,0))&gt;0,"✔",IF(((EOMONTH(L$5,0)&gt;='Kế hoạch định kỳ'!$W62)*(INT((EOMONTH(L$5,0)-'Kế hoạch định kỳ'!$W62)/'Kế hoạch định kỳ'!$X62)+1)-(L$5-1&gt;='Kế hoạch định kỳ'!$W62)*(INT((L$5-1-'Kế hoạch định kỳ'!$W62)/'Kế hoạch định kỳ'!$X62)+1))&gt;0,IF(EOMONTH(L$5,0)&lt;'Tổng quan'!$B$11,"✖","○"),"")))</f>
        <v/>
      </c>
      <c r="M62" s="24" t="str">
        <f>IF($A62="","",IF(COUNTIFS('Nhật ký bảo trì'!$D$6:$D$405,$A62,'Nhật ký bảo trì'!$Q$6:$Q$405,"Hoàn thành",'Nhật ký bảo trì'!$B$6:$B$405,"&gt;="&amp;M$5,'Nhật ký bảo trì'!$B$6:$B$405,"&lt;="&amp;EOMONTH(M$5,0))&gt;0,"✔",IF(((EOMONTH(M$5,0)&gt;='Kế hoạch định kỳ'!$W62)*(INT((EOMONTH(M$5,0)-'Kế hoạch định kỳ'!$W62)/'Kế hoạch định kỳ'!$X62)+1)-(M$5-1&gt;='Kế hoạch định kỳ'!$W62)*(INT((M$5-1-'Kế hoạch định kỳ'!$W62)/'Kế hoạch định kỳ'!$X62)+1))&gt;0,IF(EOMONTH(M$5,0)&lt;'Tổng quan'!$B$11,"✖","○"),"")))</f>
        <v/>
      </c>
      <c r="N62" s="24" t="str">
        <f>IF($A62="","",IF(COUNTIFS('Nhật ký bảo trì'!$D$6:$D$405,$A62,'Nhật ký bảo trì'!$Q$6:$Q$405,"Hoàn thành",'Nhật ký bảo trì'!$B$6:$B$405,"&gt;="&amp;N$5,'Nhật ký bảo trì'!$B$6:$B$405,"&lt;="&amp;EOMONTH(N$5,0))&gt;0,"✔",IF(((EOMONTH(N$5,0)&gt;='Kế hoạch định kỳ'!$W62)*(INT((EOMONTH(N$5,0)-'Kế hoạch định kỳ'!$W62)/'Kế hoạch định kỳ'!$X62)+1)-(N$5-1&gt;='Kế hoạch định kỳ'!$W62)*(INT((N$5-1-'Kế hoạch định kỳ'!$W62)/'Kế hoạch định kỳ'!$X62)+1))&gt;0,IF(EOMONTH(N$5,0)&lt;'Tổng quan'!$B$11,"✖","○"),"")))</f>
        <v/>
      </c>
      <c r="O62" s="24" t="str">
        <f>IF($A62="","",IF(COUNTIFS('Nhật ký bảo trì'!$D$6:$D$405,$A62,'Nhật ký bảo trì'!$Q$6:$Q$405,"Hoàn thành",'Nhật ký bảo trì'!$B$6:$B$405,"&gt;="&amp;O$5,'Nhật ký bảo trì'!$B$6:$B$405,"&lt;="&amp;EOMONTH(O$5,0))&gt;0,"✔",IF(((EOMONTH(O$5,0)&gt;='Kế hoạch định kỳ'!$W62)*(INT((EOMONTH(O$5,0)-'Kế hoạch định kỳ'!$W62)/'Kế hoạch định kỳ'!$X62)+1)-(O$5-1&gt;='Kế hoạch định kỳ'!$W62)*(INT((O$5-1-'Kế hoạch định kỳ'!$W62)/'Kế hoạch định kỳ'!$X62)+1))&gt;0,IF(EOMONTH(O$5,0)&lt;'Tổng quan'!$B$11,"✖","○"),"")))</f>
        <v/>
      </c>
      <c r="P62" s="24" t="str">
        <f>IF($A62="","",IF(COUNTIFS('Nhật ký bảo trì'!$D$6:$D$405,$A62,'Nhật ký bảo trì'!$Q$6:$Q$405,"Hoàn thành",'Nhật ký bảo trì'!$B$6:$B$405,"&gt;="&amp;P$5,'Nhật ký bảo trì'!$B$6:$B$405,"&lt;="&amp;EOMONTH(P$5,0))&gt;0,"✔",IF(((EOMONTH(P$5,0)&gt;='Kế hoạch định kỳ'!$W62)*(INT((EOMONTH(P$5,0)-'Kế hoạch định kỳ'!$W62)/'Kế hoạch định kỳ'!$X62)+1)-(P$5-1&gt;='Kế hoạch định kỳ'!$W62)*(INT((P$5-1-'Kế hoạch định kỳ'!$W62)/'Kế hoạch định kỳ'!$X62)+1))&gt;0,IF(EOMONTH(P$5,0)&lt;'Tổng quan'!$B$11,"✖","○"),"")))</f>
        <v/>
      </c>
      <c r="Q62" s="16" t="str">
        <f>IF($A62="","",COUNTIFS('Nhật ký bảo trì'!$D$6:$D$405,$A62,'Nhật ký bảo trì'!$Q$6:$Q$405,"Hoàn thành",'Nhật ký bảo trì'!$B$6:$B$405,"&gt;="&amp;DATE('Tổng quan'!$B$6,1,1),'Nhật ký bảo trì'!$B$6:$B$405,"&lt;="&amp;DATE('Tổng quan'!$B$6,12,31)))</f>
        <v/>
      </c>
      <c r="R62" s="16" t="str">
        <f t="shared" si="1"/>
        <v/>
      </c>
    </row>
    <row r="63" ht="24.0" customHeight="1">
      <c r="A63" s="26" t="str">
        <f>IF('Kế hoạch định kỳ'!$B63="","",'Kế hoạch định kỳ'!$B63)</f>
        <v/>
      </c>
      <c r="B63" s="28" t="str">
        <f>IF('Kế hoạch định kỳ'!$B63="","",'Kế hoạch định kỳ'!$D63)</f>
        <v/>
      </c>
      <c r="C63" s="56" t="str">
        <f>IF('Kế hoạch định kỳ'!$B63="","",'Kế hoạch định kỳ'!$F63)</f>
        <v/>
      </c>
      <c r="D63" s="26" t="str">
        <f>IF('Kế hoạch định kỳ'!$B63="","",IF('Kế hoạch định kỳ'!$I63&lt;&gt;"",'Kế hoạch định kỳ'!$I63&amp;" ngày",'Kế hoạch định kỳ'!$H63))</f>
        <v/>
      </c>
      <c r="E63" s="61" t="str">
        <f>IF($A63="","",IF(COUNTIFS('Nhật ký bảo trì'!$D$6:$D$405,$A63,'Nhật ký bảo trì'!$Q$6:$Q$405,"Hoàn thành",'Nhật ký bảo trì'!$B$6:$B$405,"&gt;="&amp;E$5,'Nhật ký bảo trì'!$B$6:$B$405,"&lt;="&amp;EOMONTH(E$5,0))&gt;0,"✔",IF(((EOMONTH(E$5,0)&gt;='Kế hoạch định kỳ'!$W63)*(INT((EOMONTH(E$5,0)-'Kế hoạch định kỳ'!$W63)/'Kế hoạch định kỳ'!$X63)+1)-(E$5-1&gt;='Kế hoạch định kỳ'!$W63)*(INT((E$5-1-'Kế hoạch định kỳ'!$W63)/'Kế hoạch định kỳ'!$X63)+1))&gt;0,IF(EOMONTH(E$5,0)&lt;'Tổng quan'!$B$11,"✖","○"),"")))</f>
        <v/>
      </c>
      <c r="F63" s="61" t="str">
        <f>IF($A63="","",IF(COUNTIFS('Nhật ký bảo trì'!$D$6:$D$405,$A63,'Nhật ký bảo trì'!$Q$6:$Q$405,"Hoàn thành",'Nhật ký bảo trì'!$B$6:$B$405,"&gt;="&amp;F$5,'Nhật ký bảo trì'!$B$6:$B$405,"&lt;="&amp;EOMONTH(F$5,0))&gt;0,"✔",IF(((EOMONTH(F$5,0)&gt;='Kế hoạch định kỳ'!$W63)*(INT((EOMONTH(F$5,0)-'Kế hoạch định kỳ'!$W63)/'Kế hoạch định kỳ'!$X63)+1)-(F$5-1&gt;='Kế hoạch định kỳ'!$W63)*(INT((F$5-1-'Kế hoạch định kỳ'!$W63)/'Kế hoạch định kỳ'!$X63)+1))&gt;0,IF(EOMONTH(F$5,0)&lt;'Tổng quan'!$B$11,"✖","○"),"")))</f>
        <v/>
      </c>
      <c r="G63" s="61" t="str">
        <f>IF($A63="","",IF(COUNTIFS('Nhật ký bảo trì'!$D$6:$D$405,$A63,'Nhật ký bảo trì'!$Q$6:$Q$405,"Hoàn thành",'Nhật ký bảo trì'!$B$6:$B$405,"&gt;="&amp;G$5,'Nhật ký bảo trì'!$B$6:$B$405,"&lt;="&amp;EOMONTH(G$5,0))&gt;0,"✔",IF(((EOMONTH(G$5,0)&gt;='Kế hoạch định kỳ'!$W63)*(INT((EOMONTH(G$5,0)-'Kế hoạch định kỳ'!$W63)/'Kế hoạch định kỳ'!$X63)+1)-(G$5-1&gt;='Kế hoạch định kỳ'!$W63)*(INT((G$5-1-'Kế hoạch định kỳ'!$W63)/'Kế hoạch định kỳ'!$X63)+1))&gt;0,IF(EOMONTH(G$5,0)&lt;'Tổng quan'!$B$11,"✖","○"),"")))</f>
        <v/>
      </c>
      <c r="H63" s="61" t="str">
        <f>IF($A63="","",IF(COUNTIFS('Nhật ký bảo trì'!$D$6:$D$405,$A63,'Nhật ký bảo trì'!$Q$6:$Q$405,"Hoàn thành",'Nhật ký bảo trì'!$B$6:$B$405,"&gt;="&amp;H$5,'Nhật ký bảo trì'!$B$6:$B$405,"&lt;="&amp;EOMONTH(H$5,0))&gt;0,"✔",IF(((EOMONTH(H$5,0)&gt;='Kế hoạch định kỳ'!$W63)*(INT((EOMONTH(H$5,0)-'Kế hoạch định kỳ'!$W63)/'Kế hoạch định kỳ'!$X63)+1)-(H$5-1&gt;='Kế hoạch định kỳ'!$W63)*(INT((H$5-1-'Kế hoạch định kỳ'!$W63)/'Kế hoạch định kỳ'!$X63)+1))&gt;0,IF(EOMONTH(H$5,0)&lt;'Tổng quan'!$B$11,"✖","○"),"")))</f>
        <v/>
      </c>
      <c r="I63" s="61" t="str">
        <f>IF($A63="","",IF(COUNTIFS('Nhật ký bảo trì'!$D$6:$D$405,$A63,'Nhật ký bảo trì'!$Q$6:$Q$405,"Hoàn thành",'Nhật ký bảo trì'!$B$6:$B$405,"&gt;="&amp;I$5,'Nhật ký bảo trì'!$B$6:$B$405,"&lt;="&amp;EOMONTH(I$5,0))&gt;0,"✔",IF(((EOMONTH(I$5,0)&gt;='Kế hoạch định kỳ'!$W63)*(INT((EOMONTH(I$5,0)-'Kế hoạch định kỳ'!$W63)/'Kế hoạch định kỳ'!$X63)+1)-(I$5-1&gt;='Kế hoạch định kỳ'!$W63)*(INT((I$5-1-'Kế hoạch định kỳ'!$W63)/'Kế hoạch định kỳ'!$X63)+1))&gt;0,IF(EOMONTH(I$5,0)&lt;'Tổng quan'!$B$11,"✖","○"),"")))</f>
        <v/>
      </c>
      <c r="J63" s="61" t="str">
        <f>IF($A63="","",IF(COUNTIFS('Nhật ký bảo trì'!$D$6:$D$405,$A63,'Nhật ký bảo trì'!$Q$6:$Q$405,"Hoàn thành",'Nhật ký bảo trì'!$B$6:$B$405,"&gt;="&amp;J$5,'Nhật ký bảo trì'!$B$6:$B$405,"&lt;="&amp;EOMONTH(J$5,0))&gt;0,"✔",IF(((EOMONTH(J$5,0)&gt;='Kế hoạch định kỳ'!$W63)*(INT((EOMONTH(J$5,0)-'Kế hoạch định kỳ'!$W63)/'Kế hoạch định kỳ'!$X63)+1)-(J$5-1&gt;='Kế hoạch định kỳ'!$W63)*(INT((J$5-1-'Kế hoạch định kỳ'!$W63)/'Kế hoạch định kỳ'!$X63)+1))&gt;0,IF(EOMONTH(J$5,0)&lt;'Tổng quan'!$B$11,"✖","○"),"")))</f>
        <v/>
      </c>
      <c r="K63" s="61" t="str">
        <f>IF($A63="","",IF(COUNTIFS('Nhật ký bảo trì'!$D$6:$D$405,$A63,'Nhật ký bảo trì'!$Q$6:$Q$405,"Hoàn thành",'Nhật ký bảo trì'!$B$6:$B$405,"&gt;="&amp;K$5,'Nhật ký bảo trì'!$B$6:$B$405,"&lt;="&amp;EOMONTH(K$5,0))&gt;0,"✔",IF(((EOMONTH(K$5,0)&gt;='Kế hoạch định kỳ'!$W63)*(INT((EOMONTH(K$5,0)-'Kế hoạch định kỳ'!$W63)/'Kế hoạch định kỳ'!$X63)+1)-(K$5-1&gt;='Kế hoạch định kỳ'!$W63)*(INT((K$5-1-'Kế hoạch định kỳ'!$W63)/'Kế hoạch định kỳ'!$X63)+1))&gt;0,IF(EOMONTH(K$5,0)&lt;'Tổng quan'!$B$11,"✖","○"),"")))</f>
        <v/>
      </c>
      <c r="L63" s="61" t="str">
        <f>IF($A63="","",IF(COUNTIFS('Nhật ký bảo trì'!$D$6:$D$405,$A63,'Nhật ký bảo trì'!$Q$6:$Q$405,"Hoàn thành",'Nhật ký bảo trì'!$B$6:$B$405,"&gt;="&amp;L$5,'Nhật ký bảo trì'!$B$6:$B$405,"&lt;="&amp;EOMONTH(L$5,0))&gt;0,"✔",IF(((EOMONTH(L$5,0)&gt;='Kế hoạch định kỳ'!$W63)*(INT((EOMONTH(L$5,0)-'Kế hoạch định kỳ'!$W63)/'Kế hoạch định kỳ'!$X63)+1)-(L$5-1&gt;='Kế hoạch định kỳ'!$W63)*(INT((L$5-1-'Kế hoạch định kỳ'!$W63)/'Kế hoạch định kỳ'!$X63)+1))&gt;0,IF(EOMONTH(L$5,0)&lt;'Tổng quan'!$B$11,"✖","○"),"")))</f>
        <v/>
      </c>
      <c r="M63" s="61" t="str">
        <f>IF($A63="","",IF(COUNTIFS('Nhật ký bảo trì'!$D$6:$D$405,$A63,'Nhật ký bảo trì'!$Q$6:$Q$405,"Hoàn thành",'Nhật ký bảo trì'!$B$6:$B$405,"&gt;="&amp;M$5,'Nhật ký bảo trì'!$B$6:$B$405,"&lt;="&amp;EOMONTH(M$5,0))&gt;0,"✔",IF(((EOMONTH(M$5,0)&gt;='Kế hoạch định kỳ'!$W63)*(INT((EOMONTH(M$5,0)-'Kế hoạch định kỳ'!$W63)/'Kế hoạch định kỳ'!$X63)+1)-(M$5-1&gt;='Kế hoạch định kỳ'!$W63)*(INT((M$5-1-'Kế hoạch định kỳ'!$W63)/'Kế hoạch định kỳ'!$X63)+1))&gt;0,IF(EOMONTH(M$5,0)&lt;'Tổng quan'!$B$11,"✖","○"),"")))</f>
        <v/>
      </c>
      <c r="N63" s="61" t="str">
        <f>IF($A63="","",IF(COUNTIFS('Nhật ký bảo trì'!$D$6:$D$405,$A63,'Nhật ký bảo trì'!$Q$6:$Q$405,"Hoàn thành",'Nhật ký bảo trì'!$B$6:$B$405,"&gt;="&amp;N$5,'Nhật ký bảo trì'!$B$6:$B$405,"&lt;="&amp;EOMONTH(N$5,0))&gt;0,"✔",IF(((EOMONTH(N$5,0)&gt;='Kế hoạch định kỳ'!$W63)*(INT((EOMONTH(N$5,0)-'Kế hoạch định kỳ'!$W63)/'Kế hoạch định kỳ'!$X63)+1)-(N$5-1&gt;='Kế hoạch định kỳ'!$W63)*(INT((N$5-1-'Kế hoạch định kỳ'!$W63)/'Kế hoạch định kỳ'!$X63)+1))&gt;0,IF(EOMONTH(N$5,0)&lt;'Tổng quan'!$B$11,"✖","○"),"")))</f>
        <v/>
      </c>
      <c r="O63" s="61" t="str">
        <f>IF($A63="","",IF(COUNTIFS('Nhật ký bảo trì'!$D$6:$D$405,$A63,'Nhật ký bảo trì'!$Q$6:$Q$405,"Hoàn thành",'Nhật ký bảo trì'!$B$6:$B$405,"&gt;="&amp;O$5,'Nhật ký bảo trì'!$B$6:$B$405,"&lt;="&amp;EOMONTH(O$5,0))&gt;0,"✔",IF(((EOMONTH(O$5,0)&gt;='Kế hoạch định kỳ'!$W63)*(INT((EOMONTH(O$5,0)-'Kế hoạch định kỳ'!$W63)/'Kế hoạch định kỳ'!$X63)+1)-(O$5-1&gt;='Kế hoạch định kỳ'!$W63)*(INT((O$5-1-'Kế hoạch định kỳ'!$W63)/'Kế hoạch định kỳ'!$X63)+1))&gt;0,IF(EOMONTH(O$5,0)&lt;'Tổng quan'!$B$11,"✖","○"),"")))</f>
        <v/>
      </c>
      <c r="P63" s="61" t="str">
        <f>IF($A63="","",IF(COUNTIFS('Nhật ký bảo trì'!$D$6:$D$405,$A63,'Nhật ký bảo trì'!$Q$6:$Q$405,"Hoàn thành",'Nhật ký bảo trì'!$B$6:$B$405,"&gt;="&amp;P$5,'Nhật ký bảo trì'!$B$6:$B$405,"&lt;="&amp;EOMONTH(P$5,0))&gt;0,"✔",IF(((EOMONTH(P$5,0)&gt;='Kế hoạch định kỳ'!$W63)*(INT((EOMONTH(P$5,0)-'Kế hoạch định kỳ'!$W63)/'Kế hoạch định kỳ'!$X63)+1)-(P$5-1&gt;='Kế hoạch định kỳ'!$W63)*(INT((P$5-1-'Kế hoạch định kỳ'!$W63)/'Kế hoạch định kỳ'!$X63)+1))&gt;0,IF(EOMONTH(P$5,0)&lt;'Tổng quan'!$B$11,"✖","○"),"")))</f>
        <v/>
      </c>
      <c r="Q63" s="30" t="str">
        <f>IF($A63="","",COUNTIFS('Nhật ký bảo trì'!$D$6:$D$405,$A63,'Nhật ký bảo trì'!$Q$6:$Q$405,"Hoàn thành",'Nhật ký bảo trì'!$B$6:$B$405,"&gt;="&amp;DATE('Tổng quan'!$B$6,1,1),'Nhật ký bảo trì'!$B$6:$B$405,"&lt;="&amp;DATE('Tổng quan'!$B$6,12,31)))</f>
        <v/>
      </c>
      <c r="R63" s="30" t="str">
        <f t="shared" si="1"/>
        <v/>
      </c>
    </row>
    <row r="64" ht="24.0" customHeight="1">
      <c r="A64" s="10" t="str">
        <f>IF('Kế hoạch định kỳ'!$B64="","",'Kế hoạch định kỳ'!$B64)</f>
        <v/>
      </c>
      <c r="B64" s="14" t="str">
        <f>IF('Kế hoạch định kỳ'!$B64="","",'Kế hoạch định kỳ'!$D64)</f>
        <v/>
      </c>
      <c r="C64" s="18" t="str">
        <f>IF('Kế hoạch định kỳ'!$B64="","",'Kế hoạch định kỳ'!$F64)</f>
        <v/>
      </c>
      <c r="D64" s="10" t="str">
        <f>IF('Kế hoạch định kỳ'!$B64="","",IF('Kế hoạch định kỳ'!$I64&lt;&gt;"",'Kế hoạch định kỳ'!$I64&amp;" ngày",'Kế hoạch định kỳ'!$H64))</f>
        <v/>
      </c>
      <c r="E64" s="24" t="str">
        <f>IF($A64="","",IF(COUNTIFS('Nhật ký bảo trì'!$D$6:$D$405,$A64,'Nhật ký bảo trì'!$Q$6:$Q$405,"Hoàn thành",'Nhật ký bảo trì'!$B$6:$B$405,"&gt;="&amp;E$5,'Nhật ký bảo trì'!$B$6:$B$405,"&lt;="&amp;EOMONTH(E$5,0))&gt;0,"✔",IF(((EOMONTH(E$5,0)&gt;='Kế hoạch định kỳ'!$W64)*(INT((EOMONTH(E$5,0)-'Kế hoạch định kỳ'!$W64)/'Kế hoạch định kỳ'!$X64)+1)-(E$5-1&gt;='Kế hoạch định kỳ'!$W64)*(INT((E$5-1-'Kế hoạch định kỳ'!$W64)/'Kế hoạch định kỳ'!$X64)+1))&gt;0,IF(EOMONTH(E$5,0)&lt;'Tổng quan'!$B$11,"✖","○"),"")))</f>
        <v/>
      </c>
      <c r="F64" s="24" t="str">
        <f>IF($A64="","",IF(COUNTIFS('Nhật ký bảo trì'!$D$6:$D$405,$A64,'Nhật ký bảo trì'!$Q$6:$Q$405,"Hoàn thành",'Nhật ký bảo trì'!$B$6:$B$405,"&gt;="&amp;F$5,'Nhật ký bảo trì'!$B$6:$B$405,"&lt;="&amp;EOMONTH(F$5,0))&gt;0,"✔",IF(((EOMONTH(F$5,0)&gt;='Kế hoạch định kỳ'!$W64)*(INT((EOMONTH(F$5,0)-'Kế hoạch định kỳ'!$W64)/'Kế hoạch định kỳ'!$X64)+1)-(F$5-1&gt;='Kế hoạch định kỳ'!$W64)*(INT((F$5-1-'Kế hoạch định kỳ'!$W64)/'Kế hoạch định kỳ'!$X64)+1))&gt;0,IF(EOMONTH(F$5,0)&lt;'Tổng quan'!$B$11,"✖","○"),"")))</f>
        <v/>
      </c>
      <c r="G64" s="24" t="str">
        <f>IF($A64="","",IF(COUNTIFS('Nhật ký bảo trì'!$D$6:$D$405,$A64,'Nhật ký bảo trì'!$Q$6:$Q$405,"Hoàn thành",'Nhật ký bảo trì'!$B$6:$B$405,"&gt;="&amp;G$5,'Nhật ký bảo trì'!$B$6:$B$405,"&lt;="&amp;EOMONTH(G$5,0))&gt;0,"✔",IF(((EOMONTH(G$5,0)&gt;='Kế hoạch định kỳ'!$W64)*(INT((EOMONTH(G$5,0)-'Kế hoạch định kỳ'!$W64)/'Kế hoạch định kỳ'!$X64)+1)-(G$5-1&gt;='Kế hoạch định kỳ'!$W64)*(INT((G$5-1-'Kế hoạch định kỳ'!$W64)/'Kế hoạch định kỳ'!$X64)+1))&gt;0,IF(EOMONTH(G$5,0)&lt;'Tổng quan'!$B$11,"✖","○"),"")))</f>
        <v/>
      </c>
      <c r="H64" s="24" t="str">
        <f>IF($A64="","",IF(COUNTIFS('Nhật ký bảo trì'!$D$6:$D$405,$A64,'Nhật ký bảo trì'!$Q$6:$Q$405,"Hoàn thành",'Nhật ký bảo trì'!$B$6:$B$405,"&gt;="&amp;H$5,'Nhật ký bảo trì'!$B$6:$B$405,"&lt;="&amp;EOMONTH(H$5,0))&gt;0,"✔",IF(((EOMONTH(H$5,0)&gt;='Kế hoạch định kỳ'!$W64)*(INT((EOMONTH(H$5,0)-'Kế hoạch định kỳ'!$W64)/'Kế hoạch định kỳ'!$X64)+1)-(H$5-1&gt;='Kế hoạch định kỳ'!$W64)*(INT((H$5-1-'Kế hoạch định kỳ'!$W64)/'Kế hoạch định kỳ'!$X64)+1))&gt;0,IF(EOMONTH(H$5,0)&lt;'Tổng quan'!$B$11,"✖","○"),"")))</f>
        <v/>
      </c>
      <c r="I64" s="24" t="str">
        <f>IF($A64="","",IF(COUNTIFS('Nhật ký bảo trì'!$D$6:$D$405,$A64,'Nhật ký bảo trì'!$Q$6:$Q$405,"Hoàn thành",'Nhật ký bảo trì'!$B$6:$B$405,"&gt;="&amp;I$5,'Nhật ký bảo trì'!$B$6:$B$405,"&lt;="&amp;EOMONTH(I$5,0))&gt;0,"✔",IF(((EOMONTH(I$5,0)&gt;='Kế hoạch định kỳ'!$W64)*(INT((EOMONTH(I$5,0)-'Kế hoạch định kỳ'!$W64)/'Kế hoạch định kỳ'!$X64)+1)-(I$5-1&gt;='Kế hoạch định kỳ'!$W64)*(INT((I$5-1-'Kế hoạch định kỳ'!$W64)/'Kế hoạch định kỳ'!$X64)+1))&gt;0,IF(EOMONTH(I$5,0)&lt;'Tổng quan'!$B$11,"✖","○"),"")))</f>
        <v/>
      </c>
      <c r="J64" s="24" t="str">
        <f>IF($A64="","",IF(COUNTIFS('Nhật ký bảo trì'!$D$6:$D$405,$A64,'Nhật ký bảo trì'!$Q$6:$Q$405,"Hoàn thành",'Nhật ký bảo trì'!$B$6:$B$405,"&gt;="&amp;J$5,'Nhật ký bảo trì'!$B$6:$B$405,"&lt;="&amp;EOMONTH(J$5,0))&gt;0,"✔",IF(((EOMONTH(J$5,0)&gt;='Kế hoạch định kỳ'!$W64)*(INT((EOMONTH(J$5,0)-'Kế hoạch định kỳ'!$W64)/'Kế hoạch định kỳ'!$X64)+1)-(J$5-1&gt;='Kế hoạch định kỳ'!$W64)*(INT((J$5-1-'Kế hoạch định kỳ'!$W64)/'Kế hoạch định kỳ'!$X64)+1))&gt;0,IF(EOMONTH(J$5,0)&lt;'Tổng quan'!$B$11,"✖","○"),"")))</f>
        <v/>
      </c>
      <c r="K64" s="24" t="str">
        <f>IF($A64="","",IF(COUNTIFS('Nhật ký bảo trì'!$D$6:$D$405,$A64,'Nhật ký bảo trì'!$Q$6:$Q$405,"Hoàn thành",'Nhật ký bảo trì'!$B$6:$B$405,"&gt;="&amp;K$5,'Nhật ký bảo trì'!$B$6:$B$405,"&lt;="&amp;EOMONTH(K$5,0))&gt;0,"✔",IF(((EOMONTH(K$5,0)&gt;='Kế hoạch định kỳ'!$W64)*(INT((EOMONTH(K$5,0)-'Kế hoạch định kỳ'!$W64)/'Kế hoạch định kỳ'!$X64)+1)-(K$5-1&gt;='Kế hoạch định kỳ'!$W64)*(INT((K$5-1-'Kế hoạch định kỳ'!$W64)/'Kế hoạch định kỳ'!$X64)+1))&gt;0,IF(EOMONTH(K$5,0)&lt;'Tổng quan'!$B$11,"✖","○"),"")))</f>
        <v/>
      </c>
      <c r="L64" s="24" t="str">
        <f>IF($A64="","",IF(COUNTIFS('Nhật ký bảo trì'!$D$6:$D$405,$A64,'Nhật ký bảo trì'!$Q$6:$Q$405,"Hoàn thành",'Nhật ký bảo trì'!$B$6:$B$405,"&gt;="&amp;L$5,'Nhật ký bảo trì'!$B$6:$B$405,"&lt;="&amp;EOMONTH(L$5,0))&gt;0,"✔",IF(((EOMONTH(L$5,0)&gt;='Kế hoạch định kỳ'!$W64)*(INT((EOMONTH(L$5,0)-'Kế hoạch định kỳ'!$W64)/'Kế hoạch định kỳ'!$X64)+1)-(L$5-1&gt;='Kế hoạch định kỳ'!$W64)*(INT((L$5-1-'Kế hoạch định kỳ'!$W64)/'Kế hoạch định kỳ'!$X64)+1))&gt;0,IF(EOMONTH(L$5,0)&lt;'Tổng quan'!$B$11,"✖","○"),"")))</f>
        <v/>
      </c>
      <c r="M64" s="24" t="str">
        <f>IF($A64="","",IF(COUNTIFS('Nhật ký bảo trì'!$D$6:$D$405,$A64,'Nhật ký bảo trì'!$Q$6:$Q$405,"Hoàn thành",'Nhật ký bảo trì'!$B$6:$B$405,"&gt;="&amp;M$5,'Nhật ký bảo trì'!$B$6:$B$405,"&lt;="&amp;EOMONTH(M$5,0))&gt;0,"✔",IF(((EOMONTH(M$5,0)&gt;='Kế hoạch định kỳ'!$W64)*(INT((EOMONTH(M$5,0)-'Kế hoạch định kỳ'!$W64)/'Kế hoạch định kỳ'!$X64)+1)-(M$5-1&gt;='Kế hoạch định kỳ'!$W64)*(INT((M$5-1-'Kế hoạch định kỳ'!$W64)/'Kế hoạch định kỳ'!$X64)+1))&gt;0,IF(EOMONTH(M$5,0)&lt;'Tổng quan'!$B$11,"✖","○"),"")))</f>
        <v/>
      </c>
      <c r="N64" s="24" t="str">
        <f>IF($A64="","",IF(COUNTIFS('Nhật ký bảo trì'!$D$6:$D$405,$A64,'Nhật ký bảo trì'!$Q$6:$Q$405,"Hoàn thành",'Nhật ký bảo trì'!$B$6:$B$405,"&gt;="&amp;N$5,'Nhật ký bảo trì'!$B$6:$B$405,"&lt;="&amp;EOMONTH(N$5,0))&gt;0,"✔",IF(((EOMONTH(N$5,0)&gt;='Kế hoạch định kỳ'!$W64)*(INT((EOMONTH(N$5,0)-'Kế hoạch định kỳ'!$W64)/'Kế hoạch định kỳ'!$X64)+1)-(N$5-1&gt;='Kế hoạch định kỳ'!$W64)*(INT((N$5-1-'Kế hoạch định kỳ'!$W64)/'Kế hoạch định kỳ'!$X64)+1))&gt;0,IF(EOMONTH(N$5,0)&lt;'Tổng quan'!$B$11,"✖","○"),"")))</f>
        <v/>
      </c>
      <c r="O64" s="24" t="str">
        <f>IF($A64="","",IF(COUNTIFS('Nhật ký bảo trì'!$D$6:$D$405,$A64,'Nhật ký bảo trì'!$Q$6:$Q$405,"Hoàn thành",'Nhật ký bảo trì'!$B$6:$B$405,"&gt;="&amp;O$5,'Nhật ký bảo trì'!$B$6:$B$405,"&lt;="&amp;EOMONTH(O$5,0))&gt;0,"✔",IF(((EOMONTH(O$5,0)&gt;='Kế hoạch định kỳ'!$W64)*(INT((EOMONTH(O$5,0)-'Kế hoạch định kỳ'!$W64)/'Kế hoạch định kỳ'!$X64)+1)-(O$5-1&gt;='Kế hoạch định kỳ'!$W64)*(INT((O$5-1-'Kế hoạch định kỳ'!$W64)/'Kế hoạch định kỳ'!$X64)+1))&gt;0,IF(EOMONTH(O$5,0)&lt;'Tổng quan'!$B$11,"✖","○"),"")))</f>
        <v/>
      </c>
      <c r="P64" s="24" t="str">
        <f>IF($A64="","",IF(COUNTIFS('Nhật ký bảo trì'!$D$6:$D$405,$A64,'Nhật ký bảo trì'!$Q$6:$Q$405,"Hoàn thành",'Nhật ký bảo trì'!$B$6:$B$405,"&gt;="&amp;P$5,'Nhật ký bảo trì'!$B$6:$B$405,"&lt;="&amp;EOMONTH(P$5,0))&gt;0,"✔",IF(((EOMONTH(P$5,0)&gt;='Kế hoạch định kỳ'!$W64)*(INT((EOMONTH(P$5,0)-'Kế hoạch định kỳ'!$W64)/'Kế hoạch định kỳ'!$X64)+1)-(P$5-1&gt;='Kế hoạch định kỳ'!$W64)*(INT((P$5-1-'Kế hoạch định kỳ'!$W64)/'Kế hoạch định kỳ'!$X64)+1))&gt;0,IF(EOMONTH(P$5,0)&lt;'Tổng quan'!$B$11,"✖","○"),"")))</f>
        <v/>
      </c>
      <c r="Q64" s="16" t="str">
        <f>IF($A64="","",COUNTIFS('Nhật ký bảo trì'!$D$6:$D$405,$A64,'Nhật ký bảo trì'!$Q$6:$Q$405,"Hoàn thành",'Nhật ký bảo trì'!$B$6:$B$405,"&gt;="&amp;DATE('Tổng quan'!$B$6,1,1),'Nhật ký bảo trì'!$B$6:$B$405,"&lt;="&amp;DATE('Tổng quan'!$B$6,12,31)))</f>
        <v/>
      </c>
      <c r="R64" s="16" t="str">
        <f t="shared" si="1"/>
        <v/>
      </c>
    </row>
    <row r="65" ht="24.0" customHeight="1">
      <c r="A65" s="26" t="str">
        <f>IF('Kế hoạch định kỳ'!$B65="","",'Kế hoạch định kỳ'!$B65)</f>
        <v/>
      </c>
      <c r="B65" s="28" t="str">
        <f>IF('Kế hoạch định kỳ'!$B65="","",'Kế hoạch định kỳ'!$D65)</f>
        <v/>
      </c>
      <c r="C65" s="56" t="str">
        <f>IF('Kế hoạch định kỳ'!$B65="","",'Kế hoạch định kỳ'!$F65)</f>
        <v/>
      </c>
      <c r="D65" s="26" t="str">
        <f>IF('Kế hoạch định kỳ'!$B65="","",IF('Kế hoạch định kỳ'!$I65&lt;&gt;"",'Kế hoạch định kỳ'!$I65&amp;" ngày",'Kế hoạch định kỳ'!$H65))</f>
        <v/>
      </c>
      <c r="E65" s="61" t="str">
        <f>IF($A65="","",IF(COUNTIFS('Nhật ký bảo trì'!$D$6:$D$405,$A65,'Nhật ký bảo trì'!$Q$6:$Q$405,"Hoàn thành",'Nhật ký bảo trì'!$B$6:$B$405,"&gt;="&amp;E$5,'Nhật ký bảo trì'!$B$6:$B$405,"&lt;="&amp;EOMONTH(E$5,0))&gt;0,"✔",IF(((EOMONTH(E$5,0)&gt;='Kế hoạch định kỳ'!$W65)*(INT((EOMONTH(E$5,0)-'Kế hoạch định kỳ'!$W65)/'Kế hoạch định kỳ'!$X65)+1)-(E$5-1&gt;='Kế hoạch định kỳ'!$W65)*(INT((E$5-1-'Kế hoạch định kỳ'!$W65)/'Kế hoạch định kỳ'!$X65)+1))&gt;0,IF(EOMONTH(E$5,0)&lt;'Tổng quan'!$B$11,"✖","○"),"")))</f>
        <v/>
      </c>
      <c r="F65" s="61" t="str">
        <f>IF($A65="","",IF(COUNTIFS('Nhật ký bảo trì'!$D$6:$D$405,$A65,'Nhật ký bảo trì'!$Q$6:$Q$405,"Hoàn thành",'Nhật ký bảo trì'!$B$6:$B$405,"&gt;="&amp;F$5,'Nhật ký bảo trì'!$B$6:$B$405,"&lt;="&amp;EOMONTH(F$5,0))&gt;0,"✔",IF(((EOMONTH(F$5,0)&gt;='Kế hoạch định kỳ'!$W65)*(INT((EOMONTH(F$5,0)-'Kế hoạch định kỳ'!$W65)/'Kế hoạch định kỳ'!$X65)+1)-(F$5-1&gt;='Kế hoạch định kỳ'!$W65)*(INT((F$5-1-'Kế hoạch định kỳ'!$W65)/'Kế hoạch định kỳ'!$X65)+1))&gt;0,IF(EOMONTH(F$5,0)&lt;'Tổng quan'!$B$11,"✖","○"),"")))</f>
        <v/>
      </c>
      <c r="G65" s="61" t="str">
        <f>IF($A65="","",IF(COUNTIFS('Nhật ký bảo trì'!$D$6:$D$405,$A65,'Nhật ký bảo trì'!$Q$6:$Q$405,"Hoàn thành",'Nhật ký bảo trì'!$B$6:$B$405,"&gt;="&amp;G$5,'Nhật ký bảo trì'!$B$6:$B$405,"&lt;="&amp;EOMONTH(G$5,0))&gt;0,"✔",IF(((EOMONTH(G$5,0)&gt;='Kế hoạch định kỳ'!$W65)*(INT((EOMONTH(G$5,0)-'Kế hoạch định kỳ'!$W65)/'Kế hoạch định kỳ'!$X65)+1)-(G$5-1&gt;='Kế hoạch định kỳ'!$W65)*(INT((G$5-1-'Kế hoạch định kỳ'!$W65)/'Kế hoạch định kỳ'!$X65)+1))&gt;0,IF(EOMONTH(G$5,0)&lt;'Tổng quan'!$B$11,"✖","○"),"")))</f>
        <v/>
      </c>
      <c r="H65" s="61" t="str">
        <f>IF($A65="","",IF(COUNTIFS('Nhật ký bảo trì'!$D$6:$D$405,$A65,'Nhật ký bảo trì'!$Q$6:$Q$405,"Hoàn thành",'Nhật ký bảo trì'!$B$6:$B$405,"&gt;="&amp;H$5,'Nhật ký bảo trì'!$B$6:$B$405,"&lt;="&amp;EOMONTH(H$5,0))&gt;0,"✔",IF(((EOMONTH(H$5,0)&gt;='Kế hoạch định kỳ'!$W65)*(INT((EOMONTH(H$5,0)-'Kế hoạch định kỳ'!$W65)/'Kế hoạch định kỳ'!$X65)+1)-(H$5-1&gt;='Kế hoạch định kỳ'!$W65)*(INT((H$5-1-'Kế hoạch định kỳ'!$W65)/'Kế hoạch định kỳ'!$X65)+1))&gt;0,IF(EOMONTH(H$5,0)&lt;'Tổng quan'!$B$11,"✖","○"),"")))</f>
        <v/>
      </c>
      <c r="I65" s="61" t="str">
        <f>IF($A65="","",IF(COUNTIFS('Nhật ký bảo trì'!$D$6:$D$405,$A65,'Nhật ký bảo trì'!$Q$6:$Q$405,"Hoàn thành",'Nhật ký bảo trì'!$B$6:$B$405,"&gt;="&amp;I$5,'Nhật ký bảo trì'!$B$6:$B$405,"&lt;="&amp;EOMONTH(I$5,0))&gt;0,"✔",IF(((EOMONTH(I$5,0)&gt;='Kế hoạch định kỳ'!$W65)*(INT((EOMONTH(I$5,0)-'Kế hoạch định kỳ'!$W65)/'Kế hoạch định kỳ'!$X65)+1)-(I$5-1&gt;='Kế hoạch định kỳ'!$W65)*(INT((I$5-1-'Kế hoạch định kỳ'!$W65)/'Kế hoạch định kỳ'!$X65)+1))&gt;0,IF(EOMONTH(I$5,0)&lt;'Tổng quan'!$B$11,"✖","○"),"")))</f>
        <v/>
      </c>
      <c r="J65" s="61" t="str">
        <f>IF($A65="","",IF(COUNTIFS('Nhật ký bảo trì'!$D$6:$D$405,$A65,'Nhật ký bảo trì'!$Q$6:$Q$405,"Hoàn thành",'Nhật ký bảo trì'!$B$6:$B$405,"&gt;="&amp;J$5,'Nhật ký bảo trì'!$B$6:$B$405,"&lt;="&amp;EOMONTH(J$5,0))&gt;0,"✔",IF(((EOMONTH(J$5,0)&gt;='Kế hoạch định kỳ'!$W65)*(INT((EOMONTH(J$5,0)-'Kế hoạch định kỳ'!$W65)/'Kế hoạch định kỳ'!$X65)+1)-(J$5-1&gt;='Kế hoạch định kỳ'!$W65)*(INT((J$5-1-'Kế hoạch định kỳ'!$W65)/'Kế hoạch định kỳ'!$X65)+1))&gt;0,IF(EOMONTH(J$5,0)&lt;'Tổng quan'!$B$11,"✖","○"),"")))</f>
        <v/>
      </c>
      <c r="K65" s="61" t="str">
        <f>IF($A65="","",IF(COUNTIFS('Nhật ký bảo trì'!$D$6:$D$405,$A65,'Nhật ký bảo trì'!$Q$6:$Q$405,"Hoàn thành",'Nhật ký bảo trì'!$B$6:$B$405,"&gt;="&amp;K$5,'Nhật ký bảo trì'!$B$6:$B$405,"&lt;="&amp;EOMONTH(K$5,0))&gt;0,"✔",IF(((EOMONTH(K$5,0)&gt;='Kế hoạch định kỳ'!$W65)*(INT((EOMONTH(K$5,0)-'Kế hoạch định kỳ'!$W65)/'Kế hoạch định kỳ'!$X65)+1)-(K$5-1&gt;='Kế hoạch định kỳ'!$W65)*(INT((K$5-1-'Kế hoạch định kỳ'!$W65)/'Kế hoạch định kỳ'!$X65)+1))&gt;0,IF(EOMONTH(K$5,0)&lt;'Tổng quan'!$B$11,"✖","○"),"")))</f>
        <v/>
      </c>
      <c r="L65" s="61" t="str">
        <f>IF($A65="","",IF(COUNTIFS('Nhật ký bảo trì'!$D$6:$D$405,$A65,'Nhật ký bảo trì'!$Q$6:$Q$405,"Hoàn thành",'Nhật ký bảo trì'!$B$6:$B$405,"&gt;="&amp;L$5,'Nhật ký bảo trì'!$B$6:$B$405,"&lt;="&amp;EOMONTH(L$5,0))&gt;0,"✔",IF(((EOMONTH(L$5,0)&gt;='Kế hoạch định kỳ'!$W65)*(INT((EOMONTH(L$5,0)-'Kế hoạch định kỳ'!$W65)/'Kế hoạch định kỳ'!$X65)+1)-(L$5-1&gt;='Kế hoạch định kỳ'!$W65)*(INT((L$5-1-'Kế hoạch định kỳ'!$W65)/'Kế hoạch định kỳ'!$X65)+1))&gt;0,IF(EOMONTH(L$5,0)&lt;'Tổng quan'!$B$11,"✖","○"),"")))</f>
        <v/>
      </c>
      <c r="M65" s="61" t="str">
        <f>IF($A65="","",IF(COUNTIFS('Nhật ký bảo trì'!$D$6:$D$405,$A65,'Nhật ký bảo trì'!$Q$6:$Q$405,"Hoàn thành",'Nhật ký bảo trì'!$B$6:$B$405,"&gt;="&amp;M$5,'Nhật ký bảo trì'!$B$6:$B$405,"&lt;="&amp;EOMONTH(M$5,0))&gt;0,"✔",IF(((EOMONTH(M$5,0)&gt;='Kế hoạch định kỳ'!$W65)*(INT((EOMONTH(M$5,0)-'Kế hoạch định kỳ'!$W65)/'Kế hoạch định kỳ'!$X65)+1)-(M$5-1&gt;='Kế hoạch định kỳ'!$W65)*(INT((M$5-1-'Kế hoạch định kỳ'!$W65)/'Kế hoạch định kỳ'!$X65)+1))&gt;0,IF(EOMONTH(M$5,0)&lt;'Tổng quan'!$B$11,"✖","○"),"")))</f>
        <v/>
      </c>
      <c r="N65" s="61" t="str">
        <f>IF($A65="","",IF(COUNTIFS('Nhật ký bảo trì'!$D$6:$D$405,$A65,'Nhật ký bảo trì'!$Q$6:$Q$405,"Hoàn thành",'Nhật ký bảo trì'!$B$6:$B$405,"&gt;="&amp;N$5,'Nhật ký bảo trì'!$B$6:$B$405,"&lt;="&amp;EOMONTH(N$5,0))&gt;0,"✔",IF(((EOMONTH(N$5,0)&gt;='Kế hoạch định kỳ'!$W65)*(INT((EOMONTH(N$5,0)-'Kế hoạch định kỳ'!$W65)/'Kế hoạch định kỳ'!$X65)+1)-(N$5-1&gt;='Kế hoạch định kỳ'!$W65)*(INT((N$5-1-'Kế hoạch định kỳ'!$W65)/'Kế hoạch định kỳ'!$X65)+1))&gt;0,IF(EOMONTH(N$5,0)&lt;'Tổng quan'!$B$11,"✖","○"),"")))</f>
        <v/>
      </c>
      <c r="O65" s="61" t="str">
        <f>IF($A65="","",IF(COUNTIFS('Nhật ký bảo trì'!$D$6:$D$405,$A65,'Nhật ký bảo trì'!$Q$6:$Q$405,"Hoàn thành",'Nhật ký bảo trì'!$B$6:$B$405,"&gt;="&amp;O$5,'Nhật ký bảo trì'!$B$6:$B$405,"&lt;="&amp;EOMONTH(O$5,0))&gt;0,"✔",IF(((EOMONTH(O$5,0)&gt;='Kế hoạch định kỳ'!$W65)*(INT((EOMONTH(O$5,0)-'Kế hoạch định kỳ'!$W65)/'Kế hoạch định kỳ'!$X65)+1)-(O$5-1&gt;='Kế hoạch định kỳ'!$W65)*(INT((O$5-1-'Kế hoạch định kỳ'!$W65)/'Kế hoạch định kỳ'!$X65)+1))&gt;0,IF(EOMONTH(O$5,0)&lt;'Tổng quan'!$B$11,"✖","○"),"")))</f>
        <v/>
      </c>
      <c r="P65" s="61" t="str">
        <f>IF($A65="","",IF(COUNTIFS('Nhật ký bảo trì'!$D$6:$D$405,$A65,'Nhật ký bảo trì'!$Q$6:$Q$405,"Hoàn thành",'Nhật ký bảo trì'!$B$6:$B$405,"&gt;="&amp;P$5,'Nhật ký bảo trì'!$B$6:$B$405,"&lt;="&amp;EOMONTH(P$5,0))&gt;0,"✔",IF(((EOMONTH(P$5,0)&gt;='Kế hoạch định kỳ'!$W65)*(INT((EOMONTH(P$5,0)-'Kế hoạch định kỳ'!$W65)/'Kế hoạch định kỳ'!$X65)+1)-(P$5-1&gt;='Kế hoạch định kỳ'!$W65)*(INT((P$5-1-'Kế hoạch định kỳ'!$W65)/'Kế hoạch định kỳ'!$X65)+1))&gt;0,IF(EOMONTH(P$5,0)&lt;'Tổng quan'!$B$11,"✖","○"),"")))</f>
        <v/>
      </c>
      <c r="Q65" s="30" t="str">
        <f>IF($A65="","",COUNTIFS('Nhật ký bảo trì'!$D$6:$D$405,$A65,'Nhật ký bảo trì'!$Q$6:$Q$405,"Hoàn thành",'Nhật ký bảo trì'!$B$6:$B$405,"&gt;="&amp;DATE('Tổng quan'!$B$6,1,1),'Nhật ký bảo trì'!$B$6:$B$405,"&lt;="&amp;DATE('Tổng quan'!$B$6,12,31)))</f>
        <v/>
      </c>
      <c r="R65" s="30" t="str">
        <f t="shared" si="1"/>
        <v/>
      </c>
    </row>
    <row r="66" ht="24.0" customHeight="1">
      <c r="A66" s="10" t="str">
        <f>IF('Kế hoạch định kỳ'!$B66="","",'Kế hoạch định kỳ'!$B66)</f>
        <v/>
      </c>
      <c r="B66" s="14" t="str">
        <f>IF('Kế hoạch định kỳ'!$B66="","",'Kế hoạch định kỳ'!$D66)</f>
        <v/>
      </c>
      <c r="C66" s="18" t="str">
        <f>IF('Kế hoạch định kỳ'!$B66="","",'Kế hoạch định kỳ'!$F66)</f>
        <v/>
      </c>
      <c r="D66" s="10" t="str">
        <f>IF('Kế hoạch định kỳ'!$B66="","",IF('Kế hoạch định kỳ'!$I66&lt;&gt;"",'Kế hoạch định kỳ'!$I66&amp;" ngày",'Kế hoạch định kỳ'!$H66))</f>
        <v/>
      </c>
      <c r="E66" s="24" t="str">
        <f>IF($A66="","",IF(COUNTIFS('Nhật ký bảo trì'!$D$6:$D$405,$A66,'Nhật ký bảo trì'!$Q$6:$Q$405,"Hoàn thành",'Nhật ký bảo trì'!$B$6:$B$405,"&gt;="&amp;E$5,'Nhật ký bảo trì'!$B$6:$B$405,"&lt;="&amp;EOMONTH(E$5,0))&gt;0,"✔",IF(((EOMONTH(E$5,0)&gt;='Kế hoạch định kỳ'!$W66)*(INT((EOMONTH(E$5,0)-'Kế hoạch định kỳ'!$W66)/'Kế hoạch định kỳ'!$X66)+1)-(E$5-1&gt;='Kế hoạch định kỳ'!$W66)*(INT((E$5-1-'Kế hoạch định kỳ'!$W66)/'Kế hoạch định kỳ'!$X66)+1))&gt;0,IF(EOMONTH(E$5,0)&lt;'Tổng quan'!$B$11,"✖","○"),"")))</f>
        <v/>
      </c>
      <c r="F66" s="24" t="str">
        <f>IF($A66="","",IF(COUNTIFS('Nhật ký bảo trì'!$D$6:$D$405,$A66,'Nhật ký bảo trì'!$Q$6:$Q$405,"Hoàn thành",'Nhật ký bảo trì'!$B$6:$B$405,"&gt;="&amp;F$5,'Nhật ký bảo trì'!$B$6:$B$405,"&lt;="&amp;EOMONTH(F$5,0))&gt;0,"✔",IF(((EOMONTH(F$5,0)&gt;='Kế hoạch định kỳ'!$W66)*(INT((EOMONTH(F$5,0)-'Kế hoạch định kỳ'!$W66)/'Kế hoạch định kỳ'!$X66)+1)-(F$5-1&gt;='Kế hoạch định kỳ'!$W66)*(INT((F$5-1-'Kế hoạch định kỳ'!$W66)/'Kế hoạch định kỳ'!$X66)+1))&gt;0,IF(EOMONTH(F$5,0)&lt;'Tổng quan'!$B$11,"✖","○"),"")))</f>
        <v/>
      </c>
      <c r="G66" s="24" t="str">
        <f>IF($A66="","",IF(COUNTIFS('Nhật ký bảo trì'!$D$6:$D$405,$A66,'Nhật ký bảo trì'!$Q$6:$Q$405,"Hoàn thành",'Nhật ký bảo trì'!$B$6:$B$405,"&gt;="&amp;G$5,'Nhật ký bảo trì'!$B$6:$B$405,"&lt;="&amp;EOMONTH(G$5,0))&gt;0,"✔",IF(((EOMONTH(G$5,0)&gt;='Kế hoạch định kỳ'!$W66)*(INT((EOMONTH(G$5,0)-'Kế hoạch định kỳ'!$W66)/'Kế hoạch định kỳ'!$X66)+1)-(G$5-1&gt;='Kế hoạch định kỳ'!$W66)*(INT((G$5-1-'Kế hoạch định kỳ'!$W66)/'Kế hoạch định kỳ'!$X66)+1))&gt;0,IF(EOMONTH(G$5,0)&lt;'Tổng quan'!$B$11,"✖","○"),"")))</f>
        <v/>
      </c>
      <c r="H66" s="24" t="str">
        <f>IF($A66="","",IF(COUNTIFS('Nhật ký bảo trì'!$D$6:$D$405,$A66,'Nhật ký bảo trì'!$Q$6:$Q$405,"Hoàn thành",'Nhật ký bảo trì'!$B$6:$B$405,"&gt;="&amp;H$5,'Nhật ký bảo trì'!$B$6:$B$405,"&lt;="&amp;EOMONTH(H$5,0))&gt;0,"✔",IF(((EOMONTH(H$5,0)&gt;='Kế hoạch định kỳ'!$W66)*(INT((EOMONTH(H$5,0)-'Kế hoạch định kỳ'!$W66)/'Kế hoạch định kỳ'!$X66)+1)-(H$5-1&gt;='Kế hoạch định kỳ'!$W66)*(INT((H$5-1-'Kế hoạch định kỳ'!$W66)/'Kế hoạch định kỳ'!$X66)+1))&gt;0,IF(EOMONTH(H$5,0)&lt;'Tổng quan'!$B$11,"✖","○"),"")))</f>
        <v/>
      </c>
      <c r="I66" s="24" t="str">
        <f>IF($A66="","",IF(COUNTIFS('Nhật ký bảo trì'!$D$6:$D$405,$A66,'Nhật ký bảo trì'!$Q$6:$Q$405,"Hoàn thành",'Nhật ký bảo trì'!$B$6:$B$405,"&gt;="&amp;I$5,'Nhật ký bảo trì'!$B$6:$B$405,"&lt;="&amp;EOMONTH(I$5,0))&gt;0,"✔",IF(((EOMONTH(I$5,0)&gt;='Kế hoạch định kỳ'!$W66)*(INT((EOMONTH(I$5,0)-'Kế hoạch định kỳ'!$W66)/'Kế hoạch định kỳ'!$X66)+1)-(I$5-1&gt;='Kế hoạch định kỳ'!$W66)*(INT((I$5-1-'Kế hoạch định kỳ'!$W66)/'Kế hoạch định kỳ'!$X66)+1))&gt;0,IF(EOMONTH(I$5,0)&lt;'Tổng quan'!$B$11,"✖","○"),"")))</f>
        <v/>
      </c>
      <c r="J66" s="24" t="str">
        <f>IF($A66="","",IF(COUNTIFS('Nhật ký bảo trì'!$D$6:$D$405,$A66,'Nhật ký bảo trì'!$Q$6:$Q$405,"Hoàn thành",'Nhật ký bảo trì'!$B$6:$B$405,"&gt;="&amp;J$5,'Nhật ký bảo trì'!$B$6:$B$405,"&lt;="&amp;EOMONTH(J$5,0))&gt;0,"✔",IF(((EOMONTH(J$5,0)&gt;='Kế hoạch định kỳ'!$W66)*(INT((EOMONTH(J$5,0)-'Kế hoạch định kỳ'!$W66)/'Kế hoạch định kỳ'!$X66)+1)-(J$5-1&gt;='Kế hoạch định kỳ'!$W66)*(INT((J$5-1-'Kế hoạch định kỳ'!$W66)/'Kế hoạch định kỳ'!$X66)+1))&gt;0,IF(EOMONTH(J$5,0)&lt;'Tổng quan'!$B$11,"✖","○"),"")))</f>
        <v/>
      </c>
      <c r="K66" s="24" t="str">
        <f>IF($A66="","",IF(COUNTIFS('Nhật ký bảo trì'!$D$6:$D$405,$A66,'Nhật ký bảo trì'!$Q$6:$Q$405,"Hoàn thành",'Nhật ký bảo trì'!$B$6:$B$405,"&gt;="&amp;K$5,'Nhật ký bảo trì'!$B$6:$B$405,"&lt;="&amp;EOMONTH(K$5,0))&gt;0,"✔",IF(((EOMONTH(K$5,0)&gt;='Kế hoạch định kỳ'!$W66)*(INT((EOMONTH(K$5,0)-'Kế hoạch định kỳ'!$W66)/'Kế hoạch định kỳ'!$X66)+1)-(K$5-1&gt;='Kế hoạch định kỳ'!$W66)*(INT((K$5-1-'Kế hoạch định kỳ'!$W66)/'Kế hoạch định kỳ'!$X66)+1))&gt;0,IF(EOMONTH(K$5,0)&lt;'Tổng quan'!$B$11,"✖","○"),"")))</f>
        <v/>
      </c>
      <c r="L66" s="24" t="str">
        <f>IF($A66="","",IF(COUNTIFS('Nhật ký bảo trì'!$D$6:$D$405,$A66,'Nhật ký bảo trì'!$Q$6:$Q$405,"Hoàn thành",'Nhật ký bảo trì'!$B$6:$B$405,"&gt;="&amp;L$5,'Nhật ký bảo trì'!$B$6:$B$405,"&lt;="&amp;EOMONTH(L$5,0))&gt;0,"✔",IF(((EOMONTH(L$5,0)&gt;='Kế hoạch định kỳ'!$W66)*(INT((EOMONTH(L$5,0)-'Kế hoạch định kỳ'!$W66)/'Kế hoạch định kỳ'!$X66)+1)-(L$5-1&gt;='Kế hoạch định kỳ'!$W66)*(INT((L$5-1-'Kế hoạch định kỳ'!$W66)/'Kế hoạch định kỳ'!$X66)+1))&gt;0,IF(EOMONTH(L$5,0)&lt;'Tổng quan'!$B$11,"✖","○"),"")))</f>
        <v/>
      </c>
      <c r="M66" s="24" t="str">
        <f>IF($A66="","",IF(COUNTIFS('Nhật ký bảo trì'!$D$6:$D$405,$A66,'Nhật ký bảo trì'!$Q$6:$Q$405,"Hoàn thành",'Nhật ký bảo trì'!$B$6:$B$405,"&gt;="&amp;M$5,'Nhật ký bảo trì'!$B$6:$B$405,"&lt;="&amp;EOMONTH(M$5,0))&gt;0,"✔",IF(((EOMONTH(M$5,0)&gt;='Kế hoạch định kỳ'!$W66)*(INT((EOMONTH(M$5,0)-'Kế hoạch định kỳ'!$W66)/'Kế hoạch định kỳ'!$X66)+1)-(M$5-1&gt;='Kế hoạch định kỳ'!$W66)*(INT((M$5-1-'Kế hoạch định kỳ'!$W66)/'Kế hoạch định kỳ'!$X66)+1))&gt;0,IF(EOMONTH(M$5,0)&lt;'Tổng quan'!$B$11,"✖","○"),"")))</f>
        <v/>
      </c>
      <c r="N66" s="24" t="str">
        <f>IF($A66="","",IF(COUNTIFS('Nhật ký bảo trì'!$D$6:$D$405,$A66,'Nhật ký bảo trì'!$Q$6:$Q$405,"Hoàn thành",'Nhật ký bảo trì'!$B$6:$B$405,"&gt;="&amp;N$5,'Nhật ký bảo trì'!$B$6:$B$405,"&lt;="&amp;EOMONTH(N$5,0))&gt;0,"✔",IF(((EOMONTH(N$5,0)&gt;='Kế hoạch định kỳ'!$W66)*(INT((EOMONTH(N$5,0)-'Kế hoạch định kỳ'!$W66)/'Kế hoạch định kỳ'!$X66)+1)-(N$5-1&gt;='Kế hoạch định kỳ'!$W66)*(INT((N$5-1-'Kế hoạch định kỳ'!$W66)/'Kế hoạch định kỳ'!$X66)+1))&gt;0,IF(EOMONTH(N$5,0)&lt;'Tổng quan'!$B$11,"✖","○"),"")))</f>
        <v/>
      </c>
      <c r="O66" s="24" t="str">
        <f>IF($A66="","",IF(COUNTIFS('Nhật ký bảo trì'!$D$6:$D$405,$A66,'Nhật ký bảo trì'!$Q$6:$Q$405,"Hoàn thành",'Nhật ký bảo trì'!$B$6:$B$405,"&gt;="&amp;O$5,'Nhật ký bảo trì'!$B$6:$B$405,"&lt;="&amp;EOMONTH(O$5,0))&gt;0,"✔",IF(((EOMONTH(O$5,0)&gt;='Kế hoạch định kỳ'!$W66)*(INT((EOMONTH(O$5,0)-'Kế hoạch định kỳ'!$W66)/'Kế hoạch định kỳ'!$X66)+1)-(O$5-1&gt;='Kế hoạch định kỳ'!$W66)*(INT((O$5-1-'Kế hoạch định kỳ'!$W66)/'Kế hoạch định kỳ'!$X66)+1))&gt;0,IF(EOMONTH(O$5,0)&lt;'Tổng quan'!$B$11,"✖","○"),"")))</f>
        <v/>
      </c>
      <c r="P66" s="24" t="str">
        <f>IF($A66="","",IF(COUNTIFS('Nhật ký bảo trì'!$D$6:$D$405,$A66,'Nhật ký bảo trì'!$Q$6:$Q$405,"Hoàn thành",'Nhật ký bảo trì'!$B$6:$B$405,"&gt;="&amp;P$5,'Nhật ký bảo trì'!$B$6:$B$405,"&lt;="&amp;EOMONTH(P$5,0))&gt;0,"✔",IF(((EOMONTH(P$5,0)&gt;='Kế hoạch định kỳ'!$W66)*(INT((EOMONTH(P$5,0)-'Kế hoạch định kỳ'!$W66)/'Kế hoạch định kỳ'!$X66)+1)-(P$5-1&gt;='Kế hoạch định kỳ'!$W66)*(INT((P$5-1-'Kế hoạch định kỳ'!$W66)/'Kế hoạch định kỳ'!$X66)+1))&gt;0,IF(EOMONTH(P$5,0)&lt;'Tổng quan'!$B$11,"✖","○"),"")))</f>
        <v/>
      </c>
      <c r="Q66" s="16" t="str">
        <f>IF($A66="","",COUNTIFS('Nhật ký bảo trì'!$D$6:$D$405,$A66,'Nhật ký bảo trì'!$Q$6:$Q$405,"Hoàn thành",'Nhật ký bảo trì'!$B$6:$B$405,"&gt;="&amp;DATE('Tổng quan'!$B$6,1,1),'Nhật ký bảo trì'!$B$6:$B$405,"&lt;="&amp;DATE('Tổng quan'!$B$6,12,31)))</f>
        <v/>
      </c>
      <c r="R66" s="16" t="str">
        <f t="shared" si="1"/>
        <v/>
      </c>
    </row>
    <row r="67" ht="24.0" customHeight="1">
      <c r="A67" s="26" t="str">
        <f>IF('Kế hoạch định kỳ'!$B67="","",'Kế hoạch định kỳ'!$B67)</f>
        <v/>
      </c>
      <c r="B67" s="28" t="str">
        <f>IF('Kế hoạch định kỳ'!$B67="","",'Kế hoạch định kỳ'!$D67)</f>
        <v/>
      </c>
      <c r="C67" s="56" t="str">
        <f>IF('Kế hoạch định kỳ'!$B67="","",'Kế hoạch định kỳ'!$F67)</f>
        <v/>
      </c>
      <c r="D67" s="26" t="str">
        <f>IF('Kế hoạch định kỳ'!$B67="","",IF('Kế hoạch định kỳ'!$I67&lt;&gt;"",'Kế hoạch định kỳ'!$I67&amp;" ngày",'Kế hoạch định kỳ'!$H67))</f>
        <v/>
      </c>
      <c r="E67" s="61" t="str">
        <f>IF($A67="","",IF(COUNTIFS('Nhật ký bảo trì'!$D$6:$D$405,$A67,'Nhật ký bảo trì'!$Q$6:$Q$405,"Hoàn thành",'Nhật ký bảo trì'!$B$6:$B$405,"&gt;="&amp;E$5,'Nhật ký bảo trì'!$B$6:$B$405,"&lt;="&amp;EOMONTH(E$5,0))&gt;0,"✔",IF(((EOMONTH(E$5,0)&gt;='Kế hoạch định kỳ'!$W67)*(INT((EOMONTH(E$5,0)-'Kế hoạch định kỳ'!$W67)/'Kế hoạch định kỳ'!$X67)+1)-(E$5-1&gt;='Kế hoạch định kỳ'!$W67)*(INT((E$5-1-'Kế hoạch định kỳ'!$W67)/'Kế hoạch định kỳ'!$X67)+1))&gt;0,IF(EOMONTH(E$5,0)&lt;'Tổng quan'!$B$11,"✖","○"),"")))</f>
        <v/>
      </c>
      <c r="F67" s="61" t="str">
        <f>IF($A67="","",IF(COUNTIFS('Nhật ký bảo trì'!$D$6:$D$405,$A67,'Nhật ký bảo trì'!$Q$6:$Q$405,"Hoàn thành",'Nhật ký bảo trì'!$B$6:$B$405,"&gt;="&amp;F$5,'Nhật ký bảo trì'!$B$6:$B$405,"&lt;="&amp;EOMONTH(F$5,0))&gt;0,"✔",IF(((EOMONTH(F$5,0)&gt;='Kế hoạch định kỳ'!$W67)*(INT((EOMONTH(F$5,0)-'Kế hoạch định kỳ'!$W67)/'Kế hoạch định kỳ'!$X67)+1)-(F$5-1&gt;='Kế hoạch định kỳ'!$W67)*(INT((F$5-1-'Kế hoạch định kỳ'!$W67)/'Kế hoạch định kỳ'!$X67)+1))&gt;0,IF(EOMONTH(F$5,0)&lt;'Tổng quan'!$B$11,"✖","○"),"")))</f>
        <v/>
      </c>
      <c r="G67" s="61" t="str">
        <f>IF($A67="","",IF(COUNTIFS('Nhật ký bảo trì'!$D$6:$D$405,$A67,'Nhật ký bảo trì'!$Q$6:$Q$405,"Hoàn thành",'Nhật ký bảo trì'!$B$6:$B$405,"&gt;="&amp;G$5,'Nhật ký bảo trì'!$B$6:$B$405,"&lt;="&amp;EOMONTH(G$5,0))&gt;0,"✔",IF(((EOMONTH(G$5,0)&gt;='Kế hoạch định kỳ'!$W67)*(INT((EOMONTH(G$5,0)-'Kế hoạch định kỳ'!$W67)/'Kế hoạch định kỳ'!$X67)+1)-(G$5-1&gt;='Kế hoạch định kỳ'!$W67)*(INT((G$5-1-'Kế hoạch định kỳ'!$W67)/'Kế hoạch định kỳ'!$X67)+1))&gt;0,IF(EOMONTH(G$5,0)&lt;'Tổng quan'!$B$11,"✖","○"),"")))</f>
        <v/>
      </c>
      <c r="H67" s="61" t="str">
        <f>IF($A67="","",IF(COUNTIFS('Nhật ký bảo trì'!$D$6:$D$405,$A67,'Nhật ký bảo trì'!$Q$6:$Q$405,"Hoàn thành",'Nhật ký bảo trì'!$B$6:$B$405,"&gt;="&amp;H$5,'Nhật ký bảo trì'!$B$6:$B$405,"&lt;="&amp;EOMONTH(H$5,0))&gt;0,"✔",IF(((EOMONTH(H$5,0)&gt;='Kế hoạch định kỳ'!$W67)*(INT((EOMONTH(H$5,0)-'Kế hoạch định kỳ'!$W67)/'Kế hoạch định kỳ'!$X67)+1)-(H$5-1&gt;='Kế hoạch định kỳ'!$W67)*(INT((H$5-1-'Kế hoạch định kỳ'!$W67)/'Kế hoạch định kỳ'!$X67)+1))&gt;0,IF(EOMONTH(H$5,0)&lt;'Tổng quan'!$B$11,"✖","○"),"")))</f>
        <v/>
      </c>
      <c r="I67" s="61" t="str">
        <f>IF($A67="","",IF(COUNTIFS('Nhật ký bảo trì'!$D$6:$D$405,$A67,'Nhật ký bảo trì'!$Q$6:$Q$405,"Hoàn thành",'Nhật ký bảo trì'!$B$6:$B$405,"&gt;="&amp;I$5,'Nhật ký bảo trì'!$B$6:$B$405,"&lt;="&amp;EOMONTH(I$5,0))&gt;0,"✔",IF(((EOMONTH(I$5,0)&gt;='Kế hoạch định kỳ'!$W67)*(INT((EOMONTH(I$5,0)-'Kế hoạch định kỳ'!$W67)/'Kế hoạch định kỳ'!$X67)+1)-(I$5-1&gt;='Kế hoạch định kỳ'!$W67)*(INT((I$5-1-'Kế hoạch định kỳ'!$W67)/'Kế hoạch định kỳ'!$X67)+1))&gt;0,IF(EOMONTH(I$5,0)&lt;'Tổng quan'!$B$11,"✖","○"),"")))</f>
        <v/>
      </c>
      <c r="J67" s="61" t="str">
        <f>IF($A67="","",IF(COUNTIFS('Nhật ký bảo trì'!$D$6:$D$405,$A67,'Nhật ký bảo trì'!$Q$6:$Q$405,"Hoàn thành",'Nhật ký bảo trì'!$B$6:$B$405,"&gt;="&amp;J$5,'Nhật ký bảo trì'!$B$6:$B$405,"&lt;="&amp;EOMONTH(J$5,0))&gt;0,"✔",IF(((EOMONTH(J$5,0)&gt;='Kế hoạch định kỳ'!$W67)*(INT((EOMONTH(J$5,0)-'Kế hoạch định kỳ'!$W67)/'Kế hoạch định kỳ'!$X67)+1)-(J$5-1&gt;='Kế hoạch định kỳ'!$W67)*(INT((J$5-1-'Kế hoạch định kỳ'!$W67)/'Kế hoạch định kỳ'!$X67)+1))&gt;0,IF(EOMONTH(J$5,0)&lt;'Tổng quan'!$B$11,"✖","○"),"")))</f>
        <v/>
      </c>
      <c r="K67" s="61" t="str">
        <f>IF($A67="","",IF(COUNTIFS('Nhật ký bảo trì'!$D$6:$D$405,$A67,'Nhật ký bảo trì'!$Q$6:$Q$405,"Hoàn thành",'Nhật ký bảo trì'!$B$6:$B$405,"&gt;="&amp;K$5,'Nhật ký bảo trì'!$B$6:$B$405,"&lt;="&amp;EOMONTH(K$5,0))&gt;0,"✔",IF(((EOMONTH(K$5,0)&gt;='Kế hoạch định kỳ'!$W67)*(INT((EOMONTH(K$5,0)-'Kế hoạch định kỳ'!$W67)/'Kế hoạch định kỳ'!$X67)+1)-(K$5-1&gt;='Kế hoạch định kỳ'!$W67)*(INT((K$5-1-'Kế hoạch định kỳ'!$W67)/'Kế hoạch định kỳ'!$X67)+1))&gt;0,IF(EOMONTH(K$5,0)&lt;'Tổng quan'!$B$11,"✖","○"),"")))</f>
        <v/>
      </c>
      <c r="L67" s="61" t="str">
        <f>IF($A67="","",IF(COUNTIFS('Nhật ký bảo trì'!$D$6:$D$405,$A67,'Nhật ký bảo trì'!$Q$6:$Q$405,"Hoàn thành",'Nhật ký bảo trì'!$B$6:$B$405,"&gt;="&amp;L$5,'Nhật ký bảo trì'!$B$6:$B$405,"&lt;="&amp;EOMONTH(L$5,0))&gt;0,"✔",IF(((EOMONTH(L$5,0)&gt;='Kế hoạch định kỳ'!$W67)*(INT((EOMONTH(L$5,0)-'Kế hoạch định kỳ'!$W67)/'Kế hoạch định kỳ'!$X67)+1)-(L$5-1&gt;='Kế hoạch định kỳ'!$W67)*(INT((L$5-1-'Kế hoạch định kỳ'!$W67)/'Kế hoạch định kỳ'!$X67)+1))&gt;0,IF(EOMONTH(L$5,0)&lt;'Tổng quan'!$B$11,"✖","○"),"")))</f>
        <v/>
      </c>
      <c r="M67" s="61" t="str">
        <f>IF($A67="","",IF(COUNTIFS('Nhật ký bảo trì'!$D$6:$D$405,$A67,'Nhật ký bảo trì'!$Q$6:$Q$405,"Hoàn thành",'Nhật ký bảo trì'!$B$6:$B$405,"&gt;="&amp;M$5,'Nhật ký bảo trì'!$B$6:$B$405,"&lt;="&amp;EOMONTH(M$5,0))&gt;0,"✔",IF(((EOMONTH(M$5,0)&gt;='Kế hoạch định kỳ'!$W67)*(INT((EOMONTH(M$5,0)-'Kế hoạch định kỳ'!$W67)/'Kế hoạch định kỳ'!$X67)+1)-(M$5-1&gt;='Kế hoạch định kỳ'!$W67)*(INT((M$5-1-'Kế hoạch định kỳ'!$W67)/'Kế hoạch định kỳ'!$X67)+1))&gt;0,IF(EOMONTH(M$5,0)&lt;'Tổng quan'!$B$11,"✖","○"),"")))</f>
        <v/>
      </c>
      <c r="N67" s="61" t="str">
        <f>IF($A67="","",IF(COUNTIFS('Nhật ký bảo trì'!$D$6:$D$405,$A67,'Nhật ký bảo trì'!$Q$6:$Q$405,"Hoàn thành",'Nhật ký bảo trì'!$B$6:$B$405,"&gt;="&amp;N$5,'Nhật ký bảo trì'!$B$6:$B$405,"&lt;="&amp;EOMONTH(N$5,0))&gt;0,"✔",IF(((EOMONTH(N$5,0)&gt;='Kế hoạch định kỳ'!$W67)*(INT((EOMONTH(N$5,0)-'Kế hoạch định kỳ'!$W67)/'Kế hoạch định kỳ'!$X67)+1)-(N$5-1&gt;='Kế hoạch định kỳ'!$W67)*(INT((N$5-1-'Kế hoạch định kỳ'!$W67)/'Kế hoạch định kỳ'!$X67)+1))&gt;0,IF(EOMONTH(N$5,0)&lt;'Tổng quan'!$B$11,"✖","○"),"")))</f>
        <v/>
      </c>
      <c r="O67" s="61" t="str">
        <f>IF($A67="","",IF(COUNTIFS('Nhật ký bảo trì'!$D$6:$D$405,$A67,'Nhật ký bảo trì'!$Q$6:$Q$405,"Hoàn thành",'Nhật ký bảo trì'!$B$6:$B$405,"&gt;="&amp;O$5,'Nhật ký bảo trì'!$B$6:$B$405,"&lt;="&amp;EOMONTH(O$5,0))&gt;0,"✔",IF(((EOMONTH(O$5,0)&gt;='Kế hoạch định kỳ'!$W67)*(INT((EOMONTH(O$5,0)-'Kế hoạch định kỳ'!$W67)/'Kế hoạch định kỳ'!$X67)+1)-(O$5-1&gt;='Kế hoạch định kỳ'!$W67)*(INT((O$5-1-'Kế hoạch định kỳ'!$W67)/'Kế hoạch định kỳ'!$X67)+1))&gt;0,IF(EOMONTH(O$5,0)&lt;'Tổng quan'!$B$11,"✖","○"),"")))</f>
        <v/>
      </c>
      <c r="P67" s="61" t="str">
        <f>IF($A67="","",IF(COUNTIFS('Nhật ký bảo trì'!$D$6:$D$405,$A67,'Nhật ký bảo trì'!$Q$6:$Q$405,"Hoàn thành",'Nhật ký bảo trì'!$B$6:$B$405,"&gt;="&amp;P$5,'Nhật ký bảo trì'!$B$6:$B$405,"&lt;="&amp;EOMONTH(P$5,0))&gt;0,"✔",IF(((EOMONTH(P$5,0)&gt;='Kế hoạch định kỳ'!$W67)*(INT((EOMONTH(P$5,0)-'Kế hoạch định kỳ'!$W67)/'Kế hoạch định kỳ'!$X67)+1)-(P$5-1&gt;='Kế hoạch định kỳ'!$W67)*(INT((P$5-1-'Kế hoạch định kỳ'!$W67)/'Kế hoạch định kỳ'!$X67)+1))&gt;0,IF(EOMONTH(P$5,0)&lt;'Tổng quan'!$B$11,"✖","○"),"")))</f>
        <v/>
      </c>
      <c r="Q67" s="30" t="str">
        <f>IF($A67="","",COUNTIFS('Nhật ký bảo trì'!$D$6:$D$405,$A67,'Nhật ký bảo trì'!$Q$6:$Q$405,"Hoàn thành",'Nhật ký bảo trì'!$B$6:$B$405,"&gt;="&amp;DATE('Tổng quan'!$B$6,1,1),'Nhật ký bảo trì'!$B$6:$B$405,"&lt;="&amp;DATE('Tổng quan'!$B$6,12,31)))</f>
        <v/>
      </c>
      <c r="R67" s="30" t="str">
        <f t="shared" si="1"/>
        <v/>
      </c>
    </row>
    <row r="68" ht="24.0" customHeight="1">
      <c r="A68" s="10" t="str">
        <f>IF('Kế hoạch định kỳ'!$B68="","",'Kế hoạch định kỳ'!$B68)</f>
        <v/>
      </c>
      <c r="B68" s="14" t="str">
        <f>IF('Kế hoạch định kỳ'!$B68="","",'Kế hoạch định kỳ'!$D68)</f>
        <v/>
      </c>
      <c r="C68" s="18" t="str">
        <f>IF('Kế hoạch định kỳ'!$B68="","",'Kế hoạch định kỳ'!$F68)</f>
        <v/>
      </c>
      <c r="D68" s="10" t="str">
        <f>IF('Kế hoạch định kỳ'!$B68="","",IF('Kế hoạch định kỳ'!$I68&lt;&gt;"",'Kế hoạch định kỳ'!$I68&amp;" ngày",'Kế hoạch định kỳ'!$H68))</f>
        <v/>
      </c>
      <c r="E68" s="24" t="str">
        <f>IF($A68="","",IF(COUNTIFS('Nhật ký bảo trì'!$D$6:$D$405,$A68,'Nhật ký bảo trì'!$Q$6:$Q$405,"Hoàn thành",'Nhật ký bảo trì'!$B$6:$B$405,"&gt;="&amp;E$5,'Nhật ký bảo trì'!$B$6:$B$405,"&lt;="&amp;EOMONTH(E$5,0))&gt;0,"✔",IF(((EOMONTH(E$5,0)&gt;='Kế hoạch định kỳ'!$W68)*(INT((EOMONTH(E$5,0)-'Kế hoạch định kỳ'!$W68)/'Kế hoạch định kỳ'!$X68)+1)-(E$5-1&gt;='Kế hoạch định kỳ'!$W68)*(INT((E$5-1-'Kế hoạch định kỳ'!$W68)/'Kế hoạch định kỳ'!$X68)+1))&gt;0,IF(EOMONTH(E$5,0)&lt;'Tổng quan'!$B$11,"✖","○"),"")))</f>
        <v/>
      </c>
      <c r="F68" s="24" t="str">
        <f>IF($A68="","",IF(COUNTIFS('Nhật ký bảo trì'!$D$6:$D$405,$A68,'Nhật ký bảo trì'!$Q$6:$Q$405,"Hoàn thành",'Nhật ký bảo trì'!$B$6:$B$405,"&gt;="&amp;F$5,'Nhật ký bảo trì'!$B$6:$B$405,"&lt;="&amp;EOMONTH(F$5,0))&gt;0,"✔",IF(((EOMONTH(F$5,0)&gt;='Kế hoạch định kỳ'!$W68)*(INT((EOMONTH(F$5,0)-'Kế hoạch định kỳ'!$W68)/'Kế hoạch định kỳ'!$X68)+1)-(F$5-1&gt;='Kế hoạch định kỳ'!$W68)*(INT((F$5-1-'Kế hoạch định kỳ'!$W68)/'Kế hoạch định kỳ'!$X68)+1))&gt;0,IF(EOMONTH(F$5,0)&lt;'Tổng quan'!$B$11,"✖","○"),"")))</f>
        <v/>
      </c>
      <c r="G68" s="24" t="str">
        <f>IF($A68="","",IF(COUNTIFS('Nhật ký bảo trì'!$D$6:$D$405,$A68,'Nhật ký bảo trì'!$Q$6:$Q$405,"Hoàn thành",'Nhật ký bảo trì'!$B$6:$B$405,"&gt;="&amp;G$5,'Nhật ký bảo trì'!$B$6:$B$405,"&lt;="&amp;EOMONTH(G$5,0))&gt;0,"✔",IF(((EOMONTH(G$5,0)&gt;='Kế hoạch định kỳ'!$W68)*(INT((EOMONTH(G$5,0)-'Kế hoạch định kỳ'!$W68)/'Kế hoạch định kỳ'!$X68)+1)-(G$5-1&gt;='Kế hoạch định kỳ'!$W68)*(INT((G$5-1-'Kế hoạch định kỳ'!$W68)/'Kế hoạch định kỳ'!$X68)+1))&gt;0,IF(EOMONTH(G$5,0)&lt;'Tổng quan'!$B$11,"✖","○"),"")))</f>
        <v/>
      </c>
      <c r="H68" s="24" t="str">
        <f>IF($A68="","",IF(COUNTIFS('Nhật ký bảo trì'!$D$6:$D$405,$A68,'Nhật ký bảo trì'!$Q$6:$Q$405,"Hoàn thành",'Nhật ký bảo trì'!$B$6:$B$405,"&gt;="&amp;H$5,'Nhật ký bảo trì'!$B$6:$B$405,"&lt;="&amp;EOMONTH(H$5,0))&gt;0,"✔",IF(((EOMONTH(H$5,0)&gt;='Kế hoạch định kỳ'!$W68)*(INT((EOMONTH(H$5,0)-'Kế hoạch định kỳ'!$W68)/'Kế hoạch định kỳ'!$X68)+1)-(H$5-1&gt;='Kế hoạch định kỳ'!$W68)*(INT((H$5-1-'Kế hoạch định kỳ'!$W68)/'Kế hoạch định kỳ'!$X68)+1))&gt;0,IF(EOMONTH(H$5,0)&lt;'Tổng quan'!$B$11,"✖","○"),"")))</f>
        <v/>
      </c>
      <c r="I68" s="24" t="str">
        <f>IF($A68="","",IF(COUNTIFS('Nhật ký bảo trì'!$D$6:$D$405,$A68,'Nhật ký bảo trì'!$Q$6:$Q$405,"Hoàn thành",'Nhật ký bảo trì'!$B$6:$B$405,"&gt;="&amp;I$5,'Nhật ký bảo trì'!$B$6:$B$405,"&lt;="&amp;EOMONTH(I$5,0))&gt;0,"✔",IF(((EOMONTH(I$5,0)&gt;='Kế hoạch định kỳ'!$W68)*(INT((EOMONTH(I$5,0)-'Kế hoạch định kỳ'!$W68)/'Kế hoạch định kỳ'!$X68)+1)-(I$5-1&gt;='Kế hoạch định kỳ'!$W68)*(INT((I$5-1-'Kế hoạch định kỳ'!$W68)/'Kế hoạch định kỳ'!$X68)+1))&gt;0,IF(EOMONTH(I$5,0)&lt;'Tổng quan'!$B$11,"✖","○"),"")))</f>
        <v/>
      </c>
      <c r="J68" s="24" t="str">
        <f>IF($A68="","",IF(COUNTIFS('Nhật ký bảo trì'!$D$6:$D$405,$A68,'Nhật ký bảo trì'!$Q$6:$Q$405,"Hoàn thành",'Nhật ký bảo trì'!$B$6:$B$405,"&gt;="&amp;J$5,'Nhật ký bảo trì'!$B$6:$B$405,"&lt;="&amp;EOMONTH(J$5,0))&gt;0,"✔",IF(((EOMONTH(J$5,0)&gt;='Kế hoạch định kỳ'!$W68)*(INT((EOMONTH(J$5,0)-'Kế hoạch định kỳ'!$W68)/'Kế hoạch định kỳ'!$X68)+1)-(J$5-1&gt;='Kế hoạch định kỳ'!$W68)*(INT((J$5-1-'Kế hoạch định kỳ'!$W68)/'Kế hoạch định kỳ'!$X68)+1))&gt;0,IF(EOMONTH(J$5,0)&lt;'Tổng quan'!$B$11,"✖","○"),"")))</f>
        <v/>
      </c>
      <c r="K68" s="24" t="str">
        <f>IF($A68="","",IF(COUNTIFS('Nhật ký bảo trì'!$D$6:$D$405,$A68,'Nhật ký bảo trì'!$Q$6:$Q$405,"Hoàn thành",'Nhật ký bảo trì'!$B$6:$B$405,"&gt;="&amp;K$5,'Nhật ký bảo trì'!$B$6:$B$405,"&lt;="&amp;EOMONTH(K$5,0))&gt;0,"✔",IF(((EOMONTH(K$5,0)&gt;='Kế hoạch định kỳ'!$W68)*(INT((EOMONTH(K$5,0)-'Kế hoạch định kỳ'!$W68)/'Kế hoạch định kỳ'!$X68)+1)-(K$5-1&gt;='Kế hoạch định kỳ'!$W68)*(INT((K$5-1-'Kế hoạch định kỳ'!$W68)/'Kế hoạch định kỳ'!$X68)+1))&gt;0,IF(EOMONTH(K$5,0)&lt;'Tổng quan'!$B$11,"✖","○"),"")))</f>
        <v/>
      </c>
      <c r="L68" s="24" t="str">
        <f>IF($A68="","",IF(COUNTIFS('Nhật ký bảo trì'!$D$6:$D$405,$A68,'Nhật ký bảo trì'!$Q$6:$Q$405,"Hoàn thành",'Nhật ký bảo trì'!$B$6:$B$405,"&gt;="&amp;L$5,'Nhật ký bảo trì'!$B$6:$B$405,"&lt;="&amp;EOMONTH(L$5,0))&gt;0,"✔",IF(((EOMONTH(L$5,0)&gt;='Kế hoạch định kỳ'!$W68)*(INT((EOMONTH(L$5,0)-'Kế hoạch định kỳ'!$W68)/'Kế hoạch định kỳ'!$X68)+1)-(L$5-1&gt;='Kế hoạch định kỳ'!$W68)*(INT((L$5-1-'Kế hoạch định kỳ'!$W68)/'Kế hoạch định kỳ'!$X68)+1))&gt;0,IF(EOMONTH(L$5,0)&lt;'Tổng quan'!$B$11,"✖","○"),"")))</f>
        <v/>
      </c>
      <c r="M68" s="24" t="str">
        <f>IF($A68="","",IF(COUNTIFS('Nhật ký bảo trì'!$D$6:$D$405,$A68,'Nhật ký bảo trì'!$Q$6:$Q$405,"Hoàn thành",'Nhật ký bảo trì'!$B$6:$B$405,"&gt;="&amp;M$5,'Nhật ký bảo trì'!$B$6:$B$405,"&lt;="&amp;EOMONTH(M$5,0))&gt;0,"✔",IF(((EOMONTH(M$5,0)&gt;='Kế hoạch định kỳ'!$W68)*(INT((EOMONTH(M$5,0)-'Kế hoạch định kỳ'!$W68)/'Kế hoạch định kỳ'!$X68)+1)-(M$5-1&gt;='Kế hoạch định kỳ'!$W68)*(INT((M$5-1-'Kế hoạch định kỳ'!$W68)/'Kế hoạch định kỳ'!$X68)+1))&gt;0,IF(EOMONTH(M$5,0)&lt;'Tổng quan'!$B$11,"✖","○"),"")))</f>
        <v/>
      </c>
      <c r="N68" s="24" t="str">
        <f>IF($A68="","",IF(COUNTIFS('Nhật ký bảo trì'!$D$6:$D$405,$A68,'Nhật ký bảo trì'!$Q$6:$Q$405,"Hoàn thành",'Nhật ký bảo trì'!$B$6:$B$405,"&gt;="&amp;N$5,'Nhật ký bảo trì'!$B$6:$B$405,"&lt;="&amp;EOMONTH(N$5,0))&gt;0,"✔",IF(((EOMONTH(N$5,0)&gt;='Kế hoạch định kỳ'!$W68)*(INT((EOMONTH(N$5,0)-'Kế hoạch định kỳ'!$W68)/'Kế hoạch định kỳ'!$X68)+1)-(N$5-1&gt;='Kế hoạch định kỳ'!$W68)*(INT((N$5-1-'Kế hoạch định kỳ'!$W68)/'Kế hoạch định kỳ'!$X68)+1))&gt;0,IF(EOMONTH(N$5,0)&lt;'Tổng quan'!$B$11,"✖","○"),"")))</f>
        <v/>
      </c>
      <c r="O68" s="24" t="str">
        <f>IF($A68="","",IF(COUNTIFS('Nhật ký bảo trì'!$D$6:$D$405,$A68,'Nhật ký bảo trì'!$Q$6:$Q$405,"Hoàn thành",'Nhật ký bảo trì'!$B$6:$B$405,"&gt;="&amp;O$5,'Nhật ký bảo trì'!$B$6:$B$405,"&lt;="&amp;EOMONTH(O$5,0))&gt;0,"✔",IF(((EOMONTH(O$5,0)&gt;='Kế hoạch định kỳ'!$W68)*(INT((EOMONTH(O$5,0)-'Kế hoạch định kỳ'!$W68)/'Kế hoạch định kỳ'!$X68)+1)-(O$5-1&gt;='Kế hoạch định kỳ'!$W68)*(INT((O$5-1-'Kế hoạch định kỳ'!$W68)/'Kế hoạch định kỳ'!$X68)+1))&gt;0,IF(EOMONTH(O$5,0)&lt;'Tổng quan'!$B$11,"✖","○"),"")))</f>
        <v/>
      </c>
      <c r="P68" s="24" t="str">
        <f>IF($A68="","",IF(COUNTIFS('Nhật ký bảo trì'!$D$6:$D$405,$A68,'Nhật ký bảo trì'!$Q$6:$Q$405,"Hoàn thành",'Nhật ký bảo trì'!$B$6:$B$405,"&gt;="&amp;P$5,'Nhật ký bảo trì'!$B$6:$B$405,"&lt;="&amp;EOMONTH(P$5,0))&gt;0,"✔",IF(((EOMONTH(P$5,0)&gt;='Kế hoạch định kỳ'!$W68)*(INT((EOMONTH(P$5,0)-'Kế hoạch định kỳ'!$W68)/'Kế hoạch định kỳ'!$X68)+1)-(P$5-1&gt;='Kế hoạch định kỳ'!$W68)*(INT((P$5-1-'Kế hoạch định kỳ'!$W68)/'Kế hoạch định kỳ'!$X68)+1))&gt;0,IF(EOMONTH(P$5,0)&lt;'Tổng quan'!$B$11,"✖","○"),"")))</f>
        <v/>
      </c>
      <c r="Q68" s="16" t="str">
        <f>IF($A68="","",COUNTIFS('Nhật ký bảo trì'!$D$6:$D$405,$A68,'Nhật ký bảo trì'!$Q$6:$Q$405,"Hoàn thành",'Nhật ký bảo trì'!$B$6:$B$405,"&gt;="&amp;DATE('Tổng quan'!$B$6,1,1),'Nhật ký bảo trì'!$B$6:$B$405,"&lt;="&amp;DATE('Tổng quan'!$B$6,12,31)))</f>
        <v/>
      </c>
      <c r="R68" s="16" t="str">
        <f t="shared" si="1"/>
        <v/>
      </c>
    </row>
    <row r="69" ht="24.0" customHeight="1">
      <c r="A69" s="26" t="str">
        <f>IF('Kế hoạch định kỳ'!$B69="","",'Kế hoạch định kỳ'!$B69)</f>
        <v/>
      </c>
      <c r="B69" s="28" t="str">
        <f>IF('Kế hoạch định kỳ'!$B69="","",'Kế hoạch định kỳ'!$D69)</f>
        <v/>
      </c>
      <c r="C69" s="56" t="str">
        <f>IF('Kế hoạch định kỳ'!$B69="","",'Kế hoạch định kỳ'!$F69)</f>
        <v/>
      </c>
      <c r="D69" s="26" t="str">
        <f>IF('Kế hoạch định kỳ'!$B69="","",IF('Kế hoạch định kỳ'!$I69&lt;&gt;"",'Kế hoạch định kỳ'!$I69&amp;" ngày",'Kế hoạch định kỳ'!$H69))</f>
        <v/>
      </c>
      <c r="E69" s="61" t="str">
        <f>IF($A69="","",IF(COUNTIFS('Nhật ký bảo trì'!$D$6:$D$405,$A69,'Nhật ký bảo trì'!$Q$6:$Q$405,"Hoàn thành",'Nhật ký bảo trì'!$B$6:$B$405,"&gt;="&amp;E$5,'Nhật ký bảo trì'!$B$6:$B$405,"&lt;="&amp;EOMONTH(E$5,0))&gt;0,"✔",IF(((EOMONTH(E$5,0)&gt;='Kế hoạch định kỳ'!$W69)*(INT((EOMONTH(E$5,0)-'Kế hoạch định kỳ'!$W69)/'Kế hoạch định kỳ'!$X69)+1)-(E$5-1&gt;='Kế hoạch định kỳ'!$W69)*(INT((E$5-1-'Kế hoạch định kỳ'!$W69)/'Kế hoạch định kỳ'!$X69)+1))&gt;0,IF(EOMONTH(E$5,0)&lt;'Tổng quan'!$B$11,"✖","○"),"")))</f>
        <v/>
      </c>
      <c r="F69" s="61" t="str">
        <f>IF($A69="","",IF(COUNTIFS('Nhật ký bảo trì'!$D$6:$D$405,$A69,'Nhật ký bảo trì'!$Q$6:$Q$405,"Hoàn thành",'Nhật ký bảo trì'!$B$6:$B$405,"&gt;="&amp;F$5,'Nhật ký bảo trì'!$B$6:$B$405,"&lt;="&amp;EOMONTH(F$5,0))&gt;0,"✔",IF(((EOMONTH(F$5,0)&gt;='Kế hoạch định kỳ'!$W69)*(INT((EOMONTH(F$5,0)-'Kế hoạch định kỳ'!$W69)/'Kế hoạch định kỳ'!$X69)+1)-(F$5-1&gt;='Kế hoạch định kỳ'!$W69)*(INT((F$5-1-'Kế hoạch định kỳ'!$W69)/'Kế hoạch định kỳ'!$X69)+1))&gt;0,IF(EOMONTH(F$5,0)&lt;'Tổng quan'!$B$11,"✖","○"),"")))</f>
        <v/>
      </c>
      <c r="G69" s="61" t="str">
        <f>IF($A69="","",IF(COUNTIFS('Nhật ký bảo trì'!$D$6:$D$405,$A69,'Nhật ký bảo trì'!$Q$6:$Q$405,"Hoàn thành",'Nhật ký bảo trì'!$B$6:$B$405,"&gt;="&amp;G$5,'Nhật ký bảo trì'!$B$6:$B$405,"&lt;="&amp;EOMONTH(G$5,0))&gt;0,"✔",IF(((EOMONTH(G$5,0)&gt;='Kế hoạch định kỳ'!$W69)*(INT((EOMONTH(G$5,0)-'Kế hoạch định kỳ'!$W69)/'Kế hoạch định kỳ'!$X69)+1)-(G$5-1&gt;='Kế hoạch định kỳ'!$W69)*(INT((G$5-1-'Kế hoạch định kỳ'!$W69)/'Kế hoạch định kỳ'!$X69)+1))&gt;0,IF(EOMONTH(G$5,0)&lt;'Tổng quan'!$B$11,"✖","○"),"")))</f>
        <v/>
      </c>
      <c r="H69" s="61" t="str">
        <f>IF($A69="","",IF(COUNTIFS('Nhật ký bảo trì'!$D$6:$D$405,$A69,'Nhật ký bảo trì'!$Q$6:$Q$405,"Hoàn thành",'Nhật ký bảo trì'!$B$6:$B$405,"&gt;="&amp;H$5,'Nhật ký bảo trì'!$B$6:$B$405,"&lt;="&amp;EOMONTH(H$5,0))&gt;0,"✔",IF(((EOMONTH(H$5,0)&gt;='Kế hoạch định kỳ'!$W69)*(INT((EOMONTH(H$5,0)-'Kế hoạch định kỳ'!$W69)/'Kế hoạch định kỳ'!$X69)+1)-(H$5-1&gt;='Kế hoạch định kỳ'!$W69)*(INT((H$5-1-'Kế hoạch định kỳ'!$W69)/'Kế hoạch định kỳ'!$X69)+1))&gt;0,IF(EOMONTH(H$5,0)&lt;'Tổng quan'!$B$11,"✖","○"),"")))</f>
        <v/>
      </c>
      <c r="I69" s="61" t="str">
        <f>IF($A69="","",IF(COUNTIFS('Nhật ký bảo trì'!$D$6:$D$405,$A69,'Nhật ký bảo trì'!$Q$6:$Q$405,"Hoàn thành",'Nhật ký bảo trì'!$B$6:$B$405,"&gt;="&amp;I$5,'Nhật ký bảo trì'!$B$6:$B$405,"&lt;="&amp;EOMONTH(I$5,0))&gt;0,"✔",IF(((EOMONTH(I$5,0)&gt;='Kế hoạch định kỳ'!$W69)*(INT((EOMONTH(I$5,0)-'Kế hoạch định kỳ'!$W69)/'Kế hoạch định kỳ'!$X69)+1)-(I$5-1&gt;='Kế hoạch định kỳ'!$W69)*(INT((I$5-1-'Kế hoạch định kỳ'!$W69)/'Kế hoạch định kỳ'!$X69)+1))&gt;0,IF(EOMONTH(I$5,0)&lt;'Tổng quan'!$B$11,"✖","○"),"")))</f>
        <v/>
      </c>
      <c r="J69" s="61" t="str">
        <f>IF($A69="","",IF(COUNTIFS('Nhật ký bảo trì'!$D$6:$D$405,$A69,'Nhật ký bảo trì'!$Q$6:$Q$405,"Hoàn thành",'Nhật ký bảo trì'!$B$6:$B$405,"&gt;="&amp;J$5,'Nhật ký bảo trì'!$B$6:$B$405,"&lt;="&amp;EOMONTH(J$5,0))&gt;0,"✔",IF(((EOMONTH(J$5,0)&gt;='Kế hoạch định kỳ'!$W69)*(INT((EOMONTH(J$5,0)-'Kế hoạch định kỳ'!$W69)/'Kế hoạch định kỳ'!$X69)+1)-(J$5-1&gt;='Kế hoạch định kỳ'!$W69)*(INT((J$5-1-'Kế hoạch định kỳ'!$W69)/'Kế hoạch định kỳ'!$X69)+1))&gt;0,IF(EOMONTH(J$5,0)&lt;'Tổng quan'!$B$11,"✖","○"),"")))</f>
        <v/>
      </c>
      <c r="K69" s="61" t="str">
        <f>IF($A69="","",IF(COUNTIFS('Nhật ký bảo trì'!$D$6:$D$405,$A69,'Nhật ký bảo trì'!$Q$6:$Q$405,"Hoàn thành",'Nhật ký bảo trì'!$B$6:$B$405,"&gt;="&amp;K$5,'Nhật ký bảo trì'!$B$6:$B$405,"&lt;="&amp;EOMONTH(K$5,0))&gt;0,"✔",IF(((EOMONTH(K$5,0)&gt;='Kế hoạch định kỳ'!$W69)*(INT((EOMONTH(K$5,0)-'Kế hoạch định kỳ'!$W69)/'Kế hoạch định kỳ'!$X69)+1)-(K$5-1&gt;='Kế hoạch định kỳ'!$W69)*(INT((K$5-1-'Kế hoạch định kỳ'!$W69)/'Kế hoạch định kỳ'!$X69)+1))&gt;0,IF(EOMONTH(K$5,0)&lt;'Tổng quan'!$B$11,"✖","○"),"")))</f>
        <v/>
      </c>
      <c r="L69" s="61" t="str">
        <f>IF($A69="","",IF(COUNTIFS('Nhật ký bảo trì'!$D$6:$D$405,$A69,'Nhật ký bảo trì'!$Q$6:$Q$405,"Hoàn thành",'Nhật ký bảo trì'!$B$6:$B$405,"&gt;="&amp;L$5,'Nhật ký bảo trì'!$B$6:$B$405,"&lt;="&amp;EOMONTH(L$5,0))&gt;0,"✔",IF(((EOMONTH(L$5,0)&gt;='Kế hoạch định kỳ'!$W69)*(INT((EOMONTH(L$5,0)-'Kế hoạch định kỳ'!$W69)/'Kế hoạch định kỳ'!$X69)+1)-(L$5-1&gt;='Kế hoạch định kỳ'!$W69)*(INT((L$5-1-'Kế hoạch định kỳ'!$W69)/'Kế hoạch định kỳ'!$X69)+1))&gt;0,IF(EOMONTH(L$5,0)&lt;'Tổng quan'!$B$11,"✖","○"),"")))</f>
        <v/>
      </c>
      <c r="M69" s="61" t="str">
        <f>IF($A69="","",IF(COUNTIFS('Nhật ký bảo trì'!$D$6:$D$405,$A69,'Nhật ký bảo trì'!$Q$6:$Q$405,"Hoàn thành",'Nhật ký bảo trì'!$B$6:$B$405,"&gt;="&amp;M$5,'Nhật ký bảo trì'!$B$6:$B$405,"&lt;="&amp;EOMONTH(M$5,0))&gt;0,"✔",IF(((EOMONTH(M$5,0)&gt;='Kế hoạch định kỳ'!$W69)*(INT((EOMONTH(M$5,0)-'Kế hoạch định kỳ'!$W69)/'Kế hoạch định kỳ'!$X69)+1)-(M$5-1&gt;='Kế hoạch định kỳ'!$W69)*(INT((M$5-1-'Kế hoạch định kỳ'!$W69)/'Kế hoạch định kỳ'!$X69)+1))&gt;0,IF(EOMONTH(M$5,0)&lt;'Tổng quan'!$B$11,"✖","○"),"")))</f>
        <v/>
      </c>
      <c r="N69" s="61" t="str">
        <f>IF($A69="","",IF(COUNTIFS('Nhật ký bảo trì'!$D$6:$D$405,$A69,'Nhật ký bảo trì'!$Q$6:$Q$405,"Hoàn thành",'Nhật ký bảo trì'!$B$6:$B$405,"&gt;="&amp;N$5,'Nhật ký bảo trì'!$B$6:$B$405,"&lt;="&amp;EOMONTH(N$5,0))&gt;0,"✔",IF(((EOMONTH(N$5,0)&gt;='Kế hoạch định kỳ'!$W69)*(INT((EOMONTH(N$5,0)-'Kế hoạch định kỳ'!$W69)/'Kế hoạch định kỳ'!$X69)+1)-(N$5-1&gt;='Kế hoạch định kỳ'!$W69)*(INT((N$5-1-'Kế hoạch định kỳ'!$W69)/'Kế hoạch định kỳ'!$X69)+1))&gt;0,IF(EOMONTH(N$5,0)&lt;'Tổng quan'!$B$11,"✖","○"),"")))</f>
        <v/>
      </c>
      <c r="O69" s="61" t="str">
        <f>IF($A69="","",IF(COUNTIFS('Nhật ký bảo trì'!$D$6:$D$405,$A69,'Nhật ký bảo trì'!$Q$6:$Q$405,"Hoàn thành",'Nhật ký bảo trì'!$B$6:$B$405,"&gt;="&amp;O$5,'Nhật ký bảo trì'!$B$6:$B$405,"&lt;="&amp;EOMONTH(O$5,0))&gt;0,"✔",IF(((EOMONTH(O$5,0)&gt;='Kế hoạch định kỳ'!$W69)*(INT((EOMONTH(O$5,0)-'Kế hoạch định kỳ'!$W69)/'Kế hoạch định kỳ'!$X69)+1)-(O$5-1&gt;='Kế hoạch định kỳ'!$W69)*(INT((O$5-1-'Kế hoạch định kỳ'!$W69)/'Kế hoạch định kỳ'!$X69)+1))&gt;0,IF(EOMONTH(O$5,0)&lt;'Tổng quan'!$B$11,"✖","○"),"")))</f>
        <v/>
      </c>
      <c r="P69" s="61" t="str">
        <f>IF($A69="","",IF(COUNTIFS('Nhật ký bảo trì'!$D$6:$D$405,$A69,'Nhật ký bảo trì'!$Q$6:$Q$405,"Hoàn thành",'Nhật ký bảo trì'!$B$6:$B$405,"&gt;="&amp;P$5,'Nhật ký bảo trì'!$B$6:$B$405,"&lt;="&amp;EOMONTH(P$5,0))&gt;0,"✔",IF(((EOMONTH(P$5,0)&gt;='Kế hoạch định kỳ'!$W69)*(INT((EOMONTH(P$5,0)-'Kế hoạch định kỳ'!$W69)/'Kế hoạch định kỳ'!$X69)+1)-(P$5-1&gt;='Kế hoạch định kỳ'!$W69)*(INT((P$5-1-'Kế hoạch định kỳ'!$W69)/'Kế hoạch định kỳ'!$X69)+1))&gt;0,IF(EOMONTH(P$5,0)&lt;'Tổng quan'!$B$11,"✖","○"),"")))</f>
        <v/>
      </c>
      <c r="Q69" s="30" t="str">
        <f>IF($A69="","",COUNTIFS('Nhật ký bảo trì'!$D$6:$D$405,$A69,'Nhật ký bảo trì'!$Q$6:$Q$405,"Hoàn thành",'Nhật ký bảo trì'!$B$6:$B$405,"&gt;="&amp;DATE('Tổng quan'!$B$6,1,1),'Nhật ký bảo trì'!$B$6:$B$405,"&lt;="&amp;DATE('Tổng quan'!$B$6,12,31)))</f>
        <v/>
      </c>
      <c r="R69" s="30" t="str">
        <f t="shared" si="1"/>
        <v/>
      </c>
    </row>
    <row r="70" ht="24.0" customHeight="1">
      <c r="A70" s="10" t="str">
        <f>IF('Kế hoạch định kỳ'!$B70="","",'Kế hoạch định kỳ'!$B70)</f>
        <v/>
      </c>
      <c r="B70" s="14" t="str">
        <f>IF('Kế hoạch định kỳ'!$B70="","",'Kế hoạch định kỳ'!$D70)</f>
        <v/>
      </c>
      <c r="C70" s="18" t="str">
        <f>IF('Kế hoạch định kỳ'!$B70="","",'Kế hoạch định kỳ'!$F70)</f>
        <v/>
      </c>
      <c r="D70" s="10" t="str">
        <f>IF('Kế hoạch định kỳ'!$B70="","",IF('Kế hoạch định kỳ'!$I70&lt;&gt;"",'Kế hoạch định kỳ'!$I70&amp;" ngày",'Kế hoạch định kỳ'!$H70))</f>
        <v/>
      </c>
      <c r="E70" s="24" t="str">
        <f>IF($A70="","",IF(COUNTIFS('Nhật ký bảo trì'!$D$6:$D$405,$A70,'Nhật ký bảo trì'!$Q$6:$Q$405,"Hoàn thành",'Nhật ký bảo trì'!$B$6:$B$405,"&gt;="&amp;E$5,'Nhật ký bảo trì'!$B$6:$B$405,"&lt;="&amp;EOMONTH(E$5,0))&gt;0,"✔",IF(((EOMONTH(E$5,0)&gt;='Kế hoạch định kỳ'!$W70)*(INT((EOMONTH(E$5,0)-'Kế hoạch định kỳ'!$W70)/'Kế hoạch định kỳ'!$X70)+1)-(E$5-1&gt;='Kế hoạch định kỳ'!$W70)*(INT((E$5-1-'Kế hoạch định kỳ'!$W70)/'Kế hoạch định kỳ'!$X70)+1))&gt;0,IF(EOMONTH(E$5,0)&lt;'Tổng quan'!$B$11,"✖","○"),"")))</f>
        <v/>
      </c>
      <c r="F70" s="24" t="str">
        <f>IF($A70="","",IF(COUNTIFS('Nhật ký bảo trì'!$D$6:$D$405,$A70,'Nhật ký bảo trì'!$Q$6:$Q$405,"Hoàn thành",'Nhật ký bảo trì'!$B$6:$B$405,"&gt;="&amp;F$5,'Nhật ký bảo trì'!$B$6:$B$405,"&lt;="&amp;EOMONTH(F$5,0))&gt;0,"✔",IF(((EOMONTH(F$5,0)&gt;='Kế hoạch định kỳ'!$W70)*(INT((EOMONTH(F$5,0)-'Kế hoạch định kỳ'!$W70)/'Kế hoạch định kỳ'!$X70)+1)-(F$5-1&gt;='Kế hoạch định kỳ'!$W70)*(INT((F$5-1-'Kế hoạch định kỳ'!$W70)/'Kế hoạch định kỳ'!$X70)+1))&gt;0,IF(EOMONTH(F$5,0)&lt;'Tổng quan'!$B$11,"✖","○"),"")))</f>
        <v/>
      </c>
      <c r="G70" s="24" t="str">
        <f>IF($A70="","",IF(COUNTIFS('Nhật ký bảo trì'!$D$6:$D$405,$A70,'Nhật ký bảo trì'!$Q$6:$Q$405,"Hoàn thành",'Nhật ký bảo trì'!$B$6:$B$405,"&gt;="&amp;G$5,'Nhật ký bảo trì'!$B$6:$B$405,"&lt;="&amp;EOMONTH(G$5,0))&gt;0,"✔",IF(((EOMONTH(G$5,0)&gt;='Kế hoạch định kỳ'!$W70)*(INT((EOMONTH(G$5,0)-'Kế hoạch định kỳ'!$W70)/'Kế hoạch định kỳ'!$X70)+1)-(G$5-1&gt;='Kế hoạch định kỳ'!$W70)*(INT((G$5-1-'Kế hoạch định kỳ'!$W70)/'Kế hoạch định kỳ'!$X70)+1))&gt;0,IF(EOMONTH(G$5,0)&lt;'Tổng quan'!$B$11,"✖","○"),"")))</f>
        <v/>
      </c>
      <c r="H70" s="24" t="str">
        <f>IF($A70="","",IF(COUNTIFS('Nhật ký bảo trì'!$D$6:$D$405,$A70,'Nhật ký bảo trì'!$Q$6:$Q$405,"Hoàn thành",'Nhật ký bảo trì'!$B$6:$B$405,"&gt;="&amp;H$5,'Nhật ký bảo trì'!$B$6:$B$405,"&lt;="&amp;EOMONTH(H$5,0))&gt;0,"✔",IF(((EOMONTH(H$5,0)&gt;='Kế hoạch định kỳ'!$W70)*(INT((EOMONTH(H$5,0)-'Kế hoạch định kỳ'!$W70)/'Kế hoạch định kỳ'!$X70)+1)-(H$5-1&gt;='Kế hoạch định kỳ'!$W70)*(INT((H$5-1-'Kế hoạch định kỳ'!$W70)/'Kế hoạch định kỳ'!$X70)+1))&gt;0,IF(EOMONTH(H$5,0)&lt;'Tổng quan'!$B$11,"✖","○"),"")))</f>
        <v/>
      </c>
      <c r="I70" s="24" t="str">
        <f>IF($A70="","",IF(COUNTIFS('Nhật ký bảo trì'!$D$6:$D$405,$A70,'Nhật ký bảo trì'!$Q$6:$Q$405,"Hoàn thành",'Nhật ký bảo trì'!$B$6:$B$405,"&gt;="&amp;I$5,'Nhật ký bảo trì'!$B$6:$B$405,"&lt;="&amp;EOMONTH(I$5,0))&gt;0,"✔",IF(((EOMONTH(I$5,0)&gt;='Kế hoạch định kỳ'!$W70)*(INT((EOMONTH(I$5,0)-'Kế hoạch định kỳ'!$W70)/'Kế hoạch định kỳ'!$X70)+1)-(I$5-1&gt;='Kế hoạch định kỳ'!$W70)*(INT((I$5-1-'Kế hoạch định kỳ'!$W70)/'Kế hoạch định kỳ'!$X70)+1))&gt;0,IF(EOMONTH(I$5,0)&lt;'Tổng quan'!$B$11,"✖","○"),"")))</f>
        <v/>
      </c>
      <c r="J70" s="24" t="str">
        <f>IF($A70="","",IF(COUNTIFS('Nhật ký bảo trì'!$D$6:$D$405,$A70,'Nhật ký bảo trì'!$Q$6:$Q$405,"Hoàn thành",'Nhật ký bảo trì'!$B$6:$B$405,"&gt;="&amp;J$5,'Nhật ký bảo trì'!$B$6:$B$405,"&lt;="&amp;EOMONTH(J$5,0))&gt;0,"✔",IF(((EOMONTH(J$5,0)&gt;='Kế hoạch định kỳ'!$W70)*(INT((EOMONTH(J$5,0)-'Kế hoạch định kỳ'!$W70)/'Kế hoạch định kỳ'!$X70)+1)-(J$5-1&gt;='Kế hoạch định kỳ'!$W70)*(INT((J$5-1-'Kế hoạch định kỳ'!$W70)/'Kế hoạch định kỳ'!$X70)+1))&gt;0,IF(EOMONTH(J$5,0)&lt;'Tổng quan'!$B$11,"✖","○"),"")))</f>
        <v/>
      </c>
      <c r="K70" s="24" t="str">
        <f>IF($A70="","",IF(COUNTIFS('Nhật ký bảo trì'!$D$6:$D$405,$A70,'Nhật ký bảo trì'!$Q$6:$Q$405,"Hoàn thành",'Nhật ký bảo trì'!$B$6:$B$405,"&gt;="&amp;K$5,'Nhật ký bảo trì'!$B$6:$B$405,"&lt;="&amp;EOMONTH(K$5,0))&gt;0,"✔",IF(((EOMONTH(K$5,0)&gt;='Kế hoạch định kỳ'!$W70)*(INT((EOMONTH(K$5,0)-'Kế hoạch định kỳ'!$W70)/'Kế hoạch định kỳ'!$X70)+1)-(K$5-1&gt;='Kế hoạch định kỳ'!$W70)*(INT((K$5-1-'Kế hoạch định kỳ'!$W70)/'Kế hoạch định kỳ'!$X70)+1))&gt;0,IF(EOMONTH(K$5,0)&lt;'Tổng quan'!$B$11,"✖","○"),"")))</f>
        <v/>
      </c>
      <c r="L70" s="24" t="str">
        <f>IF($A70="","",IF(COUNTIFS('Nhật ký bảo trì'!$D$6:$D$405,$A70,'Nhật ký bảo trì'!$Q$6:$Q$405,"Hoàn thành",'Nhật ký bảo trì'!$B$6:$B$405,"&gt;="&amp;L$5,'Nhật ký bảo trì'!$B$6:$B$405,"&lt;="&amp;EOMONTH(L$5,0))&gt;0,"✔",IF(((EOMONTH(L$5,0)&gt;='Kế hoạch định kỳ'!$W70)*(INT((EOMONTH(L$5,0)-'Kế hoạch định kỳ'!$W70)/'Kế hoạch định kỳ'!$X70)+1)-(L$5-1&gt;='Kế hoạch định kỳ'!$W70)*(INT((L$5-1-'Kế hoạch định kỳ'!$W70)/'Kế hoạch định kỳ'!$X70)+1))&gt;0,IF(EOMONTH(L$5,0)&lt;'Tổng quan'!$B$11,"✖","○"),"")))</f>
        <v/>
      </c>
      <c r="M70" s="24" t="str">
        <f>IF($A70="","",IF(COUNTIFS('Nhật ký bảo trì'!$D$6:$D$405,$A70,'Nhật ký bảo trì'!$Q$6:$Q$405,"Hoàn thành",'Nhật ký bảo trì'!$B$6:$B$405,"&gt;="&amp;M$5,'Nhật ký bảo trì'!$B$6:$B$405,"&lt;="&amp;EOMONTH(M$5,0))&gt;0,"✔",IF(((EOMONTH(M$5,0)&gt;='Kế hoạch định kỳ'!$W70)*(INT((EOMONTH(M$5,0)-'Kế hoạch định kỳ'!$W70)/'Kế hoạch định kỳ'!$X70)+1)-(M$5-1&gt;='Kế hoạch định kỳ'!$W70)*(INT((M$5-1-'Kế hoạch định kỳ'!$W70)/'Kế hoạch định kỳ'!$X70)+1))&gt;0,IF(EOMONTH(M$5,0)&lt;'Tổng quan'!$B$11,"✖","○"),"")))</f>
        <v/>
      </c>
      <c r="N70" s="24" t="str">
        <f>IF($A70="","",IF(COUNTIFS('Nhật ký bảo trì'!$D$6:$D$405,$A70,'Nhật ký bảo trì'!$Q$6:$Q$405,"Hoàn thành",'Nhật ký bảo trì'!$B$6:$B$405,"&gt;="&amp;N$5,'Nhật ký bảo trì'!$B$6:$B$405,"&lt;="&amp;EOMONTH(N$5,0))&gt;0,"✔",IF(((EOMONTH(N$5,0)&gt;='Kế hoạch định kỳ'!$W70)*(INT((EOMONTH(N$5,0)-'Kế hoạch định kỳ'!$W70)/'Kế hoạch định kỳ'!$X70)+1)-(N$5-1&gt;='Kế hoạch định kỳ'!$W70)*(INT((N$5-1-'Kế hoạch định kỳ'!$W70)/'Kế hoạch định kỳ'!$X70)+1))&gt;0,IF(EOMONTH(N$5,0)&lt;'Tổng quan'!$B$11,"✖","○"),"")))</f>
        <v/>
      </c>
      <c r="O70" s="24" t="str">
        <f>IF($A70="","",IF(COUNTIFS('Nhật ký bảo trì'!$D$6:$D$405,$A70,'Nhật ký bảo trì'!$Q$6:$Q$405,"Hoàn thành",'Nhật ký bảo trì'!$B$6:$B$405,"&gt;="&amp;O$5,'Nhật ký bảo trì'!$B$6:$B$405,"&lt;="&amp;EOMONTH(O$5,0))&gt;0,"✔",IF(((EOMONTH(O$5,0)&gt;='Kế hoạch định kỳ'!$W70)*(INT((EOMONTH(O$5,0)-'Kế hoạch định kỳ'!$W70)/'Kế hoạch định kỳ'!$X70)+1)-(O$5-1&gt;='Kế hoạch định kỳ'!$W70)*(INT((O$5-1-'Kế hoạch định kỳ'!$W70)/'Kế hoạch định kỳ'!$X70)+1))&gt;0,IF(EOMONTH(O$5,0)&lt;'Tổng quan'!$B$11,"✖","○"),"")))</f>
        <v/>
      </c>
      <c r="P70" s="24" t="str">
        <f>IF($A70="","",IF(COUNTIFS('Nhật ký bảo trì'!$D$6:$D$405,$A70,'Nhật ký bảo trì'!$Q$6:$Q$405,"Hoàn thành",'Nhật ký bảo trì'!$B$6:$B$405,"&gt;="&amp;P$5,'Nhật ký bảo trì'!$B$6:$B$405,"&lt;="&amp;EOMONTH(P$5,0))&gt;0,"✔",IF(((EOMONTH(P$5,0)&gt;='Kế hoạch định kỳ'!$W70)*(INT((EOMONTH(P$5,0)-'Kế hoạch định kỳ'!$W70)/'Kế hoạch định kỳ'!$X70)+1)-(P$5-1&gt;='Kế hoạch định kỳ'!$W70)*(INT((P$5-1-'Kế hoạch định kỳ'!$W70)/'Kế hoạch định kỳ'!$X70)+1))&gt;0,IF(EOMONTH(P$5,0)&lt;'Tổng quan'!$B$11,"✖","○"),"")))</f>
        <v/>
      </c>
      <c r="Q70" s="16" t="str">
        <f>IF($A70="","",COUNTIFS('Nhật ký bảo trì'!$D$6:$D$405,$A70,'Nhật ký bảo trì'!$Q$6:$Q$405,"Hoàn thành",'Nhật ký bảo trì'!$B$6:$B$405,"&gt;="&amp;DATE('Tổng quan'!$B$6,1,1),'Nhật ký bảo trì'!$B$6:$B$405,"&lt;="&amp;DATE('Tổng quan'!$B$6,12,31)))</f>
        <v/>
      </c>
      <c r="R70" s="16" t="str">
        <f t="shared" si="1"/>
        <v/>
      </c>
    </row>
    <row r="71" ht="24.0" customHeight="1">
      <c r="A71" s="26" t="str">
        <f>IF('Kế hoạch định kỳ'!$B71="","",'Kế hoạch định kỳ'!$B71)</f>
        <v/>
      </c>
      <c r="B71" s="28" t="str">
        <f>IF('Kế hoạch định kỳ'!$B71="","",'Kế hoạch định kỳ'!$D71)</f>
        <v/>
      </c>
      <c r="C71" s="56" t="str">
        <f>IF('Kế hoạch định kỳ'!$B71="","",'Kế hoạch định kỳ'!$F71)</f>
        <v/>
      </c>
      <c r="D71" s="26" t="str">
        <f>IF('Kế hoạch định kỳ'!$B71="","",IF('Kế hoạch định kỳ'!$I71&lt;&gt;"",'Kế hoạch định kỳ'!$I71&amp;" ngày",'Kế hoạch định kỳ'!$H71))</f>
        <v/>
      </c>
      <c r="E71" s="61" t="str">
        <f>IF($A71="","",IF(COUNTIFS('Nhật ký bảo trì'!$D$6:$D$405,$A71,'Nhật ký bảo trì'!$Q$6:$Q$405,"Hoàn thành",'Nhật ký bảo trì'!$B$6:$B$405,"&gt;="&amp;E$5,'Nhật ký bảo trì'!$B$6:$B$405,"&lt;="&amp;EOMONTH(E$5,0))&gt;0,"✔",IF(((EOMONTH(E$5,0)&gt;='Kế hoạch định kỳ'!$W71)*(INT((EOMONTH(E$5,0)-'Kế hoạch định kỳ'!$W71)/'Kế hoạch định kỳ'!$X71)+1)-(E$5-1&gt;='Kế hoạch định kỳ'!$W71)*(INT((E$5-1-'Kế hoạch định kỳ'!$W71)/'Kế hoạch định kỳ'!$X71)+1))&gt;0,IF(EOMONTH(E$5,0)&lt;'Tổng quan'!$B$11,"✖","○"),"")))</f>
        <v/>
      </c>
      <c r="F71" s="61" t="str">
        <f>IF($A71="","",IF(COUNTIFS('Nhật ký bảo trì'!$D$6:$D$405,$A71,'Nhật ký bảo trì'!$Q$6:$Q$405,"Hoàn thành",'Nhật ký bảo trì'!$B$6:$B$405,"&gt;="&amp;F$5,'Nhật ký bảo trì'!$B$6:$B$405,"&lt;="&amp;EOMONTH(F$5,0))&gt;0,"✔",IF(((EOMONTH(F$5,0)&gt;='Kế hoạch định kỳ'!$W71)*(INT((EOMONTH(F$5,0)-'Kế hoạch định kỳ'!$W71)/'Kế hoạch định kỳ'!$X71)+1)-(F$5-1&gt;='Kế hoạch định kỳ'!$W71)*(INT((F$5-1-'Kế hoạch định kỳ'!$W71)/'Kế hoạch định kỳ'!$X71)+1))&gt;0,IF(EOMONTH(F$5,0)&lt;'Tổng quan'!$B$11,"✖","○"),"")))</f>
        <v/>
      </c>
      <c r="G71" s="61" t="str">
        <f>IF($A71="","",IF(COUNTIFS('Nhật ký bảo trì'!$D$6:$D$405,$A71,'Nhật ký bảo trì'!$Q$6:$Q$405,"Hoàn thành",'Nhật ký bảo trì'!$B$6:$B$405,"&gt;="&amp;G$5,'Nhật ký bảo trì'!$B$6:$B$405,"&lt;="&amp;EOMONTH(G$5,0))&gt;0,"✔",IF(((EOMONTH(G$5,0)&gt;='Kế hoạch định kỳ'!$W71)*(INT((EOMONTH(G$5,0)-'Kế hoạch định kỳ'!$W71)/'Kế hoạch định kỳ'!$X71)+1)-(G$5-1&gt;='Kế hoạch định kỳ'!$W71)*(INT((G$5-1-'Kế hoạch định kỳ'!$W71)/'Kế hoạch định kỳ'!$X71)+1))&gt;0,IF(EOMONTH(G$5,0)&lt;'Tổng quan'!$B$11,"✖","○"),"")))</f>
        <v/>
      </c>
      <c r="H71" s="61" t="str">
        <f>IF($A71="","",IF(COUNTIFS('Nhật ký bảo trì'!$D$6:$D$405,$A71,'Nhật ký bảo trì'!$Q$6:$Q$405,"Hoàn thành",'Nhật ký bảo trì'!$B$6:$B$405,"&gt;="&amp;H$5,'Nhật ký bảo trì'!$B$6:$B$405,"&lt;="&amp;EOMONTH(H$5,0))&gt;0,"✔",IF(((EOMONTH(H$5,0)&gt;='Kế hoạch định kỳ'!$W71)*(INT((EOMONTH(H$5,0)-'Kế hoạch định kỳ'!$W71)/'Kế hoạch định kỳ'!$X71)+1)-(H$5-1&gt;='Kế hoạch định kỳ'!$W71)*(INT((H$5-1-'Kế hoạch định kỳ'!$W71)/'Kế hoạch định kỳ'!$X71)+1))&gt;0,IF(EOMONTH(H$5,0)&lt;'Tổng quan'!$B$11,"✖","○"),"")))</f>
        <v/>
      </c>
      <c r="I71" s="61" t="str">
        <f>IF($A71="","",IF(COUNTIFS('Nhật ký bảo trì'!$D$6:$D$405,$A71,'Nhật ký bảo trì'!$Q$6:$Q$405,"Hoàn thành",'Nhật ký bảo trì'!$B$6:$B$405,"&gt;="&amp;I$5,'Nhật ký bảo trì'!$B$6:$B$405,"&lt;="&amp;EOMONTH(I$5,0))&gt;0,"✔",IF(((EOMONTH(I$5,0)&gt;='Kế hoạch định kỳ'!$W71)*(INT((EOMONTH(I$5,0)-'Kế hoạch định kỳ'!$W71)/'Kế hoạch định kỳ'!$X71)+1)-(I$5-1&gt;='Kế hoạch định kỳ'!$W71)*(INT((I$5-1-'Kế hoạch định kỳ'!$W71)/'Kế hoạch định kỳ'!$X71)+1))&gt;0,IF(EOMONTH(I$5,0)&lt;'Tổng quan'!$B$11,"✖","○"),"")))</f>
        <v/>
      </c>
      <c r="J71" s="61" t="str">
        <f>IF($A71="","",IF(COUNTIFS('Nhật ký bảo trì'!$D$6:$D$405,$A71,'Nhật ký bảo trì'!$Q$6:$Q$405,"Hoàn thành",'Nhật ký bảo trì'!$B$6:$B$405,"&gt;="&amp;J$5,'Nhật ký bảo trì'!$B$6:$B$405,"&lt;="&amp;EOMONTH(J$5,0))&gt;0,"✔",IF(((EOMONTH(J$5,0)&gt;='Kế hoạch định kỳ'!$W71)*(INT((EOMONTH(J$5,0)-'Kế hoạch định kỳ'!$W71)/'Kế hoạch định kỳ'!$X71)+1)-(J$5-1&gt;='Kế hoạch định kỳ'!$W71)*(INT((J$5-1-'Kế hoạch định kỳ'!$W71)/'Kế hoạch định kỳ'!$X71)+1))&gt;0,IF(EOMONTH(J$5,0)&lt;'Tổng quan'!$B$11,"✖","○"),"")))</f>
        <v/>
      </c>
      <c r="K71" s="61" t="str">
        <f>IF($A71="","",IF(COUNTIFS('Nhật ký bảo trì'!$D$6:$D$405,$A71,'Nhật ký bảo trì'!$Q$6:$Q$405,"Hoàn thành",'Nhật ký bảo trì'!$B$6:$B$405,"&gt;="&amp;K$5,'Nhật ký bảo trì'!$B$6:$B$405,"&lt;="&amp;EOMONTH(K$5,0))&gt;0,"✔",IF(((EOMONTH(K$5,0)&gt;='Kế hoạch định kỳ'!$W71)*(INT((EOMONTH(K$5,0)-'Kế hoạch định kỳ'!$W71)/'Kế hoạch định kỳ'!$X71)+1)-(K$5-1&gt;='Kế hoạch định kỳ'!$W71)*(INT((K$5-1-'Kế hoạch định kỳ'!$W71)/'Kế hoạch định kỳ'!$X71)+1))&gt;0,IF(EOMONTH(K$5,0)&lt;'Tổng quan'!$B$11,"✖","○"),"")))</f>
        <v/>
      </c>
      <c r="L71" s="61" t="str">
        <f>IF($A71="","",IF(COUNTIFS('Nhật ký bảo trì'!$D$6:$D$405,$A71,'Nhật ký bảo trì'!$Q$6:$Q$405,"Hoàn thành",'Nhật ký bảo trì'!$B$6:$B$405,"&gt;="&amp;L$5,'Nhật ký bảo trì'!$B$6:$B$405,"&lt;="&amp;EOMONTH(L$5,0))&gt;0,"✔",IF(((EOMONTH(L$5,0)&gt;='Kế hoạch định kỳ'!$W71)*(INT((EOMONTH(L$5,0)-'Kế hoạch định kỳ'!$W71)/'Kế hoạch định kỳ'!$X71)+1)-(L$5-1&gt;='Kế hoạch định kỳ'!$W71)*(INT((L$5-1-'Kế hoạch định kỳ'!$W71)/'Kế hoạch định kỳ'!$X71)+1))&gt;0,IF(EOMONTH(L$5,0)&lt;'Tổng quan'!$B$11,"✖","○"),"")))</f>
        <v/>
      </c>
      <c r="M71" s="61" t="str">
        <f>IF($A71="","",IF(COUNTIFS('Nhật ký bảo trì'!$D$6:$D$405,$A71,'Nhật ký bảo trì'!$Q$6:$Q$405,"Hoàn thành",'Nhật ký bảo trì'!$B$6:$B$405,"&gt;="&amp;M$5,'Nhật ký bảo trì'!$B$6:$B$405,"&lt;="&amp;EOMONTH(M$5,0))&gt;0,"✔",IF(((EOMONTH(M$5,0)&gt;='Kế hoạch định kỳ'!$W71)*(INT((EOMONTH(M$5,0)-'Kế hoạch định kỳ'!$W71)/'Kế hoạch định kỳ'!$X71)+1)-(M$5-1&gt;='Kế hoạch định kỳ'!$W71)*(INT((M$5-1-'Kế hoạch định kỳ'!$W71)/'Kế hoạch định kỳ'!$X71)+1))&gt;0,IF(EOMONTH(M$5,0)&lt;'Tổng quan'!$B$11,"✖","○"),"")))</f>
        <v/>
      </c>
      <c r="N71" s="61" t="str">
        <f>IF($A71="","",IF(COUNTIFS('Nhật ký bảo trì'!$D$6:$D$405,$A71,'Nhật ký bảo trì'!$Q$6:$Q$405,"Hoàn thành",'Nhật ký bảo trì'!$B$6:$B$405,"&gt;="&amp;N$5,'Nhật ký bảo trì'!$B$6:$B$405,"&lt;="&amp;EOMONTH(N$5,0))&gt;0,"✔",IF(((EOMONTH(N$5,0)&gt;='Kế hoạch định kỳ'!$W71)*(INT((EOMONTH(N$5,0)-'Kế hoạch định kỳ'!$W71)/'Kế hoạch định kỳ'!$X71)+1)-(N$5-1&gt;='Kế hoạch định kỳ'!$W71)*(INT((N$5-1-'Kế hoạch định kỳ'!$W71)/'Kế hoạch định kỳ'!$X71)+1))&gt;0,IF(EOMONTH(N$5,0)&lt;'Tổng quan'!$B$11,"✖","○"),"")))</f>
        <v/>
      </c>
      <c r="O71" s="61" t="str">
        <f>IF($A71="","",IF(COUNTIFS('Nhật ký bảo trì'!$D$6:$D$405,$A71,'Nhật ký bảo trì'!$Q$6:$Q$405,"Hoàn thành",'Nhật ký bảo trì'!$B$6:$B$405,"&gt;="&amp;O$5,'Nhật ký bảo trì'!$B$6:$B$405,"&lt;="&amp;EOMONTH(O$5,0))&gt;0,"✔",IF(((EOMONTH(O$5,0)&gt;='Kế hoạch định kỳ'!$W71)*(INT((EOMONTH(O$5,0)-'Kế hoạch định kỳ'!$W71)/'Kế hoạch định kỳ'!$X71)+1)-(O$5-1&gt;='Kế hoạch định kỳ'!$W71)*(INT((O$5-1-'Kế hoạch định kỳ'!$W71)/'Kế hoạch định kỳ'!$X71)+1))&gt;0,IF(EOMONTH(O$5,0)&lt;'Tổng quan'!$B$11,"✖","○"),"")))</f>
        <v/>
      </c>
      <c r="P71" s="61" t="str">
        <f>IF($A71="","",IF(COUNTIFS('Nhật ký bảo trì'!$D$6:$D$405,$A71,'Nhật ký bảo trì'!$Q$6:$Q$405,"Hoàn thành",'Nhật ký bảo trì'!$B$6:$B$405,"&gt;="&amp;P$5,'Nhật ký bảo trì'!$B$6:$B$405,"&lt;="&amp;EOMONTH(P$5,0))&gt;0,"✔",IF(((EOMONTH(P$5,0)&gt;='Kế hoạch định kỳ'!$W71)*(INT((EOMONTH(P$5,0)-'Kế hoạch định kỳ'!$W71)/'Kế hoạch định kỳ'!$X71)+1)-(P$5-1&gt;='Kế hoạch định kỳ'!$W71)*(INT((P$5-1-'Kế hoạch định kỳ'!$W71)/'Kế hoạch định kỳ'!$X71)+1))&gt;0,IF(EOMONTH(P$5,0)&lt;'Tổng quan'!$B$11,"✖","○"),"")))</f>
        <v/>
      </c>
      <c r="Q71" s="30" t="str">
        <f>IF($A71="","",COUNTIFS('Nhật ký bảo trì'!$D$6:$D$405,$A71,'Nhật ký bảo trì'!$Q$6:$Q$405,"Hoàn thành",'Nhật ký bảo trì'!$B$6:$B$405,"&gt;="&amp;DATE('Tổng quan'!$B$6,1,1),'Nhật ký bảo trì'!$B$6:$B$405,"&lt;="&amp;DATE('Tổng quan'!$B$6,12,31)))</f>
        <v/>
      </c>
      <c r="R71" s="30" t="str">
        <f t="shared" si="1"/>
        <v/>
      </c>
    </row>
    <row r="72" ht="24.0" customHeight="1">
      <c r="A72" s="10" t="str">
        <f>IF('Kế hoạch định kỳ'!$B72="","",'Kế hoạch định kỳ'!$B72)</f>
        <v/>
      </c>
      <c r="B72" s="14" t="str">
        <f>IF('Kế hoạch định kỳ'!$B72="","",'Kế hoạch định kỳ'!$D72)</f>
        <v/>
      </c>
      <c r="C72" s="18" t="str">
        <f>IF('Kế hoạch định kỳ'!$B72="","",'Kế hoạch định kỳ'!$F72)</f>
        <v/>
      </c>
      <c r="D72" s="10" t="str">
        <f>IF('Kế hoạch định kỳ'!$B72="","",IF('Kế hoạch định kỳ'!$I72&lt;&gt;"",'Kế hoạch định kỳ'!$I72&amp;" ngày",'Kế hoạch định kỳ'!$H72))</f>
        <v/>
      </c>
      <c r="E72" s="24" t="str">
        <f>IF($A72="","",IF(COUNTIFS('Nhật ký bảo trì'!$D$6:$D$405,$A72,'Nhật ký bảo trì'!$Q$6:$Q$405,"Hoàn thành",'Nhật ký bảo trì'!$B$6:$B$405,"&gt;="&amp;E$5,'Nhật ký bảo trì'!$B$6:$B$405,"&lt;="&amp;EOMONTH(E$5,0))&gt;0,"✔",IF(((EOMONTH(E$5,0)&gt;='Kế hoạch định kỳ'!$W72)*(INT((EOMONTH(E$5,0)-'Kế hoạch định kỳ'!$W72)/'Kế hoạch định kỳ'!$X72)+1)-(E$5-1&gt;='Kế hoạch định kỳ'!$W72)*(INT((E$5-1-'Kế hoạch định kỳ'!$W72)/'Kế hoạch định kỳ'!$X72)+1))&gt;0,IF(EOMONTH(E$5,0)&lt;'Tổng quan'!$B$11,"✖","○"),"")))</f>
        <v/>
      </c>
      <c r="F72" s="24" t="str">
        <f>IF($A72="","",IF(COUNTIFS('Nhật ký bảo trì'!$D$6:$D$405,$A72,'Nhật ký bảo trì'!$Q$6:$Q$405,"Hoàn thành",'Nhật ký bảo trì'!$B$6:$B$405,"&gt;="&amp;F$5,'Nhật ký bảo trì'!$B$6:$B$405,"&lt;="&amp;EOMONTH(F$5,0))&gt;0,"✔",IF(((EOMONTH(F$5,0)&gt;='Kế hoạch định kỳ'!$W72)*(INT((EOMONTH(F$5,0)-'Kế hoạch định kỳ'!$W72)/'Kế hoạch định kỳ'!$X72)+1)-(F$5-1&gt;='Kế hoạch định kỳ'!$W72)*(INT((F$5-1-'Kế hoạch định kỳ'!$W72)/'Kế hoạch định kỳ'!$X72)+1))&gt;0,IF(EOMONTH(F$5,0)&lt;'Tổng quan'!$B$11,"✖","○"),"")))</f>
        <v/>
      </c>
      <c r="G72" s="24" t="str">
        <f>IF($A72="","",IF(COUNTIFS('Nhật ký bảo trì'!$D$6:$D$405,$A72,'Nhật ký bảo trì'!$Q$6:$Q$405,"Hoàn thành",'Nhật ký bảo trì'!$B$6:$B$405,"&gt;="&amp;G$5,'Nhật ký bảo trì'!$B$6:$B$405,"&lt;="&amp;EOMONTH(G$5,0))&gt;0,"✔",IF(((EOMONTH(G$5,0)&gt;='Kế hoạch định kỳ'!$W72)*(INT((EOMONTH(G$5,0)-'Kế hoạch định kỳ'!$W72)/'Kế hoạch định kỳ'!$X72)+1)-(G$5-1&gt;='Kế hoạch định kỳ'!$W72)*(INT((G$5-1-'Kế hoạch định kỳ'!$W72)/'Kế hoạch định kỳ'!$X72)+1))&gt;0,IF(EOMONTH(G$5,0)&lt;'Tổng quan'!$B$11,"✖","○"),"")))</f>
        <v/>
      </c>
      <c r="H72" s="24" t="str">
        <f>IF($A72="","",IF(COUNTIFS('Nhật ký bảo trì'!$D$6:$D$405,$A72,'Nhật ký bảo trì'!$Q$6:$Q$405,"Hoàn thành",'Nhật ký bảo trì'!$B$6:$B$405,"&gt;="&amp;H$5,'Nhật ký bảo trì'!$B$6:$B$405,"&lt;="&amp;EOMONTH(H$5,0))&gt;0,"✔",IF(((EOMONTH(H$5,0)&gt;='Kế hoạch định kỳ'!$W72)*(INT((EOMONTH(H$5,0)-'Kế hoạch định kỳ'!$W72)/'Kế hoạch định kỳ'!$X72)+1)-(H$5-1&gt;='Kế hoạch định kỳ'!$W72)*(INT((H$5-1-'Kế hoạch định kỳ'!$W72)/'Kế hoạch định kỳ'!$X72)+1))&gt;0,IF(EOMONTH(H$5,0)&lt;'Tổng quan'!$B$11,"✖","○"),"")))</f>
        <v/>
      </c>
      <c r="I72" s="24" t="str">
        <f>IF($A72="","",IF(COUNTIFS('Nhật ký bảo trì'!$D$6:$D$405,$A72,'Nhật ký bảo trì'!$Q$6:$Q$405,"Hoàn thành",'Nhật ký bảo trì'!$B$6:$B$405,"&gt;="&amp;I$5,'Nhật ký bảo trì'!$B$6:$B$405,"&lt;="&amp;EOMONTH(I$5,0))&gt;0,"✔",IF(((EOMONTH(I$5,0)&gt;='Kế hoạch định kỳ'!$W72)*(INT((EOMONTH(I$5,0)-'Kế hoạch định kỳ'!$W72)/'Kế hoạch định kỳ'!$X72)+1)-(I$5-1&gt;='Kế hoạch định kỳ'!$W72)*(INT((I$5-1-'Kế hoạch định kỳ'!$W72)/'Kế hoạch định kỳ'!$X72)+1))&gt;0,IF(EOMONTH(I$5,0)&lt;'Tổng quan'!$B$11,"✖","○"),"")))</f>
        <v/>
      </c>
      <c r="J72" s="24" t="str">
        <f>IF($A72="","",IF(COUNTIFS('Nhật ký bảo trì'!$D$6:$D$405,$A72,'Nhật ký bảo trì'!$Q$6:$Q$405,"Hoàn thành",'Nhật ký bảo trì'!$B$6:$B$405,"&gt;="&amp;J$5,'Nhật ký bảo trì'!$B$6:$B$405,"&lt;="&amp;EOMONTH(J$5,0))&gt;0,"✔",IF(((EOMONTH(J$5,0)&gt;='Kế hoạch định kỳ'!$W72)*(INT((EOMONTH(J$5,0)-'Kế hoạch định kỳ'!$W72)/'Kế hoạch định kỳ'!$X72)+1)-(J$5-1&gt;='Kế hoạch định kỳ'!$W72)*(INT((J$5-1-'Kế hoạch định kỳ'!$W72)/'Kế hoạch định kỳ'!$X72)+1))&gt;0,IF(EOMONTH(J$5,0)&lt;'Tổng quan'!$B$11,"✖","○"),"")))</f>
        <v/>
      </c>
      <c r="K72" s="24" t="str">
        <f>IF($A72="","",IF(COUNTIFS('Nhật ký bảo trì'!$D$6:$D$405,$A72,'Nhật ký bảo trì'!$Q$6:$Q$405,"Hoàn thành",'Nhật ký bảo trì'!$B$6:$B$405,"&gt;="&amp;K$5,'Nhật ký bảo trì'!$B$6:$B$405,"&lt;="&amp;EOMONTH(K$5,0))&gt;0,"✔",IF(((EOMONTH(K$5,0)&gt;='Kế hoạch định kỳ'!$W72)*(INT((EOMONTH(K$5,0)-'Kế hoạch định kỳ'!$W72)/'Kế hoạch định kỳ'!$X72)+1)-(K$5-1&gt;='Kế hoạch định kỳ'!$W72)*(INT((K$5-1-'Kế hoạch định kỳ'!$W72)/'Kế hoạch định kỳ'!$X72)+1))&gt;0,IF(EOMONTH(K$5,0)&lt;'Tổng quan'!$B$11,"✖","○"),"")))</f>
        <v/>
      </c>
      <c r="L72" s="24" t="str">
        <f>IF($A72="","",IF(COUNTIFS('Nhật ký bảo trì'!$D$6:$D$405,$A72,'Nhật ký bảo trì'!$Q$6:$Q$405,"Hoàn thành",'Nhật ký bảo trì'!$B$6:$B$405,"&gt;="&amp;L$5,'Nhật ký bảo trì'!$B$6:$B$405,"&lt;="&amp;EOMONTH(L$5,0))&gt;0,"✔",IF(((EOMONTH(L$5,0)&gt;='Kế hoạch định kỳ'!$W72)*(INT((EOMONTH(L$5,0)-'Kế hoạch định kỳ'!$W72)/'Kế hoạch định kỳ'!$X72)+1)-(L$5-1&gt;='Kế hoạch định kỳ'!$W72)*(INT((L$5-1-'Kế hoạch định kỳ'!$W72)/'Kế hoạch định kỳ'!$X72)+1))&gt;0,IF(EOMONTH(L$5,0)&lt;'Tổng quan'!$B$11,"✖","○"),"")))</f>
        <v/>
      </c>
      <c r="M72" s="24" t="str">
        <f>IF($A72="","",IF(COUNTIFS('Nhật ký bảo trì'!$D$6:$D$405,$A72,'Nhật ký bảo trì'!$Q$6:$Q$405,"Hoàn thành",'Nhật ký bảo trì'!$B$6:$B$405,"&gt;="&amp;M$5,'Nhật ký bảo trì'!$B$6:$B$405,"&lt;="&amp;EOMONTH(M$5,0))&gt;0,"✔",IF(((EOMONTH(M$5,0)&gt;='Kế hoạch định kỳ'!$W72)*(INT((EOMONTH(M$5,0)-'Kế hoạch định kỳ'!$W72)/'Kế hoạch định kỳ'!$X72)+1)-(M$5-1&gt;='Kế hoạch định kỳ'!$W72)*(INT((M$5-1-'Kế hoạch định kỳ'!$W72)/'Kế hoạch định kỳ'!$X72)+1))&gt;0,IF(EOMONTH(M$5,0)&lt;'Tổng quan'!$B$11,"✖","○"),"")))</f>
        <v/>
      </c>
      <c r="N72" s="24" t="str">
        <f>IF($A72="","",IF(COUNTIFS('Nhật ký bảo trì'!$D$6:$D$405,$A72,'Nhật ký bảo trì'!$Q$6:$Q$405,"Hoàn thành",'Nhật ký bảo trì'!$B$6:$B$405,"&gt;="&amp;N$5,'Nhật ký bảo trì'!$B$6:$B$405,"&lt;="&amp;EOMONTH(N$5,0))&gt;0,"✔",IF(((EOMONTH(N$5,0)&gt;='Kế hoạch định kỳ'!$W72)*(INT((EOMONTH(N$5,0)-'Kế hoạch định kỳ'!$W72)/'Kế hoạch định kỳ'!$X72)+1)-(N$5-1&gt;='Kế hoạch định kỳ'!$W72)*(INT((N$5-1-'Kế hoạch định kỳ'!$W72)/'Kế hoạch định kỳ'!$X72)+1))&gt;0,IF(EOMONTH(N$5,0)&lt;'Tổng quan'!$B$11,"✖","○"),"")))</f>
        <v/>
      </c>
      <c r="O72" s="24" t="str">
        <f>IF($A72="","",IF(COUNTIFS('Nhật ký bảo trì'!$D$6:$D$405,$A72,'Nhật ký bảo trì'!$Q$6:$Q$405,"Hoàn thành",'Nhật ký bảo trì'!$B$6:$B$405,"&gt;="&amp;O$5,'Nhật ký bảo trì'!$B$6:$B$405,"&lt;="&amp;EOMONTH(O$5,0))&gt;0,"✔",IF(((EOMONTH(O$5,0)&gt;='Kế hoạch định kỳ'!$W72)*(INT((EOMONTH(O$5,0)-'Kế hoạch định kỳ'!$W72)/'Kế hoạch định kỳ'!$X72)+1)-(O$5-1&gt;='Kế hoạch định kỳ'!$W72)*(INT((O$5-1-'Kế hoạch định kỳ'!$W72)/'Kế hoạch định kỳ'!$X72)+1))&gt;0,IF(EOMONTH(O$5,0)&lt;'Tổng quan'!$B$11,"✖","○"),"")))</f>
        <v/>
      </c>
      <c r="P72" s="24" t="str">
        <f>IF($A72="","",IF(COUNTIFS('Nhật ký bảo trì'!$D$6:$D$405,$A72,'Nhật ký bảo trì'!$Q$6:$Q$405,"Hoàn thành",'Nhật ký bảo trì'!$B$6:$B$405,"&gt;="&amp;P$5,'Nhật ký bảo trì'!$B$6:$B$405,"&lt;="&amp;EOMONTH(P$5,0))&gt;0,"✔",IF(((EOMONTH(P$5,0)&gt;='Kế hoạch định kỳ'!$W72)*(INT((EOMONTH(P$5,0)-'Kế hoạch định kỳ'!$W72)/'Kế hoạch định kỳ'!$X72)+1)-(P$5-1&gt;='Kế hoạch định kỳ'!$W72)*(INT((P$5-1-'Kế hoạch định kỳ'!$W72)/'Kế hoạch định kỳ'!$X72)+1))&gt;0,IF(EOMONTH(P$5,0)&lt;'Tổng quan'!$B$11,"✖","○"),"")))</f>
        <v/>
      </c>
      <c r="Q72" s="16" t="str">
        <f>IF($A72="","",COUNTIFS('Nhật ký bảo trì'!$D$6:$D$405,$A72,'Nhật ký bảo trì'!$Q$6:$Q$405,"Hoàn thành",'Nhật ký bảo trì'!$B$6:$B$405,"&gt;="&amp;DATE('Tổng quan'!$B$6,1,1),'Nhật ký bảo trì'!$B$6:$B$405,"&lt;="&amp;DATE('Tổng quan'!$B$6,12,31)))</f>
        <v/>
      </c>
      <c r="R72" s="16" t="str">
        <f t="shared" si="1"/>
        <v/>
      </c>
    </row>
    <row r="73" ht="24.0" customHeight="1">
      <c r="A73" s="26" t="str">
        <f>IF('Kế hoạch định kỳ'!$B73="","",'Kế hoạch định kỳ'!$B73)</f>
        <v/>
      </c>
      <c r="B73" s="28" t="str">
        <f>IF('Kế hoạch định kỳ'!$B73="","",'Kế hoạch định kỳ'!$D73)</f>
        <v/>
      </c>
      <c r="C73" s="56" t="str">
        <f>IF('Kế hoạch định kỳ'!$B73="","",'Kế hoạch định kỳ'!$F73)</f>
        <v/>
      </c>
      <c r="D73" s="26" t="str">
        <f>IF('Kế hoạch định kỳ'!$B73="","",IF('Kế hoạch định kỳ'!$I73&lt;&gt;"",'Kế hoạch định kỳ'!$I73&amp;" ngày",'Kế hoạch định kỳ'!$H73))</f>
        <v/>
      </c>
      <c r="E73" s="61" t="str">
        <f>IF($A73="","",IF(COUNTIFS('Nhật ký bảo trì'!$D$6:$D$405,$A73,'Nhật ký bảo trì'!$Q$6:$Q$405,"Hoàn thành",'Nhật ký bảo trì'!$B$6:$B$405,"&gt;="&amp;E$5,'Nhật ký bảo trì'!$B$6:$B$405,"&lt;="&amp;EOMONTH(E$5,0))&gt;0,"✔",IF(((EOMONTH(E$5,0)&gt;='Kế hoạch định kỳ'!$W73)*(INT((EOMONTH(E$5,0)-'Kế hoạch định kỳ'!$W73)/'Kế hoạch định kỳ'!$X73)+1)-(E$5-1&gt;='Kế hoạch định kỳ'!$W73)*(INT((E$5-1-'Kế hoạch định kỳ'!$W73)/'Kế hoạch định kỳ'!$X73)+1))&gt;0,IF(EOMONTH(E$5,0)&lt;'Tổng quan'!$B$11,"✖","○"),"")))</f>
        <v/>
      </c>
      <c r="F73" s="61" t="str">
        <f>IF($A73="","",IF(COUNTIFS('Nhật ký bảo trì'!$D$6:$D$405,$A73,'Nhật ký bảo trì'!$Q$6:$Q$405,"Hoàn thành",'Nhật ký bảo trì'!$B$6:$B$405,"&gt;="&amp;F$5,'Nhật ký bảo trì'!$B$6:$B$405,"&lt;="&amp;EOMONTH(F$5,0))&gt;0,"✔",IF(((EOMONTH(F$5,0)&gt;='Kế hoạch định kỳ'!$W73)*(INT((EOMONTH(F$5,0)-'Kế hoạch định kỳ'!$W73)/'Kế hoạch định kỳ'!$X73)+1)-(F$5-1&gt;='Kế hoạch định kỳ'!$W73)*(INT((F$5-1-'Kế hoạch định kỳ'!$W73)/'Kế hoạch định kỳ'!$X73)+1))&gt;0,IF(EOMONTH(F$5,0)&lt;'Tổng quan'!$B$11,"✖","○"),"")))</f>
        <v/>
      </c>
      <c r="G73" s="61" t="str">
        <f>IF($A73="","",IF(COUNTIFS('Nhật ký bảo trì'!$D$6:$D$405,$A73,'Nhật ký bảo trì'!$Q$6:$Q$405,"Hoàn thành",'Nhật ký bảo trì'!$B$6:$B$405,"&gt;="&amp;G$5,'Nhật ký bảo trì'!$B$6:$B$405,"&lt;="&amp;EOMONTH(G$5,0))&gt;0,"✔",IF(((EOMONTH(G$5,0)&gt;='Kế hoạch định kỳ'!$W73)*(INT((EOMONTH(G$5,0)-'Kế hoạch định kỳ'!$W73)/'Kế hoạch định kỳ'!$X73)+1)-(G$5-1&gt;='Kế hoạch định kỳ'!$W73)*(INT((G$5-1-'Kế hoạch định kỳ'!$W73)/'Kế hoạch định kỳ'!$X73)+1))&gt;0,IF(EOMONTH(G$5,0)&lt;'Tổng quan'!$B$11,"✖","○"),"")))</f>
        <v/>
      </c>
      <c r="H73" s="61" t="str">
        <f>IF($A73="","",IF(COUNTIFS('Nhật ký bảo trì'!$D$6:$D$405,$A73,'Nhật ký bảo trì'!$Q$6:$Q$405,"Hoàn thành",'Nhật ký bảo trì'!$B$6:$B$405,"&gt;="&amp;H$5,'Nhật ký bảo trì'!$B$6:$B$405,"&lt;="&amp;EOMONTH(H$5,0))&gt;0,"✔",IF(((EOMONTH(H$5,0)&gt;='Kế hoạch định kỳ'!$W73)*(INT((EOMONTH(H$5,0)-'Kế hoạch định kỳ'!$W73)/'Kế hoạch định kỳ'!$X73)+1)-(H$5-1&gt;='Kế hoạch định kỳ'!$W73)*(INT((H$5-1-'Kế hoạch định kỳ'!$W73)/'Kế hoạch định kỳ'!$X73)+1))&gt;0,IF(EOMONTH(H$5,0)&lt;'Tổng quan'!$B$11,"✖","○"),"")))</f>
        <v/>
      </c>
      <c r="I73" s="61" t="str">
        <f>IF($A73="","",IF(COUNTIFS('Nhật ký bảo trì'!$D$6:$D$405,$A73,'Nhật ký bảo trì'!$Q$6:$Q$405,"Hoàn thành",'Nhật ký bảo trì'!$B$6:$B$405,"&gt;="&amp;I$5,'Nhật ký bảo trì'!$B$6:$B$405,"&lt;="&amp;EOMONTH(I$5,0))&gt;0,"✔",IF(((EOMONTH(I$5,0)&gt;='Kế hoạch định kỳ'!$W73)*(INT((EOMONTH(I$5,0)-'Kế hoạch định kỳ'!$W73)/'Kế hoạch định kỳ'!$X73)+1)-(I$5-1&gt;='Kế hoạch định kỳ'!$W73)*(INT((I$5-1-'Kế hoạch định kỳ'!$W73)/'Kế hoạch định kỳ'!$X73)+1))&gt;0,IF(EOMONTH(I$5,0)&lt;'Tổng quan'!$B$11,"✖","○"),"")))</f>
        <v/>
      </c>
      <c r="J73" s="61" t="str">
        <f>IF($A73="","",IF(COUNTIFS('Nhật ký bảo trì'!$D$6:$D$405,$A73,'Nhật ký bảo trì'!$Q$6:$Q$405,"Hoàn thành",'Nhật ký bảo trì'!$B$6:$B$405,"&gt;="&amp;J$5,'Nhật ký bảo trì'!$B$6:$B$405,"&lt;="&amp;EOMONTH(J$5,0))&gt;0,"✔",IF(((EOMONTH(J$5,0)&gt;='Kế hoạch định kỳ'!$W73)*(INT((EOMONTH(J$5,0)-'Kế hoạch định kỳ'!$W73)/'Kế hoạch định kỳ'!$X73)+1)-(J$5-1&gt;='Kế hoạch định kỳ'!$W73)*(INT((J$5-1-'Kế hoạch định kỳ'!$W73)/'Kế hoạch định kỳ'!$X73)+1))&gt;0,IF(EOMONTH(J$5,0)&lt;'Tổng quan'!$B$11,"✖","○"),"")))</f>
        <v/>
      </c>
      <c r="K73" s="61" t="str">
        <f>IF($A73="","",IF(COUNTIFS('Nhật ký bảo trì'!$D$6:$D$405,$A73,'Nhật ký bảo trì'!$Q$6:$Q$405,"Hoàn thành",'Nhật ký bảo trì'!$B$6:$B$405,"&gt;="&amp;K$5,'Nhật ký bảo trì'!$B$6:$B$405,"&lt;="&amp;EOMONTH(K$5,0))&gt;0,"✔",IF(((EOMONTH(K$5,0)&gt;='Kế hoạch định kỳ'!$W73)*(INT((EOMONTH(K$5,0)-'Kế hoạch định kỳ'!$W73)/'Kế hoạch định kỳ'!$X73)+1)-(K$5-1&gt;='Kế hoạch định kỳ'!$W73)*(INT((K$5-1-'Kế hoạch định kỳ'!$W73)/'Kế hoạch định kỳ'!$X73)+1))&gt;0,IF(EOMONTH(K$5,0)&lt;'Tổng quan'!$B$11,"✖","○"),"")))</f>
        <v/>
      </c>
      <c r="L73" s="61" t="str">
        <f>IF($A73="","",IF(COUNTIFS('Nhật ký bảo trì'!$D$6:$D$405,$A73,'Nhật ký bảo trì'!$Q$6:$Q$405,"Hoàn thành",'Nhật ký bảo trì'!$B$6:$B$405,"&gt;="&amp;L$5,'Nhật ký bảo trì'!$B$6:$B$405,"&lt;="&amp;EOMONTH(L$5,0))&gt;0,"✔",IF(((EOMONTH(L$5,0)&gt;='Kế hoạch định kỳ'!$W73)*(INT((EOMONTH(L$5,0)-'Kế hoạch định kỳ'!$W73)/'Kế hoạch định kỳ'!$X73)+1)-(L$5-1&gt;='Kế hoạch định kỳ'!$W73)*(INT((L$5-1-'Kế hoạch định kỳ'!$W73)/'Kế hoạch định kỳ'!$X73)+1))&gt;0,IF(EOMONTH(L$5,0)&lt;'Tổng quan'!$B$11,"✖","○"),"")))</f>
        <v/>
      </c>
      <c r="M73" s="61" t="str">
        <f>IF($A73="","",IF(COUNTIFS('Nhật ký bảo trì'!$D$6:$D$405,$A73,'Nhật ký bảo trì'!$Q$6:$Q$405,"Hoàn thành",'Nhật ký bảo trì'!$B$6:$B$405,"&gt;="&amp;M$5,'Nhật ký bảo trì'!$B$6:$B$405,"&lt;="&amp;EOMONTH(M$5,0))&gt;0,"✔",IF(((EOMONTH(M$5,0)&gt;='Kế hoạch định kỳ'!$W73)*(INT((EOMONTH(M$5,0)-'Kế hoạch định kỳ'!$W73)/'Kế hoạch định kỳ'!$X73)+1)-(M$5-1&gt;='Kế hoạch định kỳ'!$W73)*(INT((M$5-1-'Kế hoạch định kỳ'!$W73)/'Kế hoạch định kỳ'!$X73)+1))&gt;0,IF(EOMONTH(M$5,0)&lt;'Tổng quan'!$B$11,"✖","○"),"")))</f>
        <v/>
      </c>
      <c r="N73" s="61" t="str">
        <f>IF($A73="","",IF(COUNTIFS('Nhật ký bảo trì'!$D$6:$D$405,$A73,'Nhật ký bảo trì'!$Q$6:$Q$405,"Hoàn thành",'Nhật ký bảo trì'!$B$6:$B$405,"&gt;="&amp;N$5,'Nhật ký bảo trì'!$B$6:$B$405,"&lt;="&amp;EOMONTH(N$5,0))&gt;0,"✔",IF(((EOMONTH(N$5,0)&gt;='Kế hoạch định kỳ'!$W73)*(INT((EOMONTH(N$5,0)-'Kế hoạch định kỳ'!$W73)/'Kế hoạch định kỳ'!$X73)+1)-(N$5-1&gt;='Kế hoạch định kỳ'!$W73)*(INT((N$5-1-'Kế hoạch định kỳ'!$W73)/'Kế hoạch định kỳ'!$X73)+1))&gt;0,IF(EOMONTH(N$5,0)&lt;'Tổng quan'!$B$11,"✖","○"),"")))</f>
        <v/>
      </c>
      <c r="O73" s="61" t="str">
        <f>IF($A73="","",IF(COUNTIFS('Nhật ký bảo trì'!$D$6:$D$405,$A73,'Nhật ký bảo trì'!$Q$6:$Q$405,"Hoàn thành",'Nhật ký bảo trì'!$B$6:$B$405,"&gt;="&amp;O$5,'Nhật ký bảo trì'!$B$6:$B$405,"&lt;="&amp;EOMONTH(O$5,0))&gt;0,"✔",IF(((EOMONTH(O$5,0)&gt;='Kế hoạch định kỳ'!$W73)*(INT((EOMONTH(O$5,0)-'Kế hoạch định kỳ'!$W73)/'Kế hoạch định kỳ'!$X73)+1)-(O$5-1&gt;='Kế hoạch định kỳ'!$W73)*(INT((O$5-1-'Kế hoạch định kỳ'!$W73)/'Kế hoạch định kỳ'!$X73)+1))&gt;0,IF(EOMONTH(O$5,0)&lt;'Tổng quan'!$B$11,"✖","○"),"")))</f>
        <v/>
      </c>
      <c r="P73" s="61" t="str">
        <f>IF($A73="","",IF(COUNTIFS('Nhật ký bảo trì'!$D$6:$D$405,$A73,'Nhật ký bảo trì'!$Q$6:$Q$405,"Hoàn thành",'Nhật ký bảo trì'!$B$6:$B$405,"&gt;="&amp;P$5,'Nhật ký bảo trì'!$B$6:$B$405,"&lt;="&amp;EOMONTH(P$5,0))&gt;0,"✔",IF(((EOMONTH(P$5,0)&gt;='Kế hoạch định kỳ'!$W73)*(INT((EOMONTH(P$5,0)-'Kế hoạch định kỳ'!$W73)/'Kế hoạch định kỳ'!$X73)+1)-(P$5-1&gt;='Kế hoạch định kỳ'!$W73)*(INT((P$5-1-'Kế hoạch định kỳ'!$W73)/'Kế hoạch định kỳ'!$X73)+1))&gt;0,IF(EOMONTH(P$5,0)&lt;'Tổng quan'!$B$11,"✖","○"),"")))</f>
        <v/>
      </c>
      <c r="Q73" s="30" t="str">
        <f>IF($A73="","",COUNTIFS('Nhật ký bảo trì'!$D$6:$D$405,$A73,'Nhật ký bảo trì'!$Q$6:$Q$405,"Hoàn thành",'Nhật ký bảo trì'!$B$6:$B$405,"&gt;="&amp;DATE('Tổng quan'!$B$6,1,1),'Nhật ký bảo trì'!$B$6:$B$405,"&lt;="&amp;DATE('Tổng quan'!$B$6,12,31)))</f>
        <v/>
      </c>
      <c r="R73" s="30" t="str">
        <f t="shared" si="1"/>
        <v/>
      </c>
    </row>
    <row r="74" ht="24.0" customHeight="1">
      <c r="A74" s="10" t="str">
        <f>IF('Kế hoạch định kỳ'!$B74="","",'Kế hoạch định kỳ'!$B74)</f>
        <v/>
      </c>
      <c r="B74" s="14" t="str">
        <f>IF('Kế hoạch định kỳ'!$B74="","",'Kế hoạch định kỳ'!$D74)</f>
        <v/>
      </c>
      <c r="C74" s="18" t="str">
        <f>IF('Kế hoạch định kỳ'!$B74="","",'Kế hoạch định kỳ'!$F74)</f>
        <v/>
      </c>
      <c r="D74" s="10" t="str">
        <f>IF('Kế hoạch định kỳ'!$B74="","",IF('Kế hoạch định kỳ'!$I74&lt;&gt;"",'Kế hoạch định kỳ'!$I74&amp;" ngày",'Kế hoạch định kỳ'!$H74))</f>
        <v/>
      </c>
      <c r="E74" s="24" t="str">
        <f>IF($A74="","",IF(COUNTIFS('Nhật ký bảo trì'!$D$6:$D$405,$A74,'Nhật ký bảo trì'!$Q$6:$Q$405,"Hoàn thành",'Nhật ký bảo trì'!$B$6:$B$405,"&gt;="&amp;E$5,'Nhật ký bảo trì'!$B$6:$B$405,"&lt;="&amp;EOMONTH(E$5,0))&gt;0,"✔",IF(((EOMONTH(E$5,0)&gt;='Kế hoạch định kỳ'!$W74)*(INT((EOMONTH(E$5,0)-'Kế hoạch định kỳ'!$W74)/'Kế hoạch định kỳ'!$X74)+1)-(E$5-1&gt;='Kế hoạch định kỳ'!$W74)*(INT((E$5-1-'Kế hoạch định kỳ'!$W74)/'Kế hoạch định kỳ'!$X74)+1))&gt;0,IF(EOMONTH(E$5,0)&lt;'Tổng quan'!$B$11,"✖","○"),"")))</f>
        <v/>
      </c>
      <c r="F74" s="24" t="str">
        <f>IF($A74="","",IF(COUNTIFS('Nhật ký bảo trì'!$D$6:$D$405,$A74,'Nhật ký bảo trì'!$Q$6:$Q$405,"Hoàn thành",'Nhật ký bảo trì'!$B$6:$B$405,"&gt;="&amp;F$5,'Nhật ký bảo trì'!$B$6:$B$405,"&lt;="&amp;EOMONTH(F$5,0))&gt;0,"✔",IF(((EOMONTH(F$5,0)&gt;='Kế hoạch định kỳ'!$W74)*(INT((EOMONTH(F$5,0)-'Kế hoạch định kỳ'!$W74)/'Kế hoạch định kỳ'!$X74)+1)-(F$5-1&gt;='Kế hoạch định kỳ'!$W74)*(INT((F$5-1-'Kế hoạch định kỳ'!$W74)/'Kế hoạch định kỳ'!$X74)+1))&gt;0,IF(EOMONTH(F$5,0)&lt;'Tổng quan'!$B$11,"✖","○"),"")))</f>
        <v/>
      </c>
      <c r="G74" s="24" t="str">
        <f>IF($A74="","",IF(COUNTIFS('Nhật ký bảo trì'!$D$6:$D$405,$A74,'Nhật ký bảo trì'!$Q$6:$Q$405,"Hoàn thành",'Nhật ký bảo trì'!$B$6:$B$405,"&gt;="&amp;G$5,'Nhật ký bảo trì'!$B$6:$B$405,"&lt;="&amp;EOMONTH(G$5,0))&gt;0,"✔",IF(((EOMONTH(G$5,0)&gt;='Kế hoạch định kỳ'!$W74)*(INT((EOMONTH(G$5,0)-'Kế hoạch định kỳ'!$W74)/'Kế hoạch định kỳ'!$X74)+1)-(G$5-1&gt;='Kế hoạch định kỳ'!$W74)*(INT((G$5-1-'Kế hoạch định kỳ'!$W74)/'Kế hoạch định kỳ'!$X74)+1))&gt;0,IF(EOMONTH(G$5,0)&lt;'Tổng quan'!$B$11,"✖","○"),"")))</f>
        <v/>
      </c>
      <c r="H74" s="24" t="str">
        <f>IF($A74="","",IF(COUNTIFS('Nhật ký bảo trì'!$D$6:$D$405,$A74,'Nhật ký bảo trì'!$Q$6:$Q$405,"Hoàn thành",'Nhật ký bảo trì'!$B$6:$B$405,"&gt;="&amp;H$5,'Nhật ký bảo trì'!$B$6:$B$405,"&lt;="&amp;EOMONTH(H$5,0))&gt;0,"✔",IF(((EOMONTH(H$5,0)&gt;='Kế hoạch định kỳ'!$W74)*(INT((EOMONTH(H$5,0)-'Kế hoạch định kỳ'!$W74)/'Kế hoạch định kỳ'!$X74)+1)-(H$5-1&gt;='Kế hoạch định kỳ'!$W74)*(INT((H$5-1-'Kế hoạch định kỳ'!$W74)/'Kế hoạch định kỳ'!$X74)+1))&gt;0,IF(EOMONTH(H$5,0)&lt;'Tổng quan'!$B$11,"✖","○"),"")))</f>
        <v/>
      </c>
      <c r="I74" s="24" t="str">
        <f>IF($A74="","",IF(COUNTIFS('Nhật ký bảo trì'!$D$6:$D$405,$A74,'Nhật ký bảo trì'!$Q$6:$Q$405,"Hoàn thành",'Nhật ký bảo trì'!$B$6:$B$405,"&gt;="&amp;I$5,'Nhật ký bảo trì'!$B$6:$B$405,"&lt;="&amp;EOMONTH(I$5,0))&gt;0,"✔",IF(((EOMONTH(I$5,0)&gt;='Kế hoạch định kỳ'!$W74)*(INT((EOMONTH(I$5,0)-'Kế hoạch định kỳ'!$W74)/'Kế hoạch định kỳ'!$X74)+1)-(I$5-1&gt;='Kế hoạch định kỳ'!$W74)*(INT((I$5-1-'Kế hoạch định kỳ'!$W74)/'Kế hoạch định kỳ'!$X74)+1))&gt;0,IF(EOMONTH(I$5,0)&lt;'Tổng quan'!$B$11,"✖","○"),"")))</f>
        <v/>
      </c>
      <c r="J74" s="24" t="str">
        <f>IF($A74="","",IF(COUNTIFS('Nhật ký bảo trì'!$D$6:$D$405,$A74,'Nhật ký bảo trì'!$Q$6:$Q$405,"Hoàn thành",'Nhật ký bảo trì'!$B$6:$B$405,"&gt;="&amp;J$5,'Nhật ký bảo trì'!$B$6:$B$405,"&lt;="&amp;EOMONTH(J$5,0))&gt;0,"✔",IF(((EOMONTH(J$5,0)&gt;='Kế hoạch định kỳ'!$W74)*(INT((EOMONTH(J$5,0)-'Kế hoạch định kỳ'!$W74)/'Kế hoạch định kỳ'!$X74)+1)-(J$5-1&gt;='Kế hoạch định kỳ'!$W74)*(INT((J$5-1-'Kế hoạch định kỳ'!$W74)/'Kế hoạch định kỳ'!$X74)+1))&gt;0,IF(EOMONTH(J$5,0)&lt;'Tổng quan'!$B$11,"✖","○"),"")))</f>
        <v/>
      </c>
      <c r="K74" s="24" t="str">
        <f>IF($A74="","",IF(COUNTIFS('Nhật ký bảo trì'!$D$6:$D$405,$A74,'Nhật ký bảo trì'!$Q$6:$Q$405,"Hoàn thành",'Nhật ký bảo trì'!$B$6:$B$405,"&gt;="&amp;K$5,'Nhật ký bảo trì'!$B$6:$B$405,"&lt;="&amp;EOMONTH(K$5,0))&gt;0,"✔",IF(((EOMONTH(K$5,0)&gt;='Kế hoạch định kỳ'!$W74)*(INT((EOMONTH(K$5,0)-'Kế hoạch định kỳ'!$W74)/'Kế hoạch định kỳ'!$X74)+1)-(K$5-1&gt;='Kế hoạch định kỳ'!$W74)*(INT((K$5-1-'Kế hoạch định kỳ'!$W74)/'Kế hoạch định kỳ'!$X74)+1))&gt;0,IF(EOMONTH(K$5,0)&lt;'Tổng quan'!$B$11,"✖","○"),"")))</f>
        <v/>
      </c>
      <c r="L74" s="24" t="str">
        <f>IF($A74="","",IF(COUNTIFS('Nhật ký bảo trì'!$D$6:$D$405,$A74,'Nhật ký bảo trì'!$Q$6:$Q$405,"Hoàn thành",'Nhật ký bảo trì'!$B$6:$B$405,"&gt;="&amp;L$5,'Nhật ký bảo trì'!$B$6:$B$405,"&lt;="&amp;EOMONTH(L$5,0))&gt;0,"✔",IF(((EOMONTH(L$5,0)&gt;='Kế hoạch định kỳ'!$W74)*(INT((EOMONTH(L$5,0)-'Kế hoạch định kỳ'!$W74)/'Kế hoạch định kỳ'!$X74)+1)-(L$5-1&gt;='Kế hoạch định kỳ'!$W74)*(INT((L$5-1-'Kế hoạch định kỳ'!$W74)/'Kế hoạch định kỳ'!$X74)+1))&gt;0,IF(EOMONTH(L$5,0)&lt;'Tổng quan'!$B$11,"✖","○"),"")))</f>
        <v/>
      </c>
      <c r="M74" s="24" t="str">
        <f>IF($A74="","",IF(COUNTIFS('Nhật ký bảo trì'!$D$6:$D$405,$A74,'Nhật ký bảo trì'!$Q$6:$Q$405,"Hoàn thành",'Nhật ký bảo trì'!$B$6:$B$405,"&gt;="&amp;M$5,'Nhật ký bảo trì'!$B$6:$B$405,"&lt;="&amp;EOMONTH(M$5,0))&gt;0,"✔",IF(((EOMONTH(M$5,0)&gt;='Kế hoạch định kỳ'!$W74)*(INT((EOMONTH(M$5,0)-'Kế hoạch định kỳ'!$W74)/'Kế hoạch định kỳ'!$X74)+1)-(M$5-1&gt;='Kế hoạch định kỳ'!$W74)*(INT((M$5-1-'Kế hoạch định kỳ'!$W74)/'Kế hoạch định kỳ'!$X74)+1))&gt;0,IF(EOMONTH(M$5,0)&lt;'Tổng quan'!$B$11,"✖","○"),"")))</f>
        <v/>
      </c>
      <c r="N74" s="24" t="str">
        <f>IF($A74="","",IF(COUNTIFS('Nhật ký bảo trì'!$D$6:$D$405,$A74,'Nhật ký bảo trì'!$Q$6:$Q$405,"Hoàn thành",'Nhật ký bảo trì'!$B$6:$B$405,"&gt;="&amp;N$5,'Nhật ký bảo trì'!$B$6:$B$405,"&lt;="&amp;EOMONTH(N$5,0))&gt;0,"✔",IF(((EOMONTH(N$5,0)&gt;='Kế hoạch định kỳ'!$W74)*(INT((EOMONTH(N$5,0)-'Kế hoạch định kỳ'!$W74)/'Kế hoạch định kỳ'!$X74)+1)-(N$5-1&gt;='Kế hoạch định kỳ'!$W74)*(INT((N$5-1-'Kế hoạch định kỳ'!$W74)/'Kế hoạch định kỳ'!$X74)+1))&gt;0,IF(EOMONTH(N$5,0)&lt;'Tổng quan'!$B$11,"✖","○"),"")))</f>
        <v/>
      </c>
      <c r="O74" s="24" t="str">
        <f>IF($A74="","",IF(COUNTIFS('Nhật ký bảo trì'!$D$6:$D$405,$A74,'Nhật ký bảo trì'!$Q$6:$Q$405,"Hoàn thành",'Nhật ký bảo trì'!$B$6:$B$405,"&gt;="&amp;O$5,'Nhật ký bảo trì'!$B$6:$B$405,"&lt;="&amp;EOMONTH(O$5,0))&gt;0,"✔",IF(((EOMONTH(O$5,0)&gt;='Kế hoạch định kỳ'!$W74)*(INT((EOMONTH(O$5,0)-'Kế hoạch định kỳ'!$W74)/'Kế hoạch định kỳ'!$X74)+1)-(O$5-1&gt;='Kế hoạch định kỳ'!$W74)*(INT((O$5-1-'Kế hoạch định kỳ'!$W74)/'Kế hoạch định kỳ'!$X74)+1))&gt;0,IF(EOMONTH(O$5,0)&lt;'Tổng quan'!$B$11,"✖","○"),"")))</f>
        <v/>
      </c>
      <c r="P74" s="24" t="str">
        <f>IF($A74="","",IF(COUNTIFS('Nhật ký bảo trì'!$D$6:$D$405,$A74,'Nhật ký bảo trì'!$Q$6:$Q$405,"Hoàn thành",'Nhật ký bảo trì'!$B$6:$B$405,"&gt;="&amp;P$5,'Nhật ký bảo trì'!$B$6:$B$405,"&lt;="&amp;EOMONTH(P$5,0))&gt;0,"✔",IF(((EOMONTH(P$5,0)&gt;='Kế hoạch định kỳ'!$W74)*(INT((EOMONTH(P$5,0)-'Kế hoạch định kỳ'!$W74)/'Kế hoạch định kỳ'!$X74)+1)-(P$5-1&gt;='Kế hoạch định kỳ'!$W74)*(INT((P$5-1-'Kế hoạch định kỳ'!$W74)/'Kế hoạch định kỳ'!$X74)+1))&gt;0,IF(EOMONTH(P$5,0)&lt;'Tổng quan'!$B$11,"✖","○"),"")))</f>
        <v/>
      </c>
      <c r="Q74" s="16" t="str">
        <f>IF($A74="","",COUNTIFS('Nhật ký bảo trì'!$D$6:$D$405,$A74,'Nhật ký bảo trì'!$Q$6:$Q$405,"Hoàn thành",'Nhật ký bảo trì'!$B$6:$B$405,"&gt;="&amp;DATE('Tổng quan'!$B$6,1,1),'Nhật ký bảo trì'!$B$6:$B$405,"&lt;="&amp;DATE('Tổng quan'!$B$6,12,31)))</f>
        <v/>
      </c>
      <c r="R74" s="16" t="str">
        <f t="shared" si="1"/>
        <v/>
      </c>
    </row>
    <row r="75" ht="24.0" customHeight="1">
      <c r="A75" s="26" t="str">
        <f>IF('Kế hoạch định kỳ'!$B75="","",'Kế hoạch định kỳ'!$B75)</f>
        <v/>
      </c>
      <c r="B75" s="28" t="str">
        <f>IF('Kế hoạch định kỳ'!$B75="","",'Kế hoạch định kỳ'!$D75)</f>
        <v/>
      </c>
      <c r="C75" s="56" t="str">
        <f>IF('Kế hoạch định kỳ'!$B75="","",'Kế hoạch định kỳ'!$F75)</f>
        <v/>
      </c>
      <c r="D75" s="26" t="str">
        <f>IF('Kế hoạch định kỳ'!$B75="","",IF('Kế hoạch định kỳ'!$I75&lt;&gt;"",'Kế hoạch định kỳ'!$I75&amp;" ngày",'Kế hoạch định kỳ'!$H75))</f>
        <v/>
      </c>
      <c r="E75" s="61" t="str">
        <f>IF($A75="","",IF(COUNTIFS('Nhật ký bảo trì'!$D$6:$D$405,$A75,'Nhật ký bảo trì'!$Q$6:$Q$405,"Hoàn thành",'Nhật ký bảo trì'!$B$6:$B$405,"&gt;="&amp;E$5,'Nhật ký bảo trì'!$B$6:$B$405,"&lt;="&amp;EOMONTH(E$5,0))&gt;0,"✔",IF(((EOMONTH(E$5,0)&gt;='Kế hoạch định kỳ'!$W75)*(INT((EOMONTH(E$5,0)-'Kế hoạch định kỳ'!$W75)/'Kế hoạch định kỳ'!$X75)+1)-(E$5-1&gt;='Kế hoạch định kỳ'!$W75)*(INT((E$5-1-'Kế hoạch định kỳ'!$W75)/'Kế hoạch định kỳ'!$X75)+1))&gt;0,IF(EOMONTH(E$5,0)&lt;'Tổng quan'!$B$11,"✖","○"),"")))</f>
        <v/>
      </c>
      <c r="F75" s="61" t="str">
        <f>IF($A75="","",IF(COUNTIFS('Nhật ký bảo trì'!$D$6:$D$405,$A75,'Nhật ký bảo trì'!$Q$6:$Q$405,"Hoàn thành",'Nhật ký bảo trì'!$B$6:$B$405,"&gt;="&amp;F$5,'Nhật ký bảo trì'!$B$6:$B$405,"&lt;="&amp;EOMONTH(F$5,0))&gt;0,"✔",IF(((EOMONTH(F$5,0)&gt;='Kế hoạch định kỳ'!$W75)*(INT((EOMONTH(F$5,0)-'Kế hoạch định kỳ'!$W75)/'Kế hoạch định kỳ'!$X75)+1)-(F$5-1&gt;='Kế hoạch định kỳ'!$W75)*(INT((F$5-1-'Kế hoạch định kỳ'!$W75)/'Kế hoạch định kỳ'!$X75)+1))&gt;0,IF(EOMONTH(F$5,0)&lt;'Tổng quan'!$B$11,"✖","○"),"")))</f>
        <v/>
      </c>
      <c r="G75" s="61" t="str">
        <f>IF($A75="","",IF(COUNTIFS('Nhật ký bảo trì'!$D$6:$D$405,$A75,'Nhật ký bảo trì'!$Q$6:$Q$405,"Hoàn thành",'Nhật ký bảo trì'!$B$6:$B$405,"&gt;="&amp;G$5,'Nhật ký bảo trì'!$B$6:$B$405,"&lt;="&amp;EOMONTH(G$5,0))&gt;0,"✔",IF(((EOMONTH(G$5,0)&gt;='Kế hoạch định kỳ'!$W75)*(INT((EOMONTH(G$5,0)-'Kế hoạch định kỳ'!$W75)/'Kế hoạch định kỳ'!$X75)+1)-(G$5-1&gt;='Kế hoạch định kỳ'!$W75)*(INT((G$5-1-'Kế hoạch định kỳ'!$W75)/'Kế hoạch định kỳ'!$X75)+1))&gt;0,IF(EOMONTH(G$5,0)&lt;'Tổng quan'!$B$11,"✖","○"),"")))</f>
        <v/>
      </c>
      <c r="H75" s="61" t="str">
        <f>IF($A75="","",IF(COUNTIFS('Nhật ký bảo trì'!$D$6:$D$405,$A75,'Nhật ký bảo trì'!$Q$6:$Q$405,"Hoàn thành",'Nhật ký bảo trì'!$B$6:$B$405,"&gt;="&amp;H$5,'Nhật ký bảo trì'!$B$6:$B$405,"&lt;="&amp;EOMONTH(H$5,0))&gt;0,"✔",IF(((EOMONTH(H$5,0)&gt;='Kế hoạch định kỳ'!$W75)*(INT((EOMONTH(H$5,0)-'Kế hoạch định kỳ'!$W75)/'Kế hoạch định kỳ'!$X75)+1)-(H$5-1&gt;='Kế hoạch định kỳ'!$W75)*(INT((H$5-1-'Kế hoạch định kỳ'!$W75)/'Kế hoạch định kỳ'!$X75)+1))&gt;0,IF(EOMONTH(H$5,0)&lt;'Tổng quan'!$B$11,"✖","○"),"")))</f>
        <v/>
      </c>
      <c r="I75" s="61" t="str">
        <f>IF($A75="","",IF(COUNTIFS('Nhật ký bảo trì'!$D$6:$D$405,$A75,'Nhật ký bảo trì'!$Q$6:$Q$405,"Hoàn thành",'Nhật ký bảo trì'!$B$6:$B$405,"&gt;="&amp;I$5,'Nhật ký bảo trì'!$B$6:$B$405,"&lt;="&amp;EOMONTH(I$5,0))&gt;0,"✔",IF(((EOMONTH(I$5,0)&gt;='Kế hoạch định kỳ'!$W75)*(INT((EOMONTH(I$5,0)-'Kế hoạch định kỳ'!$W75)/'Kế hoạch định kỳ'!$X75)+1)-(I$5-1&gt;='Kế hoạch định kỳ'!$W75)*(INT((I$5-1-'Kế hoạch định kỳ'!$W75)/'Kế hoạch định kỳ'!$X75)+1))&gt;0,IF(EOMONTH(I$5,0)&lt;'Tổng quan'!$B$11,"✖","○"),"")))</f>
        <v/>
      </c>
      <c r="J75" s="61" t="str">
        <f>IF($A75="","",IF(COUNTIFS('Nhật ký bảo trì'!$D$6:$D$405,$A75,'Nhật ký bảo trì'!$Q$6:$Q$405,"Hoàn thành",'Nhật ký bảo trì'!$B$6:$B$405,"&gt;="&amp;J$5,'Nhật ký bảo trì'!$B$6:$B$405,"&lt;="&amp;EOMONTH(J$5,0))&gt;0,"✔",IF(((EOMONTH(J$5,0)&gt;='Kế hoạch định kỳ'!$W75)*(INT((EOMONTH(J$5,0)-'Kế hoạch định kỳ'!$W75)/'Kế hoạch định kỳ'!$X75)+1)-(J$5-1&gt;='Kế hoạch định kỳ'!$W75)*(INT((J$5-1-'Kế hoạch định kỳ'!$W75)/'Kế hoạch định kỳ'!$X75)+1))&gt;0,IF(EOMONTH(J$5,0)&lt;'Tổng quan'!$B$11,"✖","○"),"")))</f>
        <v/>
      </c>
      <c r="K75" s="61" t="str">
        <f>IF($A75="","",IF(COUNTIFS('Nhật ký bảo trì'!$D$6:$D$405,$A75,'Nhật ký bảo trì'!$Q$6:$Q$405,"Hoàn thành",'Nhật ký bảo trì'!$B$6:$B$405,"&gt;="&amp;K$5,'Nhật ký bảo trì'!$B$6:$B$405,"&lt;="&amp;EOMONTH(K$5,0))&gt;0,"✔",IF(((EOMONTH(K$5,0)&gt;='Kế hoạch định kỳ'!$W75)*(INT((EOMONTH(K$5,0)-'Kế hoạch định kỳ'!$W75)/'Kế hoạch định kỳ'!$X75)+1)-(K$5-1&gt;='Kế hoạch định kỳ'!$W75)*(INT((K$5-1-'Kế hoạch định kỳ'!$W75)/'Kế hoạch định kỳ'!$X75)+1))&gt;0,IF(EOMONTH(K$5,0)&lt;'Tổng quan'!$B$11,"✖","○"),"")))</f>
        <v/>
      </c>
      <c r="L75" s="61" t="str">
        <f>IF($A75="","",IF(COUNTIFS('Nhật ký bảo trì'!$D$6:$D$405,$A75,'Nhật ký bảo trì'!$Q$6:$Q$405,"Hoàn thành",'Nhật ký bảo trì'!$B$6:$B$405,"&gt;="&amp;L$5,'Nhật ký bảo trì'!$B$6:$B$405,"&lt;="&amp;EOMONTH(L$5,0))&gt;0,"✔",IF(((EOMONTH(L$5,0)&gt;='Kế hoạch định kỳ'!$W75)*(INT((EOMONTH(L$5,0)-'Kế hoạch định kỳ'!$W75)/'Kế hoạch định kỳ'!$X75)+1)-(L$5-1&gt;='Kế hoạch định kỳ'!$W75)*(INT((L$5-1-'Kế hoạch định kỳ'!$W75)/'Kế hoạch định kỳ'!$X75)+1))&gt;0,IF(EOMONTH(L$5,0)&lt;'Tổng quan'!$B$11,"✖","○"),"")))</f>
        <v/>
      </c>
      <c r="M75" s="61" t="str">
        <f>IF($A75="","",IF(COUNTIFS('Nhật ký bảo trì'!$D$6:$D$405,$A75,'Nhật ký bảo trì'!$Q$6:$Q$405,"Hoàn thành",'Nhật ký bảo trì'!$B$6:$B$405,"&gt;="&amp;M$5,'Nhật ký bảo trì'!$B$6:$B$405,"&lt;="&amp;EOMONTH(M$5,0))&gt;0,"✔",IF(((EOMONTH(M$5,0)&gt;='Kế hoạch định kỳ'!$W75)*(INT((EOMONTH(M$5,0)-'Kế hoạch định kỳ'!$W75)/'Kế hoạch định kỳ'!$X75)+1)-(M$5-1&gt;='Kế hoạch định kỳ'!$W75)*(INT((M$5-1-'Kế hoạch định kỳ'!$W75)/'Kế hoạch định kỳ'!$X75)+1))&gt;0,IF(EOMONTH(M$5,0)&lt;'Tổng quan'!$B$11,"✖","○"),"")))</f>
        <v/>
      </c>
      <c r="N75" s="61" t="str">
        <f>IF($A75="","",IF(COUNTIFS('Nhật ký bảo trì'!$D$6:$D$405,$A75,'Nhật ký bảo trì'!$Q$6:$Q$405,"Hoàn thành",'Nhật ký bảo trì'!$B$6:$B$405,"&gt;="&amp;N$5,'Nhật ký bảo trì'!$B$6:$B$405,"&lt;="&amp;EOMONTH(N$5,0))&gt;0,"✔",IF(((EOMONTH(N$5,0)&gt;='Kế hoạch định kỳ'!$W75)*(INT((EOMONTH(N$5,0)-'Kế hoạch định kỳ'!$W75)/'Kế hoạch định kỳ'!$X75)+1)-(N$5-1&gt;='Kế hoạch định kỳ'!$W75)*(INT((N$5-1-'Kế hoạch định kỳ'!$W75)/'Kế hoạch định kỳ'!$X75)+1))&gt;0,IF(EOMONTH(N$5,0)&lt;'Tổng quan'!$B$11,"✖","○"),"")))</f>
        <v/>
      </c>
      <c r="O75" s="61" t="str">
        <f>IF($A75="","",IF(COUNTIFS('Nhật ký bảo trì'!$D$6:$D$405,$A75,'Nhật ký bảo trì'!$Q$6:$Q$405,"Hoàn thành",'Nhật ký bảo trì'!$B$6:$B$405,"&gt;="&amp;O$5,'Nhật ký bảo trì'!$B$6:$B$405,"&lt;="&amp;EOMONTH(O$5,0))&gt;0,"✔",IF(((EOMONTH(O$5,0)&gt;='Kế hoạch định kỳ'!$W75)*(INT((EOMONTH(O$5,0)-'Kế hoạch định kỳ'!$W75)/'Kế hoạch định kỳ'!$X75)+1)-(O$5-1&gt;='Kế hoạch định kỳ'!$W75)*(INT((O$5-1-'Kế hoạch định kỳ'!$W75)/'Kế hoạch định kỳ'!$X75)+1))&gt;0,IF(EOMONTH(O$5,0)&lt;'Tổng quan'!$B$11,"✖","○"),"")))</f>
        <v/>
      </c>
      <c r="P75" s="61" t="str">
        <f>IF($A75="","",IF(COUNTIFS('Nhật ký bảo trì'!$D$6:$D$405,$A75,'Nhật ký bảo trì'!$Q$6:$Q$405,"Hoàn thành",'Nhật ký bảo trì'!$B$6:$B$405,"&gt;="&amp;P$5,'Nhật ký bảo trì'!$B$6:$B$405,"&lt;="&amp;EOMONTH(P$5,0))&gt;0,"✔",IF(((EOMONTH(P$5,0)&gt;='Kế hoạch định kỳ'!$W75)*(INT((EOMONTH(P$5,0)-'Kế hoạch định kỳ'!$W75)/'Kế hoạch định kỳ'!$X75)+1)-(P$5-1&gt;='Kế hoạch định kỳ'!$W75)*(INT((P$5-1-'Kế hoạch định kỳ'!$W75)/'Kế hoạch định kỳ'!$X75)+1))&gt;0,IF(EOMONTH(P$5,0)&lt;'Tổng quan'!$B$11,"✖","○"),"")))</f>
        <v/>
      </c>
      <c r="Q75" s="30" t="str">
        <f>IF($A75="","",COUNTIFS('Nhật ký bảo trì'!$D$6:$D$405,$A75,'Nhật ký bảo trì'!$Q$6:$Q$405,"Hoàn thành",'Nhật ký bảo trì'!$B$6:$B$405,"&gt;="&amp;DATE('Tổng quan'!$B$6,1,1),'Nhật ký bảo trì'!$B$6:$B$405,"&lt;="&amp;DATE('Tổng quan'!$B$6,12,31)))</f>
        <v/>
      </c>
      <c r="R75" s="30" t="str">
        <f t="shared" si="1"/>
        <v/>
      </c>
    </row>
    <row r="76" ht="24.0" customHeight="1">
      <c r="A76" s="10" t="str">
        <f>IF('Kế hoạch định kỳ'!$B76="","",'Kế hoạch định kỳ'!$B76)</f>
        <v/>
      </c>
      <c r="B76" s="14" t="str">
        <f>IF('Kế hoạch định kỳ'!$B76="","",'Kế hoạch định kỳ'!$D76)</f>
        <v/>
      </c>
      <c r="C76" s="18" t="str">
        <f>IF('Kế hoạch định kỳ'!$B76="","",'Kế hoạch định kỳ'!$F76)</f>
        <v/>
      </c>
      <c r="D76" s="10" t="str">
        <f>IF('Kế hoạch định kỳ'!$B76="","",IF('Kế hoạch định kỳ'!$I76&lt;&gt;"",'Kế hoạch định kỳ'!$I76&amp;" ngày",'Kế hoạch định kỳ'!$H76))</f>
        <v/>
      </c>
      <c r="E76" s="24" t="str">
        <f>IF($A76="","",IF(COUNTIFS('Nhật ký bảo trì'!$D$6:$D$405,$A76,'Nhật ký bảo trì'!$Q$6:$Q$405,"Hoàn thành",'Nhật ký bảo trì'!$B$6:$B$405,"&gt;="&amp;E$5,'Nhật ký bảo trì'!$B$6:$B$405,"&lt;="&amp;EOMONTH(E$5,0))&gt;0,"✔",IF(((EOMONTH(E$5,0)&gt;='Kế hoạch định kỳ'!$W76)*(INT((EOMONTH(E$5,0)-'Kế hoạch định kỳ'!$W76)/'Kế hoạch định kỳ'!$X76)+1)-(E$5-1&gt;='Kế hoạch định kỳ'!$W76)*(INT((E$5-1-'Kế hoạch định kỳ'!$W76)/'Kế hoạch định kỳ'!$X76)+1))&gt;0,IF(EOMONTH(E$5,0)&lt;'Tổng quan'!$B$11,"✖","○"),"")))</f>
        <v/>
      </c>
      <c r="F76" s="24" t="str">
        <f>IF($A76="","",IF(COUNTIFS('Nhật ký bảo trì'!$D$6:$D$405,$A76,'Nhật ký bảo trì'!$Q$6:$Q$405,"Hoàn thành",'Nhật ký bảo trì'!$B$6:$B$405,"&gt;="&amp;F$5,'Nhật ký bảo trì'!$B$6:$B$405,"&lt;="&amp;EOMONTH(F$5,0))&gt;0,"✔",IF(((EOMONTH(F$5,0)&gt;='Kế hoạch định kỳ'!$W76)*(INT((EOMONTH(F$5,0)-'Kế hoạch định kỳ'!$W76)/'Kế hoạch định kỳ'!$X76)+1)-(F$5-1&gt;='Kế hoạch định kỳ'!$W76)*(INT((F$5-1-'Kế hoạch định kỳ'!$W76)/'Kế hoạch định kỳ'!$X76)+1))&gt;0,IF(EOMONTH(F$5,0)&lt;'Tổng quan'!$B$11,"✖","○"),"")))</f>
        <v/>
      </c>
      <c r="G76" s="24" t="str">
        <f>IF($A76="","",IF(COUNTIFS('Nhật ký bảo trì'!$D$6:$D$405,$A76,'Nhật ký bảo trì'!$Q$6:$Q$405,"Hoàn thành",'Nhật ký bảo trì'!$B$6:$B$405,"&gt;="&amp;G$5,'Nhật ký bảo trì'!$B$6:$B$405,"&lt;="&amp;EOMONTH(G$5,0))&gt;0,"✔",IF(((EOMONTH(G$5,0)&gt;='Kế hoạch định kỳ'!$W76)*(INT((EOMONTH(G$5,0)-'Kế hoạch định kỳ'!$W76)/'Kế hoạch định kỳ'!$X76)+1)-(G$5-1&gt;='Kế hoạch định kỳ'!$W76)*(INT((G$5-1-'Kế hoạch định kỳ'!$W76)/'Kế hoạch định kỳ'!$X76)+1))&gt;0,IF(EOMONTH(G$5,0)&lt;'Tổng quan'!$B$11,"✖","○"),"")))</f>
        <v/>
      </c>
      <c r="H76" s="24" t="str">
        <f>IF($A76="","",IF(COUNTIFS('Nhật ký bảo trì'!$D$6:$D$405,$A76,'Nhật ký bảo trì'!$Q$6:$Q$405,"Hoàn thành",'Nhật ký bảo trì'!$B$6:$B$405,"&gt;="&amp;H$5,'Nhật ký bảo trì'!$B$6:$B$405,"&lt;="&amp;EOMONTH(H$5,0))&gt;0,"✔",IF(((EOMONTH(H$5,0)&gt;='Kế hoạch định kỳ'!$W76)*(INT((EOMONTH(H$5,0)-'Kế hoạch định kỳ'!$W76)/'Kế hoạch định kỳ'!$X76)+1)-(H$5-1&gt;='Kế hoạch định kỳ'!$W76)*(INT((H$5-1-'Kế hoạch định kỳ'!$W76)/'Kế hoạch định kỳ'!$X76)+1))&gt;0,IF(EOMONTH(H$5,0)&lt;'Tổng quan'!$B$11,"✖","○"),"")))</f>
        <v/>
      </c>
      <c r="I76" s="24" t="str">
        <f>IF($A76="","",IF(COUNTIFS('Nhật ký bảo trì'!$D$6:$D$405,$A76,'Nhật ký bảo trì'!$Q$6:$Q$405,"Hoàn thành",'Nhật ký bảo trì'!$B$6:$B$405,"&gt;="&amp;I$5,'Nhật ký bảo trì'!$B$6:$B$405,"&lt;="&amp;EOMONTH(I$5,0))&gt;0,"✔",IF(((EOMONTH(I$5,0)&gt;='Kế hoạch định kỳ'!$W76)*(INT((EOMONTH(I$5,0)-'Kế hoạch định kỳ'!$W76)/'Kế hoạch định kỳ'!$X76)+1)-(I$5-1&gt;='Kế hoạch định kỳ'!$W76)*(INT((I$5-1-'Kế hoạch định kỳ'!$W76)/'Kế hoạch định kỳ'!$X76)+1))&gt;0,IF(EOMONTH(I$5,0)&lt;'Tổng quan'!$B$11,"✖","○"),"")))</f>
        <v/>
      </c>
      <c r="J76" s="24" t="str">
        <f>IF($A76="","",IF(COUNTIFS('Nhật ký bảo trì'!$D$6:$D$405,$A76,'Nhật ký bảo trì'!$Q$6:$Q$405,"Hoàn thành",'Nhật ký bảo trì'!$B$6:$B$405,"&gt;="&amp;J$5,'Nhật ký bảo trì'!$B$6:$B$405,"&lt;="&amp;EOMONTH(J$5,0))&gt;0,"✔",IF(((EOMONTH(J$5,0)&gt;='Kế hoạch định kỳ'!$W76)*(INT((EOMONTH(J$5,0)-'Kế hoạch định kỳ'!$W76)/'Kế hoạch định kỳ'!$X76)+1)-(J$5-1&gt;='Kế hoạch định kỳ'!$W76)*(INT((J$5-1-'Kế hoạch định kỳ'!$W76)/'Kế hoạch định kỳ'!$X76)+1))&gt;0,IF(EOMONTH(J$5,0)&lt;'Tổng quan'!$B$11,"✖","○"),"")))</f>
        <v/>
      </c>
      <c r="K76" s="24" t="str">
        <f>IF($A76="","",IF(COUNTIFS('Nhật ký bảo trì'!$D$6:$D$405,$A76,'Nhật ký bảo trì'!$Q$6:$Q$405,"Hoàn thành",'Nhật ký bảo trì'!$B$6:$B$405,"&gt;="&amp;K$5,'Nhật ký bảo trì'!$B$6:$B$405,"&lt;="&amp;EOMONTH(K$5,0))&gt;0,"✔",IF(((EOMONTH(K$5,0)&gt;='Kế hoạch định kỳ'!$W76)*(INT((EOMONTH(K$5,0)-'Kế hoạch định kỳ'!$W76)/'Kế hoạch định kỳ'!$X76)+1)-(K$5-1&gt;='Kế hoạch định kỳ'!$W76)*(INT((K$5-1-'Kế hoạch định kỳ'!$W76)/'Kế hoạch định kỳ'!$X76)+1))&gt;0,IF(EOMONTH(K$5,0)&lt;'Tổng quan'!$B$11,"✖","○"),"")))</f>
        <v/>
      </c>
      <c r="L76" s="24" t="str">
        <f>IF($A76="","",IF(COUNTIFS('Nhật ký bảo trì'!$D$6:$D$405,$A76,'Nhật ký bảo trì'!$Q$6:$Q$405,"Hoàn thành",'Nhật ký bảo trì'!$B$6:$B$405,"&gt;="&amp;L$5,'Nhật ký bảo trì'!$B$6:$B$405,"&lt;="&amp;EOMONTH(L$5,0))&gt;0,"✔",IF(((EOMONTH(L$5,0)&gt;='Kế hoạch định kỳ'!$W76)*(INT((EOMONTH(L$5,0)-'Kế hoạch định kỳ'!$W76)/'Kế hoạch định kỳ'!$X76)+1)-(L$5-1&gt;='Kế hoạch định kỳ'!$W76)*(INT((L$5-1-'Kế hoạch định kỳ'!$W76)/'Kế hoạch định kỳ'!$X76)+1))&gt;0,IF(EOMONTH(L$5,0)&lt;'Tổng quan'!$B$11,"✖","○"),"")))</f>
        <v/>
      </c>
      <c r="M76" s="24" t="str">
        <f>IF($A76="","",IF(COUNTIFS('Nhật ký bảo trì'!$D$6:$D$405,$A76,'Nhật ký bảo trì'!$Q$6:$Q$405,"Hoàn thành",'Nhật ký bảo trì'!$B$6:$B$405,"&gt;="&amp;M$5,'Nhật ký bảo trì'!$B$6:$B$405,"&lt;="&amp;EOMONTH(M$5,0))&gt;0,"✔",IF(((EOMONTH(M$5,0)&gt;='Kế hoạch định kỳ'!$W76)*(INT((EOMONTH(M$5,0)-'Kế hoạch định kỳ'!$W76)/'Kế hoạch định kỳ'!$X76)+1)-(M$5-1&gt;='Kế hoạch định kỳ'!$W76)*(INT((M$5-1-'Kế hoạch định kỳ'!$W76)/'Kế hoạch định kỳ'!$X76)+1))&gt;0,IF(EOMONTH(M$5,0)&lt;'Tổng quan'!$B$11,"✖","○"),"")))</f>
        <v/>
      </c>
      <c r="N76" s="24" t="str">
        <f>IF($A76="","",IF(COUNTIFS('Nhật ký bảo trì'!$D$6:$D$405,$A76,'Nhật ký bảo trì'!$Q$6:$Q$405,"Hoàn thành",'Nhật ký bảo trì'!$B$6:$B$405,"&gt;="&amp;N$5,'Nhật ký bảo trì'!$B$6:$B$405,"&lt;="&amp;EOMONTH(N$5,0))&gt;0,"✔",IF(((EOMONTH(N$5,0)&gt;='Kế hoạch định kỳ'!$W76)*(INT((EOMONTH(N$5,0)-'Kế hoạch định kỳ'!$W76)/'Kế hoạch định kỳ'!$X76)+1)-(N$5-1&gt;='Kế hoạch định kỳ'!$W76)*(INT((N$5-1-'Kế hoạch định kỳ'!$W76)/'Kế hoạch định kỳ'!$X76)+1))&gt;0,IF(EOMONTH(N$5,0)&lt;'Tổng quan'!$B$11,"✖","○"),"")))</f>
        <v/>
      </c>
      <c r="O76" s="24" t="str">
        <f>IF($A76="","",IF(COUNTIFS('Nhật ký bảo trì'!$D$6:$D$405,$A76,'Nhật ký bảo trì'!$Q$6:$Q$405,"Hoàn thành",'Nhật ký bảo trì'!$B$6:$B$405,"&gt;="&amp;O$5,'Nhật ký bảo trì'!$B$6:$B$405,"&lt;="&amp;EOMONTH(O$5,0))&gt;0,"✔",IF(((EOMONTH(O$5,0)&gt;='Kế hoạch định kỳ'!$W76)*(INT((EOMONTH(O$5,0)-'Kế hoạch định kỳ'!$W76)/'Kế hoạch định kỳ'!$X76)+1)-(O$5-1&gt;='Kế hoạch định kỳ'!$W76)*(INT((O$5-1-'Kế hoạch định kỳ'!$W76)/'Kế hoạch định kỳ'!$X76)+1))&gt;0,IF(EOMONTH(O$5,0)&lt;'Tổng quan'!$B$11,"✖","○"),"")))</f>
        <v/>
      </c>
      <c r="P76" s="24" t="str">
        <f>IF($A76="","",IF(COUNTIFS('Nhật ký bảo trì'!$D$6:$D$405,$A76,'Nhật ký bảo trì'!$Q$6:$Q$405,"Hoàn thành",'Nhật ký bảo trì'!$B$6:$B$405,"&gt;="&amp;P$5,'Nhật ký bảo trì'!$B$6:$B$405,"&lt;="&amp;EOMONTH(P$5,0))&gt;0,"✔",IF(((EOMONTH(P$5,0)&gt;='Kế hoạch định kỳ'!$W76)*(INT((EOMONTH(P$5,0)-'Kế hoạch định kỳ'!$W76)/'Kế hoạch định kỳ'!$X76)+1)-(P$5-1&gt;='Kế hoạch định kỳ'!$W76)*(INT((P$5-1-'Kế hoạch định kỳ'!$W76)/'Kế hoạch định kỳ'!$X76)+1))&gt;0,IF(EOMONTH(P$5,0)&lt;'Tổng quan'!$B$11,"✖","○"),"")))</f>
        <v/>
      </c>
      <c r="Q76" s="16" t="str">
        <f>IF($A76="","",COUNTIFS('Nhật ký bảo trì'!$D$6:$D$405,$A76,'Nhật ký bảo trì'!$Q$6:$Q$405,"Hoàn thành",'Nhật ký bảo trì'!$B$6:$B$405,"&gt;="&amp;DATE('Tổng quan'!$B$6,1,1),'Nhật ký bảo trì'!$B$6:$B$405,"&lt;="&amp;DATE('Tổng quan'!$B$6,12,31)))</f>
        <v/>
      </c>
      <c r="R76" s="16" t="str">
        <f t="shared" si="1"/>
        <v/>
      </c>
    </row>
    <row r="77" ht="24.0" customHeight="1">
      <c r="A77" s="26" t="str">
        <f>IF('Kế hoạch định kỳ'!$B77="","",'Kế hoạch định kỳ'!$B77)</f>
        <v/>
      </c>
      <c r="B77" s="28" t="str">
        <f>IF('Kế hoạch định kỳ'!$B77="","",'Kế hoạch định kỳ'!$D77)</f>
        <v/>
      </c>
      <c r="C77" s="56" t="str">
        <f>IF('Kế hoạch định kỳ'!$B77="","",'Kế hoạch định kỳ'!$F77)</f>
        <v/>
      </c>
      <c r="D77" s="26" t="str">
        <f>IF('Kế hoạch định kỳ'!$B77="","",IF('Kế hoạch định kỳ'!$I77&lt;&gt;"",'Kế hoạch định kỳ'!$I77&amp;" ngày",'Kế hoạch định kỳ'!$H77))</f>
        <v/>
      </c>
      <c r="E77" s="61" t="str">
        <f>IF($A77="","",IF(COUNTIFS('Nhật ký bảo trì'!$D$6:$D$405,$A77,'Nhật ký bảo trì'!$Q$6:$Q$405,"Hoàn thành",'Nhật ký bảo trì'!$B$6:$B$405,"&gt;="&amp;E$5,'Nhật ký bảo trì'!$B$6:$B$405,"&lt;="&amp;EOMONTH(E$5,0))&gt;0,"✔",IF(((EOMONTH(E$5,0)&gt;='Kế hoạch định kỳ'!$W77)*(INT((EOMONTH(E$5,0)-'Kế hoạch định kỳ'!$W77)/'Kế hoạch định kỳ'!$X77)+1)-(E$5-1&gt;='Kế hoạch định kỳ'!$W77)*(INT((E$5-1-'Kế hoạch định kỳ'!$W77)/'Kế hoạch định kỳ'!$X77)+1))&gt;0,IF(EOMONTH(E$5,0)&lt;'Tổng quan'!$B$11,"✖","○"),"")))</f>
        <v/>
      </c>
      <c r="F77" s="61" t="str">
        <f>IF($A77="","",IF(COUNTIFS('Nhật ký bảo trì'!$D$6:$D$405,$A77,'Nhật ký bảo trì'!$Q$6:$Q$405,"Hoàn thành",'Nhật ký bảo trì'!$B$6:$B$405,"&gt;="&amp;F$5,'Nhật ký bảo trì'!$B$6:$B$405,"&lt;="&amp;EOMONTH(F$5,0))&gt;0,"✔",IF(((EOMONTH(F$5,0)&gt;='Kế hoạch định kỳ'!$W77)*(INT((EOMONTH(F$5,0)-'Kế hoạch định kỳ'!$W77)/'Kế hoạch định kỳ'!$X77)+1)-(F$5-1&gt;='Kế hoạch định kỳ'!$W77)*(INT((F$5-1-'Kế hoạch định kỳ'!$W77)/'Kế hoạch định kỳ'!$X77)+1))&gt;0,IF(EOMONTH(F$5,0)&lt;'Tổng quan'!$B$11,"✖","○"),"")))</f>
        <v/>
      </c>
      <c r="G77" s="61" t="str">
        <f>IF($A77="","",IF(COUNTIFS('Nhật ký bảo trì'!$D$6:$D$405,$A77,'Nhật ký bảo trì'!$Q$6:$Q$405,"Hoàn thành",'Nhật ký bảo trì'!$B$6:$B$405,"&gt;="&amp;G$5,'Nhật ký bảo trì'!$B$6:$B$405,"&lt;="&amp;EOMONTH(G$5,0))&gt;0,"✔",IF(((EOMONTH(G$5,0)&gt;='Kế hoạch định kỳ'!$W77)*(INT((EOMONTH(G$5,0)-'Kế hoạch định kỳ'!$W77)/'Kế hoạch định kỳ'!$X77)+1)-(G$5-1&gt;='Kế hoạch định kỳ'!$W77)*(INT((G$5-1-'Kế hoạch định kỳ'!$W77)/'Kế hoạch định kỳ'!$X77)+1))&gt;0,IF(EOMONTH(G$5,0)&lt;'Tổng quan'!$B$11,"✖","○"),"")))</f>
        <v/>
      </c>
      <c r="H77" s="61" t="str">
        <f>IF($A77="","",IF(COUNTIFS('Nhật ký bảo trì'!$D$6:$D$405,$A77,'Nhật ký bảo trì'!$Q$6:$Q$405,"Hoàn thành",'Nhật ký bảo trì'!$B$6:$B$405,"&gt;="&amp;H$5,'Nhật ký bảo trì'!$B$6:$B$405,"&lt;="&amp;EOMONTH(H$5,0))&gt;0,"✔",IF(((EOMONTH(H$5,0)&gt;='Kế hoạch định kỳ'!$W77)*(INT((EOMONTH(H$5,0)-'Kế hoạch định kỳ'!$W77)/'Kế hoạch định kỳ'!$X77)+1)-(H$5-1&gt;='Kế hoạch định kỳ'!$W77)*(INT((H$5-1-'Kế hoạch định kỳ'!$W77)/'Kế hoạch định kỳ'!$X77)+1))&gt;0,IF(EOMONTH(H$5,0)&lt;'Tổng quan'!$B$11,"✖","○"),"")))</f>
        <v/>
      </c>
      <c r="I77" s="61" t="str">
        <f>IF($A77="","",IF(COUNTIFS('Nhật ký bảo trì'!$D$6:$D$405,$A77,'Nhật ký bảo trì'!$Q$6:$Q$405,"Hoàn thành",'Nhật ký bảo trì'!$B$6:$B$405,"&gt;="&amp;I$5,'Nhật ký bảo trì'!$B$6:$B$405,"&lt;="&amp;EOMONTH(I$5,0))&gt;0,"✔",IF(((EOMONTH(I$5,0)&gt;='Kế hoạch định kỳ'!$W77)*(INT((EOMONTH(I$5,0)-'Kế hoạch định kỳ'!$W77)/'Kế hoạch định kỳ'!$X77)+1)-(I$5-1&gt;='Kế hoạch định kỳ'!$W77)*(INT((I$5-1-'Kế hoạch định kỳ'!$W77)/'Kế hoạch định kỳ'!$X77)+1))&gt;0,IF(EOMONTH(I$5,0)&lt;'Tổng quan'!$B$11,"✖","○"),"")))</f>
        <v/>
      </c>
      <c r="J77" s="61" t="str">
        <f>IF($A77="","",IF(COUNTIFS('Nhật ký bảo trì'!$D$6:$D$405,$A77,'Nhật ký bảo trì'!$Q$6:$Q$405,"Hoàn thành",'Nhật ký bảo trì'!$B$6:$B$405,"&gt;="&amp;J$5,'Nhật ký bảo trì'!$B$6:$B$405,"&lt;="&amp;EOMONTH(J$5,0))&gt;0,"✔",IF(((EOMONTH(J$5,0)&gt;='Kế hoạch định kỳ'!$W77)*(INT((EOMONTH(J$5,0)-'Kế hoạch định kỳ'!$W77)/'Kế hoạch định kỳ'!$X77)+1)-(J$5-1&gt;='Kế hoạch định kỳ'!$W77)*(INT((J$5-1-'Kế hoạch định kỳ'!$W77)/'Kế hoạch định kỳ'!$X77)+1))&gt;0,IF(EOMONTH(J$5,0)&lt;'Tổng quan'!$B$11,"✖","○"),"")))</f>
        <v/>
      </c>
      <c r="K77" s="61" t="str">
        <f>IF($A77="","",IF(COUNTIFS('Nhật ký bảo trì'!$D$6:$D$405,$A77,'Nhật ký bảo trì'!$Q$6:$Q$405,"Hoàn thành",'Nhật ký bảo trì'!$B$6:$B$405,"&gt;="&amp;K$5,'Nhật ký bảo trì'!$B$6:$B$405,"&lt;="&amp;EOMONTH(K$5,0))&gt;0,"✔",IF(((EOMONTH(K$5,0)&gt;='Kế hoạch định kỳ'!$W77)*(INT((EOMONTH(K$5,0)-'Kế hoạch định kỳ'!$W77)/'Kế hoạch định kỳ'!$X77)+1)-(K$5-1&gt;='Kế hoạch định kỳ'!$W77)*(INT((K$5-1-'Kế hoạch định kỳ'!$W77)/'Kế hoạch định kỳ'!$X77)+1))&gt;0,IF(EOMONTH(K$5,0)&lt;'Tổng quan'!$B$11,"✖","○"),"")))</f>
        <v/>
      </c>
      <c r="L77" s="61" t="str">
        <f>IF($A77="","",IF(COUNTIFS('Nhật ký bảo trì'!$D$6:$D$405,$A77,'Nhật ký bảo trì'!$Q$6:$Q$405,"Hoàn thành",'Nhật ký bảo trì'!$B$6:$B$405,"&gt;="&amp;L$5,'Nhật ký bảo trì'!$B$6:$B$405,"&lt;="&amp;EOMONTH(L$5,0))&gt;0,"✔",IF(((EOMONTH(L$5,0)&gt;='Kế hoạch định kỳ'!$W77)*(INT((EOMONTH(L$5,0)-'Kế hoạch định kỳ'!$W77)/'Kế hoạch định kỳ'!$X77)+1)-(L$5-1&gt;='Kế hoạch định kỳ'!$W77)*(INT((L$5-1-'Kế hoạch định kỳ'!$W77)/'Kế hoạch định kỳ'!$X77)+1))&gt;0,IF(EOMONTH(L$5,0)&lt;'Tổng quan'!$B$11,"✖","○"),"")))</f>
        <v/>
      </c>
      <c r="M77" s="61" t="str">
        <f>IF($A77="","",IF(COUNTIFS('Nhật ký bảo trì'!$D$6:$D$405,$A77,'Nhật ký bảo trì'!$Q$6:$Q$405,"Hoàn thành",'Nhật ký bảo trì'!$B$6:$B$405,"&gt;="&amp;M$5,'Nhật ký bảo trì'!$B$6:$B$405,"&lt;="&amp;EOMONTH(M$5,0))&gt;0,"✔",IF(((EOMONTH(M$5,0)&gt;='Kế hoạch định kỳ'!$W77)*(INT((EOMONTH(M$5,0)-'Kế hoạch định kỳ'!$W77)/'Kế hoạch định kỳ'!$X77)+1)-(M$5-1&gt;='Kế hoạch định kỳ'!$W77)*(INT((M$5-1-'Kế hoạch định kỳ'!$W77)/'Kế hoạch định kỳ'!$X77)+1))&gt;0,IF(EOMONTH(M$5,0)&lt;'Tổng quan'!$B$11,"✖","○"),"")))</f>
        <v/>
      </c>
      <c r="N77" s="61" t="str">
        <f>IF($A77="","",IF(COUNTIFS('Nhật ký bảo trì'!$D$6:$D$405,$A77,'Nhật ký bảo trì'!$Q$6:$Q$405,"Hoàn thành",'Nhật ký bảo trì'!$B$6:$B$405,"&gt;="&amp;N$5,'Nhật ký bảo trì'!$B$6:$B$405,"&lt;="&amp;EOMONTH(N$5,0))&gt;0,"✔",IF(((EOMONTH(N$5,0)&gt;='Kế hoạch định kỳ'!$W77)*(INT((EOMONTH(N$5,0)-'Kế hoạch định kỳ'!$W77)/'Kế hoạch định kỳ'!$X77)+1)-(N$5-1&gt;='Kế hoạch định kỳ'!$W77)*(INT((N$5-1-'Kế hoạch định kỳ'!$W77)/'Kế hoạch định kỳ'!$X77)+1))&gt;0,IF(EOMONTH(N$5,0)&lt;'Tổng quan'!$B$11,"✖","○"),"")))</f>
        <v/>
      </c>
      <c r="O77" s="61" t="str">
        <f>IF($A77="","",IF(COUNTIFS('Nhật ký bảo trì'!$D$6:$D$405,$A77,'Nhật ký bảo trì'!$Q$6:$Q$405,"Hoàn thành",'Nhật ký bảo trì'!$B$6:$B$405,"&gt;="&amp;O$5,'Nhật ký bảo trì'!$B$6:$B$405,"&lt;="&amp;EOMONTH(O$5,0))&gt;0,"✔",IF(((EOMONTH(O$5,0)&gt;='Kế hoạch định kỳ'!$W77)*(INT((EOMONTH(O$5,0)-'Kế hoạch định kỳ'!$W77)/'Kế hoạch định kỳ'!$X77)+1)-(O$5-1&gt;='Kế hoạch định kỳ'!$W77)*(INT((O$5-1-'Kế hoạch định kỳ'!$W77)/'Kế hoạch định kỳ'!$X77)+1))&gt;0,IF(EOMONTH(O$5,0)&lt;'Tổng quan'!$B$11,"✖","○"),"")))</f>
        <v/>
      </c>
      <c r="P77" s="61" t="str">
        <f>IF($A77="","",IF(COUNTIFS('Nhật ký bảo trì'!$D$6:$D$405,$A77,'Nhật ký bảo trì'!$Q$6:$Q$405,"Hoàn thành",'Nhật ký bảo trì'!$B$6:$B$405,"&gt;="&amp;P$5,'Nhật ký bảo trì'!$B$6:$B$405,"&lt;="&amp;EOMONTH(P$5,0))&gt;0,"✔",IF(((EOMONTH(P$5,0)&gt;='Kế hoạch định kỳ'!$W77)*(INT((EOMONTH(P$5,0)-'Kế hoạch định kỳ'!$W77)/'Kế hoạch định kỳ'!$X77)+1)-(P$5-1&gt;='Kế hoạch định kỳ'!$W77)*(INT((P$5-1-'Kế hoạch định kỳ'!$W77)/'Kế hoạch định kỳ'!$X77)+1))&gt;0,IF(EOMONTH(P$5,0)&lt;'Tổng quan'!$B$11,"✖","○"),"")))</f>
        <v/>
      </c>
      <c r="Q77" s="30" t="str">
        <f>IF($A77="","",COUNTIFS('Nhật ký bảo trì'!$D$6:$D$405,$A77,'Nhật ký bảo trì'!$Q$6:$Q$405,"Hoàn thành",'Nhật ký bảo trì'!$B$6:$B$405,"&gt;="&amp;DATE('Tổng quan'!$B$6,1,1),'Nhật ký bảo trì'!$B$6:$B$405,"&lt;="&amp;DATE('Tổng quan'!$B$6,12,31)))</f>
        <v/>
      </c>
      <c r="R77" s="30" t="str">
        <f t="shared" si="1"/>
        <v/>
      </c>
    </row>
    <row r="78" ht="24.0" customHeight="1">
      <c r="A78" s="10" t="str">
        <f>IF('Kế hoạch định kỳ'!$B78="","",'Kế hoạch định kỳ'!$B78)</f>
        <v/>
      </c>
      <c r="B78" s="14" t="str">
        <f>IF('Kế hoạch định kỳ'!$B78="","",'Kế hoạch định kỳ'!$D78)</f>
        <v/>
      </c>
      <c r="C78" s="18" t="str">
        <f>IF('Kế hoạch định kỳ'!$B78="","",'Kế hoạch định kỳ'!$F78)</f>
        <v/>
      </c>
      <c r="D78" s="10" t="str">
        <f>IF('Kế hoạch định kỳ'!$B78="","",IF('Kế hoạch định kỳ'!$I78&lt;&gt;"",'Kế hoạch định kỳ'!$I78&amp;" ngày",'Kế hoạch định kỳ'!$H78))</f>
        <v/>
      </c>
      <c r="E78" s="24" t="str">
        <f>IF($A78="","",IF(COUNTIFS('Nhật ký bảo trì'!$D$6:$D$405,$A78,'Nhật ký bảo trì'!$Q$6:$Q$405,"Hoàn thành",'Nhật ký bảo trì'!$B$6:$B$405,"&gt;="&amp;E$5,'Nhật ký bảo trì'!$B$6:$B$405,"&lt;="&amp;EOMONTH(E$5,0))&gt;0,"✔",IF(((EOMONTH(E$5,0)&gt;='Kế hoạch định kỳ'!$W78)*(INT((EOMONTH(E$5,0)-'Kế hoạch định kỳ'!$W78)/'Kế hoạch định kỳ'!$X78)+1)-(E$5-1&gt;='Kế hoạch định kỳ'!$W78)*(INT((E$5-1-'Kế hoạch định kỳ'!$W78)/'Kế hoạch định kỳ'!$X78)+1))&gt;0,IF(EOMONTH(E$5,0)&lt;'Tổng quan'!$B$11,"✖","○"),"")))</f>
        <v/>
      </c>
      <c r="F78" s="24" t="str">
        <f>IF($A78="","",IF(COUNTIFS('Nhật ký bảo trì'!$D$6:$D$405,$A78,'Nhật ký bảo trì'!$Q$6:$Q$405,"Hoàn thành",'Nhật ký bảo trì'!$B$6:$B$405,"&gt;="&amp;F$5,'Nhật ký bảo trì'!$B$6:$B$405,"&lt;="&amp;EOMONTH(F$5,0))&gt;0,"✔",IF(((EOMONTH(F$5,0)&gt;='Kế hoạch định kỳ'!$W78)*(INT((EOMONTH(F$5,0)-'Kế hoạch định kỳ'!$W78)/'Kế hoạch định kỳ'!$X78)+1)-(F$5-1&gt;='Kế hoạch định kỳ'!$W78)*(INT((F$5-1-'Kế hoạch định kỳ'!$W78)/'Kế hoạch định kỳ'!$X78)+1))&gt;0,IF(EOMONTH(F$5,0)&lt;'Tổng quan'!$B$11,"✖","○"),"")))</f>
        <v/>
      </c>
      <c r="G78" s="24" t="str">
        <f>IF($A78="","",IF(COUNTIFS('Nhật ký bảo trì'!$D$6:$D$405,$A78,'Nhật ký bảo trì'!$Q$6:$Q$405,"Hoàn thành",'Nhật ký bảo trì'!$B$6:$B$405,"&gt;="&amp;G$5,'Nhật ký bảo trì'!$B$6:$B$405,"&lt;="&amp;EOMONTH(G$5,0))&gt;0,"✔",IF(((EOMONTH(G$5,0)&gt;='Kế hoạch định kỳ'!$W78)*(INT((EOMONTH(G$5,0)-'Kế hoạch định kỳ'!$W78)/'Kế hoạch định kỳ'!$X78)+1)-(G$5-1&gt;='Kế hoạch định kỳ'!$W78)*(INT((G$5-1-'Kế hoạch định kỳ'!$W78)/'Kế hoạch định kỳ'!$X78)+1))&gt;0,IF(EOMONTH(G$5,0)&lt;'Tổng quan'!$B$11,"✖","○"),"")))</f>
        <v/>
      </c>
      <c r="H78" s="24" t="str">
        <f>IF($A78="","",IF(COUNTIFS('Nhật ký bảo trì'!$D$6:$D$405,$A78,'Nhật ký bảo trì'!$Q$6:$Q$405,"Hoàn thành",'Nhật ký bảo trì'!$B$6:$B$405,"&gt;="&amp;H$5,'Nhật ký bảo trì'!$B$6:$B$405,"&lt;="&amp;EOMONTH(H$5,0))&gt;0,"✔",IF(((EOMONTH(H$5,0)&gt;='Kế hoạch định kỳ'!$W78)*(INT((EOMONTH(H$5,0)-'Kế hoạch định kỳ'!$W78)/'Kế hoạch định kỳ'!$X78)+1)-(H$5-1&gt;='Kế hoạch định kỳ'!$W78)*(INT((H$5-1-'Kế hoạch định kỳ'!$W78)/'Kế hoạch định kỳ'!$X78)+1))&gt;0,IF(EOMONTH(H$5,0)&lt;'Tổng quan'!$B$11,"✖","○"),"")))</f>
        <v/>
      </c>
      <c r="I78" s="24" t="str">
        <f>IF($A78="","",IF(COUNTIFS('Nhật ký bảo trì'!$D$6:$D$405,$A78,'Nhật ký bảo trì'!$Q$6:$Q$405,"Hoàn thành",'Nhật ký bảo trì'!$B$6:$B$405,"&gt;="&amp;I$5,'Nhật ký bảo trì'!$B$6:$B$405,"&lt;="&amp;EOMONTH(I$5,0))&gt;0,"✔",IF(((EOMONTH(I$5,0)&gt;='Kế hoạch định kỳ'!$W78)*(INT((EOMONTH(I$5,0)-'Kế hoạch định kỳ'!$W78)/'Kế hoạch định kỳ'!$X78)+1)-(I$5-1&gt;='Kế hoạch định kỳ'!$W78)*(INT((I$5-1-'Kế hoạch định kỳ'!$W78)/'Kế hoạch định kỳ'!$X78)+1))&gt;0,IF(EOMONTH(I$5,0)&lt;'Tổng quan'!$B$11,"✖","○"),"")))</f>
        <v/>
      </c>
      <c r="J78" s="24" t="str">
        <f>IF($A78="","",IF(COUNTIFS('Nhật ký bảo trì'!$D$6:$D$405,$A78,'Nhật ký bảo trì'!$Q$6:$Q$405,"Hoàn thành",'Nhật ký bảo trì'!$B$6:$B$405,"&gt;="&amp;J$5,'Nhật ký bảo trì'!$B$6:$B$405,"&lt;="&amp;EOMONTH(J$5,0))&gt;0,"✔",IF(((EOMONTH(J$5,0)&gt;='Kế hoạch định kỳ'!$W78)*(INT((EOMONTH(J$5,0)-'Kế hoạch định kỳ'!$W78)/'Kế hoạch định kỳ'!$X78)+1)-(J$5-1&gt;='Kế hoạch định kỳ'!$W78)*(INT((J$5-1-'Kế hoạch định kỳ'!$W78)/'Kế hoạch định kỳ'!$X78)+1))&gt;0,IF(EOMONTH(J$5,0)&lt;'Tổng quan'!$B$11,"✖","○"),"")))</f>
        <v/>
      </c>
      <c r="K78" s="24" t="str">
        <f>IF($A78="","",IF(COUNTIFS('Nhật ký bảo trì'!$D$6:$D$405,$A78,'Nhật ký bảo trì'!$Q$6:$Q$405,"Hoàn thành",'Nhật ký bảo trì'!$B$6:$B$405,"&gt;="&amp;K$5,'Nhật ký bảo trì'!$B$6:$B$405,"&lt;="&amp;EOMONTH(K$5,0))&gt;0,"✔",IF(((EOMONTH(K$5,0)&gt;='Kế hoạch định kỳ'!$W78)*(INT((EOMONTH(K$5,0)-'Kế hoạch định kỳ'!$W78)/'Kế hoạch định kỳ'!$X78)+1)-(K$5-1&gt;='Kế hoạch định kỳ'!$W78)*(INT((K$5-1-'Kế hoạch định kỳ'!$W78)/'Kế hoạch định kỳ'!$X78)+1))&gt;0,IF(EOMONTH(K$5,0)&lt;'Tổng quan'!$B$11,"✖","○"),"")))</f>
        <v/>
      </c>
      <c r="L78" s="24" t="str">
        <f>IF($A78="","",IF(COUNTIFS('Nhật ký bảo trì'!$D$6:$D$405,$A78,'Nhật ký bảo trì'!$Q$6:$Q$405,"Hoàn thành",'Nhật ký bảo trì'!$B$6:$B$405,"&gt;="&amp;L$5,'Nhật ký bảo trì'!$B$6:$B$405,"&lt;="&amp;EOMONTH(L$5,0))&gt;0,"✔",IF(((EOMONTH(L$5,0)&gt;='Kế hoạch định kỳ'!$W78)*(INT((EOMONTH(L$5,0)-'Kế hoạch định kỳ'!$W78)/'Kế hoạch định kỳ'!$X78)+1)-(L$5-1&gt;='Kế hoạch định kỳ'!$W78)*(INT((L$5-1-'Kế hoạch định kỳ'!$W78)/'Kế hoạch định kỳ'!$X78)+1))&gt;0,IF(EOMONTH(L$5,0)&lt;'Tổng quan'!$B$11,"✖","○"),"")))</f>
        <v/>
      </c>
      <c r="M78" s="24" t="str">
        <f>IF($A78="","",IF(COUNTIFS('Nhật ký bảo trì'!$D$6:$D$405,$A78,'Nhật ký bảo trì'!$Q$6:$Q$405,"Hoàn thành",'Nhật ký bảo trì'!$B$6:$B$405,"&gt;="&amp;M$5,'Nhật ký bảo trì'!$B$6:$B$405,"&lt;="&amp;EOMONTH(M$5,0))&gt;0,"✔",IF(((EOMONTH(M$5,0)&gt;='Kế hoạch định kỳ'!$W78)*(INT((EOMONTH(M$5,0)-'Kế hoạch định kỳ'!$W78)/'Kế hoạch định kỳ'!$X78)+1)-(M$5-1&gt;='Kế hoạch định kỳ'!$W78)*(INT((M$5-1-'Kế hoạch định kỳ'!$W78)/'Kế hoạch định kỳ'!$X78)+1))&gt;0,IF(EOMONTH(M$5,0)&lt;'Tổng quan'!$B$11,"✖","○"),"")))</f>
        <v/>
      </c>
      <c r="N78" s="24" t="str">
        <f>IF($A78="","",IF(COUNTIFS('Nhật ký bảo trì'!$D$6:$D$405,$A78,'Nhật ký bảo trì'!$Q$6:$Q$405,"Hoàn thành",'Nhật ký bảo trì'!$B$6:$B$405,"&gt;="&amp;N$5,'Nhật ký bảo trì'!$B$6:$B$405,"&lt;="&amp;EOMONTH(N$5,0))&gt;0,"✔",IF(((EOMONTH(N$5,0)&gt;='Kế hoạch định kỳ'!$W78)*(INT((EOMONTH(N$5,0)-'Kế hoạch định kỳ'!$W78)/'Kế hoạch định kỳ'!$X78)+1)-(N$5-1&gt;='Kế hoạch định kỳ'!$W78)*(INT((N$5-1-'Kế hoạch định kỳ'!$W78)/'Kế hoạch định kỳ'!$X78)+1))&gt;0,IF(EOMONTH(N$5,0)&lt;'Tổng quan'!$B$11,"✖","○"),"")))</f>
        <v/>
      </c>
      <c r="O78" s="24" t="str">
        <f>IF($A78="","",IF(COUNTIFS('Nhật ký bảo trì'!$D$6:$D$405,$A78,'Nhật ký bảo trì'!$Q$6:$Q$405,"Hoàn thành",'Nhật ký bảo trì'!$B$6:$B$405,"&gt;="&amp;O$5,'Nhật ký bảo trì'!$B$6:$B$405,"&lt;="&amp;EOMONTH(O$5,0))&gt;0,"✔",IF(((EOMONTH(O$5,0)&gt;='Kế hoạch định kỳ'!$W78)*(INT((EOMONTH(O$5,0)-'Kế hoạch định kỳ'!$W78)/'Kế hoạch định kỳ'!$X78)+1)-(O$5-1&gt;='Kế hoạch định kỳ'!$W78)*(INT((O$5-1-'Kế hoạch định kỳ'!$W78)/'Kế hoạch định kỳ'!$X78)+1))&gt;0,IF(EOMONTH(O$5,0)&lt;'Tổng quan'!$B$11,"✖","○"),"")))</f>
        <v/>
      </c>
      <c r="P78" s="24" t="str">
        <f>IF($A78="","",IF(COUNTIFS('Nhật ký bảo trì'!$D$6:$D$405,$A78,'Nhật ký bảo trì'!$Q$6:$Q$405,"Hoàn thành",'Nhật ký bảo trì'!$B$6:$B$405,"&gt;="&amp;P$5,'Nhật ký bảo trì'!$B$6:$B$405,"&lt;="&amp;EOMONTH(P$5,0))&gt;0,"✔",IF(((EOMONTH(P$5,0)&gt;='Kế hoạch định kỳ'!$W78)*(INT((EOMONTH(P$5,0)-'Kế hoạch định kỳ'!$W78)/'Kế hoạch định kỳ'!$X78)+1)-(P$5-1&gt;='Kế hoạch định kỳ'!$W78)*(INT((P$5-1-'Kế hoạch định kỳ'!$W78)/'Kế hoạch định kỳ'!$X78)+1))&gt;0,IF(EOMONTH(P$5,0)&lt;'Tổng quan'!$B$11,"✖","○"),"")))</f>
        <v/>
      </c>
      <c r="Q78" s="16" t="str">
        <f>IF($A78="","",COUNTIFS('Nhật ký bảo trì'!$D$6:$D$405,$A78,'Nhật ký bảo trì'!$Q$6:$Q$405,"Hoàn thành",'Nhật ký bảo trì'!$B$6:$B$405,"&gt;="&amp;DATE('Tổng quan'!$B$6,1,1),'Nhật ký bảo trì'!$B$6:$B$405,"&lt;="&amp;DATE('Tổng quan'!$B$6,12,31)))</f>
        <v/>
      </c>
      <c r="R78" s="16" t="str">
        <f t="shared" si="1"/>
        <v/>
      </c>
    </row>
    <row r="79" ht="24.0" customHeight="1">
      <c r="A79" s="26" t="str">
        <f>IF('Kế hoạch định kỳ'!$B79="","",'Kế hoạch định kỳ'!$B79)</f>
        <v/>
      </c>
      <c r="B79" s="28" t="str">
        <f>IF('Kế hoạch định kỳ'!$B79="","",'Kế hoạch định kỳ'!$D79)</f>
        <v/>
      </c>
      <c r="C79" s="56" t="str">
        <f>IF('Kế hoạch định kỳ'!$B79="","",'Kế hoạch định kỳ'!$F79)</f>
        <v/>
      </c>
      <c r="D79" s="26" t="str">
        <f>IF('Kế hoạch định kỳ'!$B79="","",IF('Kế hoạch định kỳ'!$I79&lt;&gt;"",'Kế hoạch định kỳ'!$I79&amp;" ngày",'Kế hoạch định kỳ'!$H79))</f>
        <v/>
      </c>
      <c r="E79" s="61" t="str">
        <f>IF($A79="","",IF(COUNTIFS('Nhật ký bảo trì'!$D$6:$D$405,$A79,'Nhật ký bảo trì'!$Q$6:$Q$405,"Hoàn thành",'Nhật ký bảo trì'!$B$6:$B$405,"&gt;="&amp;E$5,'Nhật ký bảo trì'!$B$6:$B$405,"&lt;="&amp;EOMONTH(E$5,0))&gt;0,"✔",IF(((EOMONTH(E$5,0)&gt;='Kế hoạch định kỳ'!$W79)*(INT((EOMONTH(E$5,0)-'Kế hoạch định kỳ'!$W79)/'Kế hoạch định kỳ'!$X79)+1)-(E$5-1&gt;='Kế hoạch định kỳ'!$W79)*(INT((E$5-1-'Kế hoạch định kỳ'!$W79)/'Kế hoạch định kỳ'!$X79)+1))&gt;0,IF(EOMONTH(E$5,0)&lt;'Tổng quan'!$B$11,"✖","○"),"")))</f>
        <v/>
      </c>
      <c r="F79" s="61" t="str">
        <f>IF($A79="","",IF(COUNTIFS('Nhật ký bảo trì'!$D$6:$D$405,$A79,'Nhật ký bảo trì'!$Q$6:$Q$405,"Hoàn thành",'Nhật ký bảo trì'!$B$6:$B$405,"&gt;="&amp;F$5,'Nhật ký bảo trì'!$B$6:$B$405,"&lt;="&amp;EOMONTH(F$5,0))&gt;0,"✔",IF(((EOMONTH(F$5,0)&gt;='Kế hoạch định kỳ'!$W79)*(INT((EOMONTH(F$5,0)-'Kế hoạch định kỳ'!$W79)/'Kế hoạch định kỳ'!$X79)+1)-(F$5-1&gt;='Kế hoạch định kỳ'!$W79)*(INT((F$5-1-'Kế hoạch định kỳ'!$W79)/'Kế hoạch định kỳ'!$X79)+1))&gt;0,IF(EOMONTH(F$5,0)&lt;'Tổng quan'!$B$11,"✖","○"),"")))</f>
        <v/>
      </c>
      <c r="G79" s="61" t="str">
        <f>IF($A79="","",IF(COUNTIFS('Nhật ký bảo trì'!$D$6:$D$405,$A79,'Nhật ký bảo trì'!$Q$6:$Q$405,"Hoàn thành",'Nhật ký bảo trì'!$B$6:$B$405,"&gt;="&amp;G$5,'Nhật ký bảo trì'!$B$6:$B$405,"&lt;="&amp;EOMONTH(G$5,0))&gt;0,"✔",IF(((EOMONTH(G$5,0)&gt;='Kế hoạch định kỳ'!$W79)*(INT((EOMONTH(G$5,0)-'Kế hoạch định kỳ'!$W79)/'Kế hoạch định kỳ'!$X79)+1)-(G$5-1&gt;='Kế hoạch định kỳ'!$W79)*(INT((G$5-1-'Kế hoạch định kỳ'!$W79)/'Kế hoạch định kỳ'!$X79)+1))&gt;0,IF(EOMONTH(G$5,0)&lt;'Tổng quan'!$B$11,"✖","○"),"")))</f>
        <v/>
      </c>
      <c r="H79" s="61" t="str">
        <f>IF($A79="","",IF(COUNTIFS('Nhật ký bảo trì'!$D$6:$D$405,$A79,'Nhật ký bảo trì'!$Q$6:$Q$405,"Hoàn thành",'Nhật ký bảo trì'!$B$6:$B$405,"&gt;="&amp;H$5,'Nhật ký bảo trì'!$B$6:$B$405,"&lt;="&amp;EOMONTH(H$5,0))&gt;0,"✔",IF(((EOMONTH(H$5,0)&gt;='Kế hoạch định kỳ'!$W79)*(INT((EOMONTH(H$5,0)-'Kế hoạch định kỳ'!$W79)/'Kế hoạch định kỳ'!$X79)+1)-(H$5-1&gt;='Kế hoạch định kỳ'!$W79)*(INT((H$5-1-'Kế hoạch định kỳ'!$W79)/'Kế hoạch định kỳ'!$X79)+1))&gt;0,IF(EOMONTH(H$5,0)&lt;'Tổng quan'!$B$11,"✖","○"),"")))</f>
        <v/>
      </c>
      <c r="I79" s="61" t="str">
        <f>IF($A79="","",IF(COUNTIFS('Nhật ký bảo trì'!$D$6:$D$405,$A79,'Nhật ký bảo trì'!$Q$6:$Q$405,"Hoàn thành",'Nhật ký bảo trì'!$B$6:$B$405,"&gt;="&amp;I$5,'Nhật ký bảo trì'!$B$6:$B$405,"&lt;="&amp;EOMONTH(I$5,0))&gt;0,"✔",IF(((EOMONTH(I$5,0)&gt;='Kế hoạch định kỳ'!$W79)*(INT((EOMONTH(I$5,0)-'Kế hoạch định kỳ'!$W79)/'Kế hoạch định kỳ'!$X79)+1)-(I$5-1&gt;='Kế hoạch định kỳ'!$W79)*(INT((I$5-1-'Kế hoạch định kỳ'!$W79)/'Kế hoạch định kỳ'!$X79)+1))&gt;0,IF(EOMONTH(I$5,0)&lt;'Tổng quan'!$B$11,"✖","○"),"")))</f>
        <v/>
      </c>
      <c r="J79" s="61" t="str">
        <f>IF($A79="","",IF(COUNTIFS('Nhật ký bảo trì'!$D$6:$D$405,$A79,'Nhật ký bảo trì'!$Q$6:$Q$405,"Hoàn thành",'Nhật ký bảo trì'!$B$6:$B$405,"&gt;="&amp;J$5,'Nhật ký bảo trì'!$B$6:$B$405,"&lt;="&amp;EOMONTH(J$5,0))&gt;0,"✔",IF(((EOMONTH(J$5,0)&gt;='Kế hoạch định kỳ'!$W79)*(INT((EOMONTH(J$5,0)-'Kế hoạch định kỳ'!$W79)/'Kế hoạch định kỳ'!$X79)+1)-(J$5-1&gt;='Kế hoạch định kỳ'!$W79)*(INT((J$5-1-'Kế hoạch định kỳ'!$W79)/'Kế hoạch định kỳ'!$X79)+1))&gt;0,IF(EOMONTH(J$5,0)&lt;'Tổng quan'!$B$11,"✖","○"),"")))</f>
        <v/>
      </c>
      <c r="K79" s="61" t="str">
        <f>IF($A79="","",IF(COUNTIFS('Nhật ký bảo trì'!$D$6:$D$405,$A79,'Nhật ký bảo trì'!$Q$6:$Q$405,"Hoàn thành",'Nhật ký bảo trì'!$B$6:$B$405,"&gt;="&amp;K$5,'Nhật ký bảo trì'!$B$6:$B$405,"&lt;="&amp;EOMONTH(K$5,0))&gt;0,"✔",IF(((EOMONTH(K$5,0)&gt;='Kế hoạch định kỳ'!$W79)*(INT((EOMONTH(K$5,0)-'Kế hoạch định kỳ'!$W79)/'Kế hoạch định kỳ'!$X79)+1)-(K$5-1&gt;='Kế hoạch định kỳ'!$W79)*(INT((K$5-1-'Kế hoạch định kỳ'!$W79)/'Kế hoạch định kỳ'!$X79)+1))&gt;0,IF(EOMONTH(K$5,0)&lt;'Tổng quan'!$B$11,"✖","○"),"")))</f>
        <v/>
      </c>
      <c r="L79" s="61" t="str">
        <f>IF($A79="","",IF(COUNTIFS('Nhật ký bảo trì'!$D$6:$D$405,$A79,'Nhật ký bảo trì'!$Q$6:$Q$405,"Hoàn thành",'Nhật ký bảo trì'!$B$6:$B$405,"&gt;="&amp;L$5,'Nhật ký bảo trì'!$B$6:$B$405,"&lt;="&amp;EOMONTH(L$5,0))&gt;0,"✔",IF(((EOMONTH(L$5,0)&gt;='Kế hoạch định kỳ'!$W79)*(INT((EOMONTH(L$5,0)-'Kế hoạch định kỳ'!$W79)/'Kế hoạch định kỳ'!$X79)+1)-(L$5-1&gt;='Kế hoạch định kỳ'!$W79)*(INT((L$5-1-'Kế hoạch định kỳ'!$W79)/'Kế hoạch định kỳ'!$X79)+1))&gt;0,IF(EOMONTH(L$5,0)&lt;'Tổng quan'!$B$11,"✖","○"),"")))</f>
        <v/>
      </c>
      <c r="M79" s="61" t="str">
        <f>IF($A79="","",IF(COUNTIFS('Nhật ký bảo trì'!$D$6:$D$405,$A79,'Nhật ký bảo trì'!$Q$6:$Q$405,"Hoàn thành",'Nhật ký bảo trì'!$B$6:$B$405,"&gt;="&amp;M$5,'Nhật ký bảo trì'!$B$6:$B$405,"&lt;="&amp;EOMONTH(M$5,0))&gt;0,"✔",IF(((EOMONTH(M$5,0)&gt;='Kế hoạch định kỳ'!$W79)*(INT((EOMONTH(M$5,0)-'Kế hoạch định kỳ'!$W79)/'Kế hoạch định kỳ'!$X79)+1)-(M$5-1&gt;='Kế hoạch định kỳ'!$W79)*(INT((M$5-1-'Kế hoạch định kỳ'!$W79)/'Kế hoạch định kỳ'!$X79)+1))&gt;0,IF(EOMONTH(M$5,0)&lt;'Tổng quan'!$B$11,"✖","○"),"")))</f>
        <v/>
      </c>
      <c r="N79" s="61" t="str">
        <f>IF($A79="","",IF(COUNTIFS('Nhật ký bảo trì'!$D$6:$D$405,$A79,'Nhật ký bảo trì'!$Q$6:$Q$405,"Hoàn thành",'Nhật ký bảo trì'!$B$6:$B$405,"&gt;="&amp;N$5,'Nhật ký bảo trì'!$B$6:$B$405,"&lt;="&amp;EOMONTH(N$5,0))&gt;0,"✔",IF(((EOMONTH(N$5,0)&gt;='Kế hoạch định kỳ'!$W79)*(INT((EOMONTH(N$5,0)-'Kế hoạch định kỳ'!$W79)/'Kế hoạch định kỳ'!$X79)+1)-(N$5-1&gt;='Kế hoạch định kỳ'!$W79)*(INT((N$5-1-'Kế hoạch định kỳ'!$W79)/'Kế hoạch định kỳ'!$X79)+1))&gt;0,IF(EOMONTH(N$5,0)&lt;'Tổng quan'!$B$11,"✖","○"),"")))</f>
        <v/>
      </c>
      <c r="O79" s="61" t="str">
        <f>IF($A79="","",IF(COUNTIFS('Nhật ký bảo trì'!$D$6:$D$405,$A79,'Nhật ký bảo trì'!$Q$6:$Q$405,"Hoàn thành",'Nhật ký bảo trì'!$B$6:$B$405,"&gt;="&amp;O$5,'Nhật ký bảo trì'!$B$6:$B$405,"&lt;="&amp;EOMONTH(O$5,0))&gt;0,"✔",IF(((EOMONTH(O$5,0)&gt;='Kế hoạch định kỳ'!$W79)*(INT((EOMONTH(O$5,0)-'Kế hoạch định kỳ'!$W79)/'Kế hoạch định kỳ'!$X79)+1)-(O$5-1&gt;='Kế hoạch định kỳ'!$W79)*(INT((O$5-1-'Kế hoạch định kỳ'!$W79)/'Kế hoạch định kỳ'!$X79)+1))&gt;0,IF(EOMONTH(O$5,0)&lt;'Tổng quan'!$B$11,"✖","○"),"")))</f>
        <v/>
      </c>
      <c r="P79" s="61" t="str">
        <f>IF($A79="","",IF(COUNTIFS('Nhật ký bảo trì'!$D$6:$D$405,$A79,'Nhật ký bảo trì'!$Q$6:$Q$405,"Hoàn thành",'Nhật ký bảo trì'!$B$6:$B$405,"&gt;="&amp;P$5,'Nhật ký bảo trì'!$B$6:$B$405,"&lt;="&amp;EOMONTH(P$5,0))&gt;0,"✔",IF(((EOMONTH(P$5,0)&gt;='Kế hoạch định kỳ'!$W79)*(INT((EOMONTH(P$5,0)-'Kế hoạch định kỳ'!$W79)/'Kế hoạch định kỳ'!$X79)+1)-(P$5-1&gt;='Kế hoạch định kỳ'!$W79)*(INT((P$5-1-'Kế hoạch định kỳ'!$W79)/'Kế hoạch định kỳ'!$X79)+1))&gt;0,IF(EOMONTH(P$5,0)&lt;'Tổng quan'!$B$11,"✖","○"),"")))</f>
        <v/>
      </c>
      <c r="Q79" s="30" t="str">
        <f>IF($A79="","",COUNTIFS('Nhật ký bảo trì'!$D$6:$D$405,$A79,'Nhật ký bảo trì'!$Q$6:$Q$405,"Hoàn thành",'Nhật ký bảo trì'!$B$6:$B$405,"&gt;="&amp;DATE('Tổng quan'!$B$6,1,1),'Nhật ký bảo trì'!$B$6:$B$405,"&lt;="&amp;DATE('Tổng quan'!$B$6,12,31)))</f>
        <v/>
      </c>
      <c r="R79" s="30" t="str">
        <f t="shared" si="1"/>
        <v/>
      </c>
    </row>
    <row r="80" ht="24.0" customHeight="1">
      <c r="A80" s="10" t="str">
        <f>IF('Kế hoạch định kỳ'!$B80="","",'Kế hoạch định kỳ'!$B80)</f>
        <v/>
      </c>
      <c r="B80" s="14" t="str">
        <f>IF('Kế hoạch định kỳ'!$B80="","",'Kế hoạch định kỳ'!$D80)</f>
        <v/>
      </c>
      <c r="C80" s="18" t="str">
        <f>IF('Kế hoạch định kỳ'!$B80="","",'Kế hoạch định kỳ'!$F80)</f>
        <v/>
      </c>
      <c r="D80" s="10" t="str">
        <f>IF('Kế hoạch định kỳ'!$B80="","",IF('Kế hoạch định kỳ'!$I80&lt;&gt;"",'Kế hoạch định kỳ'!$I80&amp;" ngày",'Kế hoạch định kỳ'!$H80))</f>
        <v/>
      </c>
      <c r="E80" s="24" t="str">
        <f>IF($A80="","",IF(COUNTIFS('Nhật ký bảo trì'!$D$6:$D$405,$A80,'Nhật ký bảo trì'!$Q$6:$Q$405,"Hoàn thành",'Nhật ký bảo trì'!$B$6:$B$405,"&gt;="&amp;E$5,'Nhật ký bảo trì'!$B$6:$B$405,"&lt;="&amp;EOMONTH(E$5,0))&gt;0,"✔",IF(((EOMONTH(E$5,0)&gt;='Kế hoạch định kỳ'!$W80)*(INT((EOMONTH(E$5,0)-'Kế hoạch định kỳ'!$W80)/'Kế hoạch định kỳ'!$X80)+1)-(E$5-1&gt;='Kế hoạch định kỳ'!$W80)*(INT((E$5-1-'Kế hoạch định kỳ'!$W80)/'Kế hoạch định kỳ'!$X80)+1))&gt;0,IF(EOMONTH(E$5,0)&lt;'Tổng quan'!$B$11,"✖","○"),"")))</f>
        <v/>
      </c>
      <c r="F80" s="24" t="str">
        <f>IF($A80="","",IF(COUNTIFS('Nhật ký bảo trì'!$D$6:$D$405,$A80,'Nhật ký bảo trì'!$Q$6:$Q$405,"Hoàn thành",'Nhật ký bảo trì'!$B$6:$B$405,"&gt;="&amp;F$5,'Nhật ký bảo trì'!$B$6:$B$405,"&lt;="&amp;EOMONTH(F$5,0))&gt;0,"✔",IF(((EOMONTH(F$5,0)&gt;='Kế hoạch định kỳ'!$W80)*(INT((EOMONTH(F$5,0)-'Kế hoạch định kỳ'!$W80)/'Kế hoạch định kỳ'!$X80)+1)-(F$5-1&gt;='Kế hoạch định kỳ'!$W80)*(INT((F$5-1-'Kế hoạch định kỳ'!$W80)/'Kế hoạch định kỳ'!$X80)+1))&gt;0,IF(EOMONTH(F$5,0)&lt;'Tổng quan'!$B$11,"✖","○"),"")))</f>
        <v/>
      </c>
      <c r="G80" s="24" t="str">
        <f>IF($A80="","",IF(COUNTIFS('Nhật ký bảo trì'!$D$6:$D$405,$A80,'Nhật ký bảo trì'!$Q$6:$Q$405,"Hoàn thành",'Nhật ký bảo trì'!$B$6:$B$405,"&gt;="&amp;G$5,'Nhật ký bảo trì'!$B$6:$B$405,"&lt;="&amp;EOMONTH(G$5,0))&gt;0,"✔",IF(((EOMONTH(G$5,0)&gt;='Kế hoạch định kỳ'!$W80)*(INT((EOMONTH(G$5,0)-'Kế hoạch định kỳ'!$W80)/'Kế hoạch định kỳ'!$X80)+1)-(G$5-1&gt;='Kế hoạch định kỳ'!$W80)*(INT((G$5-1-'Kế hoạch định kỳ'!$W80)/'Kế hoạch định kỳ'!$X80)+1))&gt;0,IF(EOMONTH(G$5,0)&lt;'Tổng quan'!$B$11,"✖","○"),"")))</f>
        <v/>
      </c>
      <c r="H80" s="24" t="str">
        <f>IF($A80="","",IF(COUNTIFS('Nhật ký bảo trì'!$D$6:$D$405,$A80,'Nhật ký bảo trì'!$Q$6:$Q$405,"Hoàn thành",'Nhật ký bảo trì'!$B$6:$B$405,"&gt;="&amp;H$5,'Nhật ký bảo trì'!$B$6:$B$405,"&lt;="&amp;EOMONTH(H$5,0))&gt;0,"✔",IF(((EOMONTH(H$5,0)&gt;='Kế hoạch định kỳ'!$W80)*(INT((EOMONTH(H$5,0)-'Kế hoạch định kỳ'!$W80)/'Kế hoạch định kỳ'!$X80)+1)-(H$5-1&gt;='Kế hoạch định kỳ'!$W80)*(INT((H$5-1-'Kế hoạch định kỳ'!$W80)/'Kế hoạch định kỳ'!$X80)+1))&gt;0,IF(EOMONTH(H$5,0)&lt;'Tổng quan'!$B$11,"✖","○"),"")))</f>
        <v/>
      </c>
      <c r="I80" s="24" t="str">
        <f>IF($A80="","",IF(COUNTIFS('Nhật ký bảo trì'!$D$6:$D$405,$A80,'Nhật ký bảo trì'!$Q$6:$Q$405,"Hoàn thành",'Nhật ký bảo trì'!$B$6:$B$405,"&gt;="&amp;I$5,'Nhật ký bảo trì'!$B$6:$B$405,"&lt;="&amp;EOMONTH(I$5,0))&gt;0,"✔",IF(((EOMONTH(I$5,0)&gt;='Kế hoạch định kỳ'!$W80)*(INT((EOMONTH(I$5,0)-'Kế hoạch định kỳ'!$W80)/'Kế hoạch định kỳ'!$X80)+1)-(I$5-1&gt;='Kế hoạch định kỳ'!$W80)*(INT((I$5-1-'Kế hoạch định kỳ'!$W80)/'Kế hoạch định kỳ'!$X80)+1))&gt;0,IF(EOMONTH(I$5,0)&lt;'Tổng quan'!$B$11,"✖","○"),"")))</f>
        <v/>
      </c>
      <c r="J80" s="24" t="str">
        <f>IF($A80="","",IF(COUNTIFS('Nhật ký bảo trì'!$D$6:$D$405,$A80,'Nhật ký bảo trì'!$Q$6:$Q$405,"Hoàn thành",'Nhật ký bảo trì'!$B$6:$B$405,"&gt;="&amp;J$5,'Nhật ký bảo trì'!$B$6:$B$405,"&lt;="&amp;EOMONTH(J$5,0))&gt;0,"✔",IF(((EOMONTH(J$5,0)&gt;='Kế hoạch định kỳ'!$W80)*(INT((EOMONTH(J$5,0)-'Kế hoạch định kỳ'!$W80)/'Kế hoạch định kỳ'!$X80)+1)-(J$5-1&gt;='Kế hoạch định kỳ'!$W80)*(INT((J$5-1-'Kế hoạch định kỳ'!$W80)/'Kế hoạch định kỳ'!$X80)+1))&gt;0,IF(EOMONTH(J$5,0)&lt;'Tổng quan'!$B$11,"✖","○"),"")))</f>
        <v/>
      </c>
      <c r="K80" s="24" t="str">
        <f>IF($A80="","",IF(COUNTIFS('Nhật ký bảo trì'!$D$6:$D$405,$A80,'Nhật ký bảo trì'!$Q$6:$Q$405,"Hoàn thành",'Nhật ký bảo trì'!$B$6:$B$405,"&gt;="&amp;K$5,'Nhật ký bảo trì'!$B$6:$B$405,"&lt;="&amp;EOMONTH(K$5,0))&gt;0,"✔",IF(((EOMONTH(K$5,0)&gt;='Kế hoạch định kỳ'!$W80)*(INT((EOMONTH(K$5,0)-'Kế hoạch định kỳ'!$W80)/'Kế hoạch định kỳ'!$X80)+1)-(K$5-1&gt;='Kế hoạch định kỳ'!$W80)*(INT((K$5-1-'Kế hoạch định kỳ'!$W80)/'Kế hoạch định kỳ'!$X80)+1))&gt;0,IF(EOMONTH(K$5,0)&lt;'Tổng quan'!$B$11,"✖","○"),"")))</f>
        <v/>
      </c>
      <c r="L80" s="24" t="str">
        <f>IF($A80="","",IF(COUNTIFS('Nhật ký bảo trì'!$D$6:$D$405,$A80,'Nhật ký bảo trì'!$Q$6:$Q$405,"Hoàn thành",'Nhật ký bảo trì'!$B$6:$B$405,"&gt;="&amp;L$5,'Nhật ký bảo trì'!$B$6:$B$405,"&lt;="&amp;EOMONTH(L$5,0))&gt;0,"✔",IF(((EOMONTH(L$5,0)&gt;='Kế hoạch định kỳ'!$W80)*(INT((EOMONTH(L$5,0)-'Kế hoạch định kỳ'!$W80)/'Kế hoạch định kỳ'!$X80)+1)-(L$5-1&gt;='Kế hoạch định kỳ'!$W80)*(INT((L$5-1-'Kế hoạch định kỳ'!$W80)/'Kế hoạch định kỳ'!$X80)+1))&gt;0,IF(EOMONTH(L$5,0)&lt;'Tổng quan'!$B$11,"✖","○"),"")))</f>
        <v/>
      </c>
      <c r="M80" s="24" t="str">
        <f>IF($A80="","",IF(COUNTIFS('Nhật ký bảo trì'!$D$6:$D$405,$A80,'Nhật ký bảo trì'!$Q$6:$Q$405,"Hoàn thành",'Nhật ký bảo trì'!$B$6:$B$405,"&gt;="&amp;M$5,'Nhật ký bảo trì'!$B$6:$B$405,"&lt;="&amp;EOMONTH(M$5,0))&gt;0,"✔",IF(((EOMONTH(M$5,0)&gt;='Kế hoạch định kỳ'!$W80)*(INT((EOMONTH(M$5,0)-'Kế hoạch định kỳ'!$W80)/'Kế hoạch định kỳ'!$X80)+1)-(M$5-1&gt;='Kế hoạch định kỳ'!$W80)*(INT((M$5-1-'Kế hoạch định kỳ'!$W80)/'Kế hoạch định kỳ'!$X80)+1))&gt;0,IF(EOMONTH(M$5,0)&lt;'Tổng quan'!$B$11,"✖","○"),"")))</f>
        <v/>
      </c>
      <c r="N80" s="24" t="str">
        <f>IF($A80="","",IF(COUNTIFS('Nhật ký bảo trì'!$D$6:$D$405,$A80,'Nhật ký bảo trì'!$Q$6:$Q$405,"Hoàn thành",'Nhật ký bảo trì'!$B$6:$B$405,"&gt;="&amp;N$5,'Nhật ký bảo trì'!$B$6:$B$405,"&lt;="&amp;EOMONTH(N$5,0))&gt;0,"✔",IF(((EOMONTH(N$5,0)&gt;='Kế hoạch định kỳ'!$W80)*(INT((EOMONTH(N$5,0)-'Kế hoạch định kỳ'!$W80)/'Kế hoạch định kỳ'!$X80)+1)-(N$5-1&gt;='Kế hoạch định kỳ'!$W80)*(INT((N$5-1-'Kế hoạch định kỳ'!$W80)/'Kế hoạch định kỳ'!$X80)+1))&gt;0,IF(EOMONTH(N$5,0)&lt;'Tổng quan'!$B$11,"✖","○"),"")))</f>
        <v/>
      </c>
      <c r="O80" s="24" t="str">
        <f>IF($A80="","",IF(COUNTIFS('Nhật ký bảo trì'!$D$6:$D$405,$A80,'Nhật ký bảo trì'!$Q$6:$Q$405,"Hoàn thành",'Nhật ký bảo trì'!$B$6:$B$405,"&gt;="&amp;O$5,'Nhật ký bảo trì'!$B$6:$B$405,"&lt;="&amp;EOMONTH(O$5,0))&gt;0,"✔",IF(((EOMONTH(O$5,0)&gt;='Kế hoạch định kỳ'!$W80)*(INT((EOMONTH(O$5,0)-'Kế hoạch định kỳ'!$W80)/'Kế hoạch định kỳ'!$X80)+1)-(O$5-1&gt;='Kế hoạch định kỳ'!$W80)*(INT((O$5-1-'Kế hoạch định kỳ'!$W80)/'Kế hoạch định kỳ'!$X80)+1))&gt;0,IF(EOMONTH(O$5,0)&lt;'Tổng quan'!$B$11,"✖","○"),"")))</f>
        <v/>
      </c>
      <c r="P80" s="24" t="str">
        <f>IF($A80="","",IF(COUNTIFS('Nhật ký bảo trì'!$D$6:$D$405,$A80,'Nhật ký bảo trì'!$Q$6:$Q$405,"Hoàn thành",'Nhật ký bảo trì'!$B$6:$B$405,"&gt;="&amp;P$5,'Nhật ký bảo trì'!$B$6:$B$405,"&lt;="&amp;EOMONTH(P$5,0))&gt;0,"✔",IF(((EOMONTH(P$5,0)&gt;='Kế hoạch định kỳ'!$W80)*(INT((EOMONTH(P$5,0)-'Kế hoạch định kỳ'!$W80)/'Kế hoạch định kỳ'!$X80)+1)-(P$5-1&gt;='Kế hoạch định kỳ'!$W80)*(INT((P$5-1-'Kế hoạch định kỳ'!$W80)/'Kế hoạch định kỳ'!$X80)+1))&gt;0,IF(EOMONTH(P$5,0)&lt;'Tổng quan'!$B$11,"✖","○"),"")))</f>
        <v/>
      </c>
      <c r="Q80" s="16" t="str">
        <f>IF($A80="","",COUNTIFS('Nhật ký bảo trì'!$D$6:$D$405,$A80,'Nhật ký bảo trì'!$Q$6:$Q$405,"Hoàn thành",'Nhật ký bảo trì'!$B$6:$B$405,"&gt;="&amp;DATE('Tổng quan'!$B$6,1,1),'Nhật ký bảo trì'!$B$6:$B$405,"&lt;="&amp;DATE('Tổng quan'!$B$6,12,31)))</f>
        <v/>
      </c>
      <c r="R80" s="16" t="str">
        <f t="shared" si="1"/>
        <v/>
      </c>
    </row>
    <row r="81" ht="24.0" customHeight="1">
      <c r="A81" s="26" t="str">
        <f>IF('Kế hoạch định kỳ'!$B81="","",'Kế hoạch định kỳ'!$B81)</f>
        <v/>
      </c>
      <c r="B81" s="28" t="str">
        <f>IF('Kế hoạch định kỳ'!$B81="","",'Kế hoạch định kỳ'!$D81)</f>
        <v/>
      </c>
      <c r="C81" s="56" t="str">
        <f>IF('Kế hoạch định kỳ'!$B81="","",'Kế hoạch định kỳ'!$F81)</f>
        <v/>
      </c>
      <c r="D81" s="26" t="str">
        <f>IF('Kế hoạch định kỳ'!$B81="","",IF('Kế hoạch định kỳ'!$I81&lt;&gt;"",'Kế hoạch định kỳ'!$I81&amp;" ngày",'Kế hoạch định kỳ'!$H81))</f>
        <v/>
      </c>
      <c r="E81" s="61" t="str">
        <f>IF($A81="","",IF(COUNTIFS('Nhật ký bảo trì'!$D$6:$D$405,$A81,'Nhật ký bảo trì'!$Q$6:$Q$405,"Hoàn thành",'Nhật ký bảo trì'!$B$6:$B$405,"&gt;="&amp;E$5,'Nhật ký bảo trì'!$B$6:$B$405,"&lt;="&amp;EOMONTH(E$5,0))&gt;0,"✔",IF(((EOMONTH(E$5,0)&gt;='Kế hoạch định kỳ'!$W81)*(INT((EOMONTH(E$5,0)-'Kế hoạch định kỳ'!$W81)/'Kế hoạch định kỳ'!$X81)+1)-(E$5-1&gt;='Kế hoạch định kỳ'!$W81)*(INT((E$5-1-'Kế hoạch định kỳ'!$W81)/'Kế hoạch định kỳ'!$X81)+1))&gt;0,IF(EOMONTH(E$5,0)&lt;'Tổng quan'!$B$11,"✖","○"),"")))</f>
        <v/>
      </c>
      <c r="F81" s="61" t="str">
        <f>IF($A81="","",IF(COUNTIFS('Nhật ký bảo trì'!$D$6:$D$405,$A81,'Nhật ký bảo trì'!$Q$6:$Q$405,"Hoàn thành",'Nhật ký bảo trì'!$B$6:$B$405,"&gt;="&amp;F$5,'Nhật ký bảo trì'!$B$6:$B$405,"&lt;="&amp;EOMONTH(F$5,0))&gt;0,"✔",IF(((EOMONTH(F$5,0)&gt;='Kế hoạch định kỳ'!$W81)*(INT((EOMONTH(F$5,0)-'Kế hoạch định kỳ'!$W81)/'Kế hoạch định kỳ'!$X81)+1)-(F$5-1&gt;='Kế hoạch định kỳ'!$W81)*(INT((F$5-1-'Kế hoạch định kỳ'!$W81)/'Kế hoạch định kỳ'!$X81)+1))&gt;0,IF(EOMONTH(F$5,0)&lt;'Tổng quan'!$B$11,"✖","○"),"")))</f>
        <v/>
      </c>
      <c r="G81" s="61" t="str">
        <f>IF($A81="","",IF(COUNTIFS('Nhật ký bảo trì'!$D$6:$D$405,$A81,'Nhật ký bảo trì'!$Q$6:$Q$405,"Hoàn thành",'Nhật ký bảo trì'!$B$6:$B$405,"&gt;="&amp;G$5,'Nhật ký bảo trì'!$B$6:$B$405,"&lt;="&amp;EOMONTH(G$5,0))&gt;0,"✔",IF(((EOMONTH(G$5,0)&gt;='Kế hoạch định kỳ'!$W81)*(INT((EOMONTH(G$5,0)-'Kế hoạch định kỳ'!$W81)/'Kế hoạch định kỳ'!$X81)+1)-(G$5-1&gt;='Kế hoạch định kỳ'!$W81)*(INT((G$5-1-'Kế hoạch định kỳ'!$W81)/'Kế hoạch định kỳ'!$X81)+1))&gt;0,IF(EOMONTH(G$5,0)&lt;'Tổng quan'!$B$11,"✖","○"),"")))</f>
        <v/>
      </c>
      <c r="H81" s="61" t="str">
        <f>IF($A81="","",IF(COUNTIFS('Nhật ký bảo trì'!$D$6:$D$405,$A81,'Nhật ký bảo trì'!$Q$6:$Q$405,"Hoàn thành",'Nhật ký bảo trì'!$B$6:$B$405,"&gt;="&amp;H$5,'Nhật ký bảo trì'!$B$6:$B$405,"&lt;="&amp;EOMONTH(H$5,0))&gt;0,"✔",IF(((EOMONTH(H$5,0)&gt;='Kế hoạch định kỳ'!$W81)*(INT((EOMONTH(H$5,0)-'Kế hoạch định kỳ'!$W81)/'Kế hoạch định kỳ'!$X81)+1)-(H$5-1&gt;='Kế hoạch định kỳ'!$W81)*(INT((H$5-1-'Kế hoạch định kỳ'!$W81)/'Kế hoạch định kỳ'!$X81)+1))&gt;0,IF(EOMONTH(H$5,0)&lt;'Tổng quan'!$B$11,"✖","○"),"")))</f>
        <v/>
      </c>
      <c r="I81" s="61" t="str">
        <f>IF($A81="","",IF(COUNTIFS('Nhật ký bảo trì'!$D$6:$D$405,$A81,'Nhật ký bảo trì'!$Q$6:$Q$405,"Hoàn thành",'Nhật ký bảo trì'!$B$6:$B$405,"&gt;="&amp;I$5,'Nhật ký bảo trì'!$B$6:$B$405,"&lt;="&amp;EOMONTH(I$5,0))&gt;0,"✔",IF(((EOMONTH(I$5,0)&gt;='Kế hoạch định kỳ'!$W81)*(INT((EOMONTH(I$5,0)-'Kế hoạch định kỳ'!$W81)/'Kế hoạch định kỳ'!$X81)+1)-(I$5-1&gt;='Kế hoạch định kỳ'!$W81)*(INT((I$5-1-'Kế hoạch định kỳ'!$W81)/'Kế hoạch định kỳ'!$X81)+1))&gt;0,IF(EOMONTH(I$5,0)&lt;'Tổng quan'!$B$11,"✖","○"),"")))</f>
        <v/>
      </c>
      <c r="J81" s="61" t="str">
        <f>IF($A81="","",IF(COUNTIFS('Nhật ký bảo trì'!$D$6:$D$405,$A81,'Nhật ký bảo trì'!$Q$6:$Q$405,"Hoàn thành",'Nhật ký bảo trì'!$B$6:$B$405,"&gt;="&amp;J$5,'Nhật ký bảo trì'!$B$6:$B$405,"&lt;="&amp;EOMONTH(J$5,0))&gt;0,"✔",IF(((EOMONTH(J$5,0)&gt;='Kế hoạch định kỳ'!$W81)*(INT((EOMONTH(J$5,0)-'Kế hoạch định kỳ'!$W81)/'Kế hoạch định kỳ'!$X81)+1)-(J$5-1&gt;='Kế hoạch định kỳ'!$W81)*(INT((J$5-1-'Kế hoạch định kỳ'!$W81)/'Kế hoạch định kỳ'!$X81)+1))&gt;0,IF(EOMONTH(J$5,0)&lt;'Tổng quan'!$B$11,"✖","○"),"")))</f>
        <v/>
      </c>
      <c r="K81" s="61" t="str">
        <f>IF($A81="","",IF(COUNTIFS('Nhật ký bảo trì'!$D$6:$D$405,$A81,'Nhật ký bảo trì'!$Q$6:$Q$405,"Hoàn thành",'Nhật ký bảo trì'!$B$6:$B$405,"&gt;="&amp;K$5,'Nhật ký bảo trì'!$B$6:$B$405,"&lt;="&amp;EOMONTH(K$5,0))&gt;0,"✔",IF(((EOMONTH(K$5,0)&gt;='Kế hoạch định kỳ'!$W81)*(INT((EOMONTH(K$5,0)-'Kế hoạch định kỳ'!$W81)/'Kế hoạch định kỳ'!$X81)+1)-(K$5-1&gt;='Kế hoạch định kỳ'!$W81)*(INT((K$5-1-'Kế hoạch định kỳ'!$W81)/'Kế hoạch định kỳ'!$X81)+1))&gt;0,IF(EOMONTH(K$5,0)&lt;'Tổng quan'!$B$11,"✖","○"),"")))</f>
        <v/>
      </c>
      <c r="L81" s="61" t="str">
        <f>IF($A81="","",IF(COUNTIFS('Nhật ký bảo trì'!$D$6:$D$405,$A81,'Nhật ký bảo trì'!$Q$6:$Q$405,"Hoàn thành",'Nhật ký bảo trì'!$B$6:$B$405,"&gt;="&amp;L$5,'Nhật ký bảo trì'!$B$6:$B$405,"&lt;="&amp;EOMONTH(L$5,0))&gt;0,"✔",IF(((EOMONTH(L$5,0)&gt;='Kế hoạch định kỳ'!$W81)*(INT((EOMONTH(L$5,0)-'Kế hoạch định kỳ'!$W81)/'Kế hoạch định kỳ'!$X81)+1)-(L$5-1&gt;='Kế hoạch định kỳ'!$W81)*(INT((L$5-1-'Kế hoạch định kỳ'!$W81)/'Kế hoạch định kỳ'!$X81)+1))&gt;0,IF(EOMONTH(L$5,0)&lt;'Tổng quan'!$B$11,"✖","○"),"")))</f>
        <v/>
      </c>
      <c r="M81" s="61" t="str">
        <f>IF($A81="","",IF(COUNTIFS('Nhật ký bảo trì'!$D$6:$D$405,$A81,'Nhật ký bảo trì'!$Q$6:$Q$405,"Hoàn thành",'Nhật ký bảo trì'!$B$6:$B$405,"&gt;="&amp;M$5,'Nhật ký bảo trì'!$B$6:$B$405,"&lt;="&amp;EOMONTH(M$5,0))&gt;0,"✔",IF(((EOMONTH(M$5,0)&gt;='Kế hoạch định kỳ'!$W81)*(INT((EOMONTH(M$5,0)-'Kế hoạch định kỳ'!$W81)/'Kế hoạch định kỳ'!$X81)+1)-(M$5-1&gt;='Kế hoạch định kỳ'!$W81)*(INT((M$5-1-'Kế hoạch định kỳ'!$W81)/'Kế hoạch định kỳ'!$X81)+1))&gt;0,IF(EOMONTH(M$5,0)&lt;'Tổng quan'!$B$11,"✖","○"),"")))</f>
        <v/>
      </c>
      <c r="N81" s="61" t="str">
        <f>IF($A81="","",IF(COUNTIFS('Nhật ký bảo trì'!$D$6:$D$405,$A81,'Nhật ký bảo trì'!$Q$6:$Q$405,"Hoàn thành",'Nhật ký bảo trì'!$B$6:$B$405,"&gt;="&amp;N$5,'Nhật ký bảo trì'!$B$6:$B$405,"&lt;="&amp;EOMONTH(N$5,0))&gt;0,"✔",IF(((EOMONTH(N$5,0)&gt;='Kế hoạch định kỳ'!$W81)*(INT((EOMONTH(N$5,0)-'Kế hoạch định kỳ'!$W81)/'Kế hoạch định kỳ'!$X81)+1)-(N$5-1&gt;='Kế hoạch định kỳ'!$W81)*(INT((N$5-1-'Kế hoạch định kỳ'!$W81)/'Kế hoạch định kỳ'!$X81)+1))&gt;0,IF(EOMONTH(N$5,0)&lt;'Tổng quan'!$B$11,"✖","○"),"")))</f>
        <v/>
      </c>
      <c r="O81" s="61" t="str">
        <f>IF($A81="","",IF(COUNTIFS('Nhật ký bảo trì'!$D$6:$D$405,$A81,'Nhật ký bảo trì'!$Q$6:$Q$405,"Hoàn thành",'Nhật ký bảo trì'!$B$6:$B$405,"&gt;="&amp;O$5,'Nhật ký bảo trì'!$B$6:$B$405,"&lt;="&amp;EOMONTH(O$5,0))&gt;0,"✔",IF(((EOMONTH(O$5,0)&gt;='Kế hoạch định kỳ'!$W81)*(INT((EOMONTH(O$5,0)-'Kế hoạch định kỳ'!$W81)/'Kế hoạch định kỳ'!$X81)+1)-(O$5-1&gt;='Kế hoạch định kỳ'!$W81)*(INT((O$5-1-'Kế hoạch định kỳ'!$W81)/'Kế hoạch định kỳ'!$X81)+1))&gt;0,IF(EOMONTH(O$5,0)&lt;'Tổng quan'!$B$11,"✖","○"),"")))</f>
        <v/>
      </c>
      <c r="P81" s="61" t="str">
        <f>IF($A81="","",IF(COUNTIFS('Nhật ký bảo trì'!$D$6:$D$405,$A81,'Nhật ký bảo trì'!$Q$6:$Q$405,"Hoàn thành",'Nhật ký bảo trì'!$B$6:$B$405,"&gt;="&amp;P$5,'Nhật ký bảo trì'!$B$6:$B$405,"&lt;="&amp;EOMONTH(P$5,0))&gt;0,"✔",IF(((EOMONTH(P$5,0)&gt;='Kế hoạch định kỳ'!$W81)*(INT((EOMONTH(P$5,0)-'Kế hoạch định kỳ'!$W81)/'Kế hoạch định kỳ'!$X81)+1)-(P$5-1&gt;='Kế hoạch định kỳ'!$W81)*(INT((P$5-1-'Kế hoạch định kỳ'!$W81)/'Kế hoạch định kỳ'!$X81)+1))&gt;0,IF(EOMONTH(P$5,0)&lt;'Tổng quan'!$B$11,"✖","○"),"")))</f>
        <v/>
      </c>
      <c r="Q81" s="30" t="str">
        <f>IF($A81="","",COUNTIFS('Nhật ký bảo trì'!$D$6:$D$405,$A81,'Nhật ký bảo trì'!$Q$6:$Q$405,"Hoàn thành",'Nhật ký bảo trì'!$B$6:$B$405,"&gt;="&amp;DATE('Tổng quan'!$B$6,1,1),'Nhật ký bảo trì'!$B$6:$B$405,"&lt;="&amp;DATE('Tổng quan'!$B$6,12,31)))</f>
        <v/>
      </c>
      <c r="R81" s="30" t="str">
        <f t="shared" si="1"/>
        <v/>
      </c>
    </row>
    <row r="82" ht="24.0" customHeight="1">
      <c r="A82" s="10" t="str">
        <f>IF('Kế hoạch định kỳ'!$B82="","",'Kế hoạch định kỳ'!$B82)</f>
        <v/>
      </c>
      <c r="B82" s="14" t="str">
        <f>IF('Kế hoạch định kỳ'!$B82="","",'Kế hoạch định kỳ'!$D82)</f>
        <v/>
      </c>
      <c r="C82" s="18" t="str">
        <f>IF('Kế hoạch định kỳ'!$B82="","",'Kế hoạch định kỳ'!$F82)</f>
        <v/>
      </c>
      <c r="D82" s="10" t="str">
        <f>IF('Kế hoạch định kỳ'!$B82="","",IF('Kế hoạch định kỳ'!$I82&lt;&gt;"",'Kế hoạch định kỳ'!$I82&amp;" ngày",'Kế hoạch định kỳ'!$H82))</f>
        <v/>
      </c>
      <c r="E82" s="24" t="str">
        <f>IF($A82="","",IF(COUNTIFS('Nhật ký bảo trì'!$D$6:$D$405,$A82,'Nhật ký bảo trì'!$Q$6:$Q$405,"Hoàn thành",'Nhật ký bảo trì'!$B$6:$B$405,"&gt;="&amp;E$5,'Nhật ký bảo trì'!$B$6:$B$405,"&lt;="&amp;EOMONTH(E$5,0))&gt;0,"✔",IF(((EOMONTH(E$5,0)&gt;='Kế hoạch định kỳ'!$W82)*(INT((EOMONTH(E$5,0)-'Kế hoạch định kỳ'!$W82)/'Kế hoạch định kỳ'!$X82)+1)-(E$5-1&gt;='Kế hoạch định kỳ'!$W82)*(INT((E$5-1-'Kế hoạch định kỳ'!$W82)/'Kế hoạch định kỳ'!$X82)+1))&gt;0,IF(EOMONTH(E$5,0)&lt;'Tổng quan'!$B$11,"✖","○"),"")))</f>
        <v/>
      </c>
      <c r="F82" s="24" t="str">
        <f>IF($A82="","",IF(COUNTIFS('Nhật ký bảo trì'!$D$6:$D$405,$A82,'Nhật ký bảo trì'!$Q$6:$Q$405,"Hoàn thành",'Nhật ký bảo trì'!$B$6:$B$405,"&gt;="&amp;F$5,'Nhật ký bảo trì'!$B$6:$B$405,"&lt;="&amp;EOMONTH(F$5,0))&gt;0,"✔",IF(((EOMONTH(F$5,0)&gt;='Kế hoạch định kỳ'!$W82)*(INT((EOMONTH(F$5,0)-'Kế hoạch định kỳ'!$W82)/'Kế hoạch định kỳ'!$X82)+1)-(F$5-1&gt;='Kế hoạch định kỳ'!$W82)*(INT((F$5-1-'Kế hoạch định kỳ'!$W82)/'Kế hoạch định kỳ'!$X82)+1))&gt;0,IF(EOMONTH(F$5,0)&lt;'Tổng quan'!$B$11,"✖","○"),"")))</f>
        <v/>
      </c>
      <c r="G82" s="24" t="str">
        <f>IF($A82="","",IF(COUNTIFS('Nhật ký bảo trì'!$D$6:$D$405,$A82,'Nhật ký bảo trì'!$Q$6:$Q$405,"Hoàn thành",'Nhật ký bảo trì'!$B$6:$B$405,"&gt;="&amp;G$5,'Nhật ký bảo trì'!$B$6:$B$405,"&lt;="&amp;EOMONTH(G$5,0))&gt;0,"✔",IF(((EOMONTH(G$5,0)&gt;='Kế hoạch định kỳ'!$W82)*(INT((EOMONTH(G$5,0)-'Kế hoạch định kỳ'!$W82)/'Kế hoạch định kỳ'!$X82)+1)-(G$5-1&gt;='Kế hoạch định kỳ'!$W82)*(INT((G$5-1-'Kế hoạch định kỳ'!$W82)/'Kế hoạch định kỳ'!$X82)+1))&gt;0,IF(EOMONTH(G$5,0)&lt;'Tổng quan'!$B$11,"✖","○"),"")))</f>
        <v/>
      </c>
      <c r="H82" s="24" t="str">
        <f>IF($A82="","",IF(COUNTIFS('Nhật ký bảo trì'!$D$6:$D$405,$A82,'Nhật ký bảo trì'!$Q$6:$Q$405,"Hoàn thành",'Nhật ký bảo trì'!$B$6:$B$405,"&gt;="&amp;H$5,'Nhật ký bảo trì'!$B$6:$B$405,"&lt;="&amp;EOMONTH(H$5,0))&gt;0,"✔",IF(((EOMONTH(H$5,0)&gt;='Kế hoạch định kỳ'!$W82)*(INT((EOMONTH(H$5,0)-'Kế hoạch định kỳ'!$W82)/'Kế hoạch định kỳ'!$X82)+1)-(H$5-1&gt;='Kế hoạch định kỳ'!$W82)*(INT((H$5-1-'Kế hoạch định kỳ'!$W82)/'Kế hoạch định kỳ'!$X82)+1))&gt;0,IF(EOMONTH(H$5,0)&lt;'Tổng quan'!$B$11,"✖","○"),"")))</f>
        <v/>
      </c>
      <c r="I82" s="24" t="str">
        <f>IF($A82="","",IF(COUNTIFS('Nhật ký bảo trì'!$D$6:$D$405,$A82,'Nhật ký bảo trì'!$Q$6:$Q$405,"Hoàn thành",'Nhật ký bảo trì'!$B$6:$B$405,"&gt;="&amp;I$5,'Nhật ký bảo trì'!$B$6:$B$405,"&lt;="&amp;EOMONTH(I$5,0))&gt;0,"✔",IF(((EOMONTH(I$5,0)&gt;='Kế hoạch định kỳ'!$W82)*(INT((EOMONTH(I$5,0)-'Kế hoạch định kỳ'!$W82)/'Kế hoạch định kỳ'!$X82)+1)-(I$5-1&gt;='Kế hoạch định kỳ'!$W82)*(INT((I$5-1-'Kế hoạch định kỳ'!$W82)/'Kế hoạch định kỳ'!$X82)+1))&gt;0,IF(EOMONTH(I$5,0)&lt;'Tổng quan'!$B$11,"✖","○"),"")))</f>
        <v/>
      </c>
      <c r="J82" s="24" t="str">
        <f>IF($A82="","",IF(COUNTIFS('Nhật ký bảo trì'!$D$6:$D$405,$A82,'Nhật ký bảo trì'!$Q$6:$Q$405,"Hoàn thành",'Nhật ký bảo trì'!$B$6:$B$405,"&gt;="&amp;J$5,'Nhật ký bảo trì'!$B$6:$B$405,"&lt;="&amp;EOMONTH(J$5,0))&gt;0,"✔",IF(((EOMONTH(J$5,0)&gt;='Kế hoạch định kỳ'!$W82)*(INT((EOMONTH(J$5,0)-'Kế hoạch định kỳ'!$W82)/'Kế hoạch định kỳ'!$X82)+1)-(J$5-1&gt;='Kế hoạch định kỳ'!$W82)*(INT((J$5-1-'Kế hoạch định kỳ'!$W82)/'Kế hoạch định kỳ'!$X82)+1))&gt;0,IF(EOMONTH(J$5,0)&lt;'Tổng quan'!$B$11,"✖","○"),"")))</f>
        <v/>
      </c>
      <c r="K82" s="24" t="str">
        <f>IF($A82="","",IF(COUNTIFS('Nhật ký bảo trì'!$D$6:$D$405,$A82,'Nhật ký bảo trì'!$Q$6:$Q$405,"Hoàn thành",'Nhật ký bảo trì'!$B$6:$B$405,"&gt;="&amp;K$5,'Nhật ký bảo trì'!$B$6:$B$405,"&lt;="&amp;EOMONTH(K$5,0))&gt;0,"✔",IF(((EOMONTH(K$5,0)&gt;='Kế hoạch định kỳ'!$W82)*(INT((EOMONTH(K$5,0)-'Kế hoạch định kỳ'!$W82)/'Kế hoạch định kỳ'!$X82)+1)-(K$5-1&gt;='Kế hoạch định kỳ'!$W82)*(INT((K$5-1-'Kế hoạch định kỳ'!$W82)/'Kế hoạch định kỳ'!$X82)+1))&gt;0,IF(EOMONTH(K$5,0)&lt;'Tổng quan'!$B$11,"✖","○"),"")))</f>
        <v/>
      </c>
      <c r="L82" s="24" t="str">
        <f>IF($A82="","",IF(COUNTIFS('Nhật ký bảo trì'!$D$6:$D$405,$A82,'Nhật ký bảo trì'!$Q$6:$Q$405,"Hoàn thành",'Nhật ký bảo trì'!$B$6:$B$405,"&gt;="&amp;L$5,'Nhật ký bảo trì'!$B$6:$B$405,"&lt;="&amp;EOMONTH(L$5,0))&gt;0,"✔",IF(((EOMONTH(L$5,0)&gt;='Kế hoạch định kỳ'!$W82)*(INT((EOMONTH(L$5,0)-'Kế hoạch định kỳ'!$W82)/'Kế hoạch định kỳ'!$X82)+1)-(L$5-1&gt;='Kế hoạch định kỳ'!$W82)*(INT((L$5-1-'Kế hoạch định kỳ'!$W82)/'Kế hoạch định kỳ'!$X82)+1))&gt;0,IF(EOMONTH(L$5,0)&lt;'Tổng quan'!$B$11,"✖","○"),"")))</f>
        <v/>
      </c>
      <c r="M82" s="24" t="str">
        <f>IF($A82="","",IF(COUNTIFS('Nhật ký bảo trì'!$D$6:$D$405,$A82,'Nhật ký bảo trì'!$Q$6:$Q$405,"Hoàn thành",'Nhật ký bảo trì'!$B$6:$B$405,"&gt;="&amp;M$5,'Nhật ký bảo trì'!$B$6:$B$405,"&lt;="&amp;EOMONTH(M$5,0))&gt;0,"✔",IF(((EOMONTH(M$5,0)&gt;='Kế hoạch định kỳ'!$W82)*(INT((EOMONTH(M$5,0)-'Kế hoạch định kỳ'!$W82)/'Kế hoạch định kỳ'!$X82)+1)-(M$5-1&gt;='Kế hoạch định kỳ'!$W82)*(INT((M$5-1-'Kế hoạch định kỳ'!$W82)/'Kế hoạch định kỳ'!$X82)+1))&gt;0,IF(EOMONTH(M$5,0)&lt;'Tổng quan'!$B$11,"✖","○"),"")))</f>
        <v/>
      </c>
      <c r="N82" s="24" t="str">
        <f>IF($A82="","",IF(COUNTIFS('Nhật ký bảo trì'!$D$6:$D$405,$A82,'Nhật ký bảo trì'!$Q$6:$Q$405,"Hoàn thành",'Nhật ký bảo trì'!$B$6:$B$405,"&gt;="&amp;N$5,'Nhật ký bảo trì'!$B$6:$B$405,"&lt;="&amp;EOMONTH(N$5,0))&gt;0,"✔",IF(((EOMONTH(N$5,0)&gt;='Kế hoạch định kỳ'!$W82)*(INT((EOMONTH(N$5,0)-'Kế hoạch định kỳ'!$W82)/'Kế hoạch định kỳ'!$X82)+1)-(N$5-1&gt;='Kế hoạch định kỳ'!$W82)*(INT((N$5-1-'Kế hoạch định kỳ'!$W82)/'Kế hoạch định kỳ'!$X82)+1))&gt;0,IF(EOMONTH(N$5,0)&lt;'Tổng quan'!$B$11,"✖","○"),"")))</f>
        <v/>
      </c>
      <c r="O82" s="24" t="str">
        <f>IF($A82="","",IF(COUNTIFS('Nhật ký bảo trì'!$D$6:$D$405,$A82,'Nhật ký bảo trì'!$Q$6:$Q$405,"Hoàn thành",'Nhật ký bảo trì'!$B$6:$B$405,"&gt;="&amp;O$5,'Nhật ký bảo trì'!$B$6:$B$405,"&lt;="&amp;EOMONTH(O$5,0))&gt;0,"✔",IF(((EOMONTH(O$5,0)&gt;='Kế hoạch định kỳ'!$W82)*(INT((EOMONTH(O$5,0)-'Kế hoạch định kỳ'!$W82)/'Kế hoạch định kỳ'!$X82)+1)-(O$5-1&gt;='Kế hoạch định kỳ'!$W82)*(INT((O$5-1-'Kế hoạch định kỳ'!$W82)/'Kế hoạch định kỳ'!$X82)+1))&gt;0,IF(EOMONTH(O$5,0)&lt;'Tổng quan'!$B$11,"✖","○"),"")))</f>
        <v/>
      </c>
      <c r="P82" s="24" t="str">
        <f>IF($A82="","",IF(COUNTIFS('Nhật ký bảo trì'!$D$6:$D$405,$A82,'Nhật ký bảo trì'!$Q$6:$Q$405,"Hoàn thành",'Nhật ký bảo trì'!$B$6:$B$405,"&gt;="&amp;P$5,'Nhật ký bảo trì'!$B$6:$B$405,"&lt;="&amp;EOMONTH(P$5,0))&gt;0,"✔",IF(((EOMONTH(P$5,0)&gt;='Kế hoạch định kỳ'!$W82)*(INT((EOMONTH(P$5,0)-'Kế hoạch định kỳ'!$W82)/'Kế hoạch định kỳ'!$X82)+1)-(P$5-1&gt;='Kế hoạch định kỳ'!$W82)*(INT((P$5-1-'Kế hoạch định kỳ'!$W82)/'Kế hoạch định kỳ'!$X82)+1))&gt;0,IF(EOMONTH(P$5,0)&lt;'Tổng quan'!$B$11,"✖","○"),"")))</f>
        <v/>
      </c>
      <c r="Q82" s="16" t="str">
        <f>IF($A82="","",COUNTIFS('Nhật ký bảo trì'!$D$6:$D$405,$A82,'Nhật ký bảo trì'!$Q$6:$Q$405,"Hoàn thành",'Nhật ký bảo trì'!$B$6:$B$405,"&gt;="&amp;DATE('Tổng quan'!$B$6,1,1),'Nhật ký bảo trì'!$B$6:$B$405,"&lt;="&amp;DATE('Tổng quan'!$B$6,12,31)))</f>
        <v/>
      </c>
      <c r="R82" s="16" t="str">
        <f t="shared" si="1"/>
        <v/>
      </c>
    </row>
    <row r="83" ht="24.0" customHeight="1">
      <c r="A83" s="26" t="str">
        <f>IF('Kế hoạch định kỳ'!$B83="","",'Kế hoạch định kỳ'!$B83)</f>
        <v/>
      </c>
      <c r="B83" s="28" t="str">
        <f>IF('Kế hoạch định kỳ'!$B83="","",'Kế hoạch định kỳ'!$D83)</f>
        <v/>
      </c>
      <c r="C83" s="56" t="str">
        <f>IF('Kế hoạch định kỳ'!$B83="","",'Kế hoạch định kỳ'!$F83)</f>
        <v/>
      </c>
      <c r="D83" s="26" t="str">
        <f>IF('Kế hoạch định kỳ'!$B83="","",IF('Kế hoạch định kỳ'!$I83&lt;&gt;"",'Kế hoạch định kỳ'!$I83&amp;" ngày",'Kế hoạch định kỳ'!$H83))</f>
        <v/>
      </c>
      <c r="E83" s="61" t="str">
        <f>IF($A83="","",IF(COUNTIFS('Nhật ký bảo trì'!$D$6:$D$405,$A83,'Nhật ký bảo trì'!$Q$6:$Q$405,"Hoàn thành",'Nhật ký bảo trì'!$B$6:$B$405,"&gt;="&amp;E$5,'Nhật ký bảo trì'!$B$6:$B$405,"&lt;="&amp;EOMONTH(E$5,0))&gt;0,"✔",IF(((EOMONTH(E$5,0)&gt;='Kế hoạch định kỳ'!$W83)*(INT((EOMONTH(E$5,0)-'Kế hoạch định kỳ'!$W83)/'Kế hoạch định kỳ'!$X83)+1)-(E$5-1&gt;='Kế hoạch định kỳ'!$W83)*(INT((E$5-1-'Kế hoạch định kỳ'!$W83)/'Kế hoạch định kỳ'!$X83)+1))&gt;0,IF(EOMONTH(E$5,0)&lt;'Tổng quan'!$B$11,"✖","○"),"")))</f>
        <v/>
      </c>
      <c r="F83" s="61" t="str">
        <f>IF($A83="","",IF(COUNTIFS('Nhật ký bảo trì'!$D$6:$D$405,$A83,'Nhật ký bảo trì'!$Q$6:$Q$405,"Hoàn thành",'Nhật ký bảo trì'!$B$6:$B$405,"&gt;="&amp;F$5,'Nhật ký bảo trì'!$B$6:$B$405,"&lt;="&amp;EOMONTH(F$5,0))&gt;0,"✔",IF(((EOMONTH(F$5,0)&gt;='Kế hoạch định kỳ'!$W83)*(INT((EOMONTH(F$5,0)-'Kế hoạch định kỳ'!$W83)/'Kế hoạch định kỳ'!$X83)+1)-(F$5-1&gt;='Kế hoạch định kỳ'!$W83)*(INT((F$5-1-'Kế hoạch định kỳ'!$W83)/'Kế hoạch định kỳ'!$X83)+1))&gt;0,IF(EOMONTH(F$5,0)&lt;'Tổng quan'!$B$11,"✖","○"),"")))</f>
        <v/>
      </c>
      <c r="G83" s="61" t="str">
        <f>IF($A83="","",IF(COUNTIFS('Nhật ký bảo trì'!$D$6:$D$405,$A83,'Nhật ký bảo trì'!$Q$6:$Q$405,"Hoàn thành",'Nhật ký bảo trì'!$B$6:$B$405,"&gt;="&amp;G$5,'Nhật ký bảo trì'!$B$6:$B$405,"&lt;="&amp;EOMONTH(G$5,0))&gt;0,"✔",IF(((EOMONTH(G$5,0)&gt;='Kế hoạch định kỳ'!$W83)*(INT((EOMONTH(G$5,0)-'Kế hoạch định kỳ'!$W83)/'Kế hoạch định kỳ'!$X83)+1)-(G$5-1&gt;='Kế hoạch định kỳ'!$W83)*(INT((G$5-1-'Kế hoạch định kỳ'!$W83)/'Kế hoạch định kỳ'!$X83)+1))&gt;0,IF(EOMONTH(G$5,0)&lt;'Tổng quan'!$B$11,"✖","○"),"")))</f>
        <v/>
      </c>
      <c r="H83" s="61" t="str">
        <f>IF($A83="","",IF(COUNTIFS('Nhật ký bảo trì'!$D$6:$D$405,$A83,'Nhật ký bảo trì'!$Q$6:$Q$405,"Hoàn thành",'Nhật ký bảo trì'!$B$6:$B$405,"&gt;="&amp;H$5,'Nhật ký bảo trì'!$B$6:$B$405,"&lt;="&amp;EOMONTH(H$5,0))&gt;0,"✔",IF(((EOMONTH(H$5,0)&gt;='Kế hoạch định kỳ'!$W83)*(INT((EOMONTH(H$5,0)-'Kế hoạch định kỳ'!$W83)/'Kế hoạch định kỳ'!$X83)+1)-(H$5-1&gt;='Kế hoạch định kỳ'!$W83)*(INT((H$5-1-'Kế hoạch định kỳ'!$W83)/'Kế hoạch định kỳ'!$X83)+1))&gt;0,IF(EOMONTH(H$5,0)&lt;'Tổng quan'!$B$11,"✖","○"),"")))</f>
        <v/>
      </c>
      <c r="I83" s="61" t="str">
        <f>IF($A83="","",IF(COUNTIFS('Nhật ký bảo trì'!$D$6:$D$405,$A83,'Nhật ký bảo trì'!$Q$6:$Q$405,"Hoàn thành",'Nhật ký bảo trì'!$B$6:$B$405,"&gt;="&amp;I$5,'Nhật ký bảo trì'!$B$6:$B$405,"&lt;="&amp;EOMONTH(I$5,0))&gt;0,"✔",IF(((EOMONTH(I$5,0)&gt;='Kế hoạch định kỳ'!$W83)*(INT((EOMONTH(I$5,0)-'Kế hoạch định kỳ'!$W83)/'Kế hoạch định kỳ'!$X83)+1)-(I$5-1&gt;='Kế hoạch định kỳ'!$W83)*(INT((I$5-1-'Kế hoạch định kỳ'!$W83)/'Kế hoạch định kỳ'!$X83)+1))&gt;0,IF(EOMONTH(I$5,0)&lt;'Tổng quan'!$B$11,"✖","○"),"")))</f>
        <v/>
      </c>
      <c r="J83" s="61" t="str">
        <f>IF($A83="","",IF(COUNTIFS('Nhật ký bảo trì'!$D$6:$D$405,$A83,'Nhật ký bảo trì'!$Q$6:$Q$405,"Hoàn thành",'Nhật ký bảo trì'!$B$6:$B$405,"&gt;="&amp;J$5,'Nhật ký bảo trì'!$B$6:$B$405,"&lt;="&amp;EOMONTH(J$5,0))&gt;0,"✔",IF(((EOMONTH(J$5,0)&gt;='Kế hoạch định kỳ'!$W83)*(INT((EOMONTH(J$5,0)-'Kế hoạch định kỳ'!$W83)/'Kế hoạch định kỳ'!$X83)+1)-(J$5-1&gt;='Kế hoạch định kỳ'!$W83)*(INT((J$5-1-'Kế hoạch định kỳ'!$W83)/'Kế hoạch định kỳ'!$X83)+1))&gt;0,IF(EOMONTH(J$5,0)&lt;'Tổng quan'!$B$11,"✖","○"),"")))</f>
        <v/>
      </c>
      <c r="K83" s="61" t="str">
        <f>IF($A83="","",IF(COUNTIFS('Nhật ký bảo trì'!$D$6:$D$405,$A83,'Nhật ký bảo trì'!$Q$6:$Q$405,"Hoàn thành",'Nhật ký bảo trì'!$B$6:$B$405,"&gt;="&amp;K$5,'Nhật ký bảo trì'!$B$6:$B$405,"&lt;="&amp;EOMONTH(K$5,0))&gt;0,"✔",IF(((EOMONTH(K$5,0)&gt;='Kế hoạch định kỳ'!$W83)*(INT((EOMONTH(K$5,0)-'Kế hoạch định kỳ'!$W83)/'Kế hoạch định kỳ'!$X83)+1)-(K$5-1&gt;='Kế hoạch định kỳ'!$W83)*(INT((K$5-1-'Kế hoạch định kỳ'!$W83)/'Kế hoạch định kỳ'!$X83)+1))&gt;0,IF(EOMONTH(K$5,0)&lt;'Tổng quan'!$B$11,"✖","○"),"")))</f>
        <v/>
      </c>
      <c r="L83" s="61" t="str">
        <f>IF($A83="","",IF(COUNTIFS('Nhật ký bảo trì'!$D$6:$D$405,$A83,'Nhật ký bảo trì'!$Q$6:$Q$405,"Hoàn thành",'Nhật ký bảo trì'!$B$6:$B$405,"&gt;="&amp;L$5,'Nhật ký bảo trì'!$B$6:$B$405,"&lt;="&amp;EOMONTH(L$5,0))&gt;0,"✔",IF(((EOMONTH(L$5,0)&gt;='Kế hoạch định kỳ'!$W83)*(INT((EOMONTH(L$5,0)-'Kế hoạch định kỳ'!$W83)/'Kế hoạch định kỳ'!$X83)+1)-(L$5-1&gt;='Kế hoạch định kỳ'!$W83)*(INT((L$5-1-'Kế hoạch định kỳ'!$W83)/'Kế hoạch định kỳ'!$X83)+1))&gt;0,IF(EOMONTH(L$5,0)&lt;'Tổng quan'!$B$11,"✖","○"),"")))</f>
        <v/>
      </c>
      <c r="M83" s="61" t="str">
        <f>IF($A83="","",IF(COUNTIFS('Nhật ký bảo trì'!$D$6:$D$405,$A83,'Nhật ký bảo trì'!$Q$6:$Q$405,"Hoàn thành",'Nhật ký bảo trì'!$B$6:$B$405,"&gt;="&amp;M$5,'Nhật ký bảo trì'!$B$6:$B$405,"&lt;="&amp;EOMONTH(M$5,0))&gt;0,"✔",IF(((EOMONTH(M$5,0)&gt;='Kế hoạch định kỳ'!$W83)*(INT((EOMONTH(M$5,0)-'Kế hoạch định kỳ'!$W83)/'Kế hoạch định kỳ'!$X83)+1)-(M$5-1&gt;='Kế hoạch định kỳ'!$W83)*(INT((M$5-1-'Kế hoạch định kỳ'!$W83)/'Kế hoạch định kỳ'!$X83)+1))&gt;0,IF(EOMONTH(M$5,0)&lt;'Tổng quan'!$B$11,"✖","○"),"")))</f>
        <v/>
      </c>
      <c r="N83" s="61" t="str">
        <f>IF($A83="","",IF(COUNTIFS('Nhật ký bảo trì'!$D$6:$D$405,$A83,'Nhật ký bảo trì'!$Q$6:$Q$405,"Hoàn thành",'Nhật ký bảo trì'!$B$6:$B$405,"&gt;="&amp;N$5,'Nhật ký bảo trì'!$B$6:$B$405,"&lt;="&amp;EOMONTH(N$5,0))&gt;0,"✔",IF(((EOMONTH(N$5,0)&gt;='Kế hoạch định kỳ'!$W83)*(INT((EOMONTH(N$5,0)-'Kế hoạch định kỳ'!$W83)/'Kế hoạch định kỳ'!$X83)+1)-(N$5-1&gt;='Kế hoạch định kỳ'!$W83)*(INT((N$5-1-'Kế hoạch định kỳ'!$W83)/'Kế hoạch định kỳ'!$X83)+1))&gt;0,IF(EOMONTH(N$5,0)&lt;'Tổng quan'!$B$11,"✖","○"),"")))</f>
        <v/>
      </c>
      <c r="O83" s="61" t="str">
        <f>IF($A83="","",IF(COUNTIFS('Nhật ký bảo trì'!$D$6:$D$405,$A83,'Nhật ký bảo trì'!$Q$6:$Q$405,"Hoàn thành",'Nhật ký bảo trì'!$B$6:$B$405,"&gt;="&amp;O$5,'Nhật ký bảo trì'!$B$6:$B$405,"&lt;="&amp;EOMONTH(O$5,0))&gt;0,"✔",IF(((EOMONTH(O$5,0)&gt;='Kế hoạch định kỳ'!$W83)*(INT((EOMONTH(O$5,0)-'Kế hoạch định kỳ'!$W83)/'Kế hoạch định kỳ'!$X83)+1)-(O$5-1&gt;='Kế hoạch định kỳ'!$W83)*(INT((O$5-1-'Kế hoạch định kỳ'!$W83)/'Kế hoạch định kỳ'!$X83)+1))&gt;0,IF(EOMONTH(O$5,0)&lt;'Tổng quan'!$B$11,"✖","○"),"")))</f>
        <v/>
      </c>
      <c r="P83" s="61" t="str">
        <f>IF($A83="","",IF(COUNTIFS('Nhật ký bảo trì'!$D$6:$D$405,$A83,'Nhật ký bảo trì'!$Q$6:$Q$405,"Hoàn thành",'Nhật ký bảo trì'!$B$6:$B$405,"&gt;="&amp;P$5,'Nhật ký bảo trì'!$B$6:$B$405,"&lt;="&amp;EOMONTH(P$5,0))&gt;0,"✔",IF(((EOMONTH(P$5,0)&gt;='Kế hoạch định kỳ'!$W83)*(INT((EOMONTH(P$5,0)-'Kế hoạch định kỳ'!$W83)/'Kế hoạch định kỳ'!$X83)+1)-(P$5-1&gt;='Kế hoạch định kỳ'!$W83)*(INT((P$5-1-'Kế hoạch định kỳ'!$W83)/'Kế hoạch định kỳ'!$X83)+1))&gt;0,IF(EOMONTH(P$5,0)&lt;'Tổng quan'!$B$11,"✖","○"),"")))</f>
        <v/>
      </c>
      <c r="Q83" s="30" t="str">
        <f>IF($A83="","",COUNTIFS('Nhật ký bảo trì'!$D$6:$D$405,$A83,'Nhật ký bảo trì'!$Q$6:$Q$405,"Hoàn thành",'Nhật ký bảo trì'!$B$6:$B$405,"&gt;="&amp;DATE('Tổng quan'!$B$6,1,1),'Nhật ký bảo trì'!$B$6:$B$405,"&lt;="&amp;DATE('Tổng quan'!$B$6,12,31)))</f>
        <v/>
      </c>
      <c r="R83" s="30" t="str">
        <f t="shared" si="1"/>
        <v/>
      </c>
    </row>
    <row r="84" ht="24.0" customHeight="1">
      <c r="A84" s="10" t="str">
        <f>IF('Kế hoạch định kỳ'!$B84="","",'Kế hoạch định kỳ'!$B84)</f>
        <v/>
      </c>
      <c r="B84" s="14" t="str">
        <f>IF('Kế hoạch định kỳ'!$B84="","",'Kế hoạch định kỳ'!$D84)</f>
        <v/>
      </c>
      <c r="C84" s="18" t="str">
        <f>IF('Kế hoạch định kỳ'!$B84="","",'Kế hoạch định kỳ'!$F84)</f>
        <v/>
      </c>
      <c r="D84" s="10" t="str">
        <f>IF('Kế hoạch định kỳ'!$B84="","",IF('Kế hoạch định kỳ'!$I84&lt;&gt;"",'Kế hoạch định kỳ'!$I84&amp;" ngày",'Kế hoạch định kỳ'!$H84))</f>
        <v/>
      </c>
      <c r="E84" s="24" t="str">
        <f>IF($A84="","",IF(COUNTIFS('Nhật ký bảo trì'!$D$6:$D$405,$A84,'Nhật ký bảo trì'!$Q$6:$Q$405,"Hoàn thành",'Nhật ký bảo trì'!$B$6:$B$405,"&gt;="&amp;E$5,'Nhật ký bảo trì'!$B$6:$B$405,"&lt;="&amp;EOMONTH(E$5,0))&gt;0,"✔",IF(((EOMONTH(E$5,0)&gt;='Kế hoạch định kỳ'!$W84)*(INT((EOMONTH(E$5,0)-'Kế hoạch định kỳ'!$W84)/'Kế hoạch định kỳ'!$X84)+1)-(E$5-1&gt;='Kế hoạch định kỳ'!$W84)*(INT((E$5-1-'Kế hoạch định kỳ'!$W84)/'Kế hoạch định kỳ'!$X84)+1))&gt;0,IF(EOMONTH(E$5,0)&lt;'Tổng quan'!$B$11,"✖","○"),"")))</f>
        <v/>
      </c>
      <c r="F84" s="24" t="str">
        <f>IF($A84="","",IF(COUNTIFS('Nhật ký bảo trì'!$D$6:$D$405,$A84,'Nhật ký bảo trì'!$Q$6:$Q$405,"Hoàn thành",'Nhật ký bảo trì'!$B$6:$B$405,"&gt;="&amp;F$5,'Nhật ký bảo trì'!$B$6:$B$405,"&lt;="&amp;EOMONTH(F$5,0))&gt;0,"✔",IF(((EOMONTH(F$5,0)&gt;='Kế hoạch định kỳ'!$W84)*(INT((EOMONTH(F$5,0)-'Kế hoạch định kỳ'!$W84)/'Kế hoạch định kỳ'!$X84)+1)-(F$5-1&gt;='Kế hoạch định kỳ'!$W84)*(INT((F$5-1-'Kế hoạch định kỳ'!$W84)/'Kế hoạch định kỳ'!$X84)+1))&gt;0,IF(EOMONTH(F$5,0)&lt;'Tổng quan'!$B$11,"✖","○"),"")))</f>
        <v/>
      </c>
      <c r="G84" s="24" t="str">
        <f>IF($A84="","",IF(COUNTIFS('Nhật ký bảo trì'!$D$6:$D$405,$A84,'Nhật ký bảo trì'!$Q$6:$Q$405,"Hoàn thành",'Nhật ký bảo trì'!$B$6:$B$405,"&gt;="&amp;G$5,'Nhật ký bảo trì'!$B$6:$B$405,"&lt;="&amp;EOMONTH(G$5,0))&gt;0,"✔",IF(((EOMONTH(G$5,0)&gt;='Kế hoạch định kỳ'!$W84)*(INT((EOMONTH(G$5,0)-'Kế hoạch định kỳ'!$W84)/'Kế hoạch định kỳ'!$X84)+1)-(G$5-1&gt;='Kế hoạch định kỳ'!$W84)*(INT((G$5-1-'Kế hoạch định kỳ'!$W84)/'Kế hoạch định kỳ'!$X84)+1))&gt;0,IF(EOMONTH(G$5,0)&lt;'Tổng quan'!$B$11,"✖","○"),"")))</f>
        <v/>
      </c>
      <c r="H84" s="24" t="str">
        <f>IF($A84="","",IF(COUNTIFS('Nhật ký bảo trì'!$D$6:$D$405,$A84,'Nhật ký bảo trì'!$Q$6:$Q$405,"Hoàn thành",'Nhật ký bảo trì'!$B$6:$B$405,"&gt;="&amp;H$5,'Nhật ký bảo trì'!$B$6:$B$405,"&lt;="&amp;EOMONTH(H$5,0))&gt;0,"✔",IF(((EOMONTH(H$5,0)&gt;='Kế hoạch định kỳ'!$W84)*(INT((EOMONTH(H$5,0)-'Kế hoạch định kỳ'!$W84)/'Kế hoạch định kỳ'!$X84)+1)-(H$5-1&gt;='Kế hoạch định kỳ'!$W84)*(INT((H$5-1-'Kế hoạch định kỳ'!$W84)/'Kế hoạch định kỳ'!$X84)+1))&gt;0,IF(EOMONTH(H$5,0)&lt;'Tổng quan'!$B$11,"✖","○"),"")))</f>
        <v/>
      </c>
      <c r="I84" s="24" t="str">
        <f>IF($A84="","",IF(COUNTIFS('Nhật ký bảo trì'!$D$6:$D$405,$A84,'Nhật ký bảo trì'!$Q$6:$Q$405,"Hoàn thành",'Nhật ký bảo trì'!$B$6:$B$405,"&gt;="&amp;I$5,'Nhật ký bảo trì'!$B$6:$B$405,"&lt;="&amp;EOMONTH(I$5,0))&gt;0,"✔",IF(((EOMONTH(I$5,0)&gt;='Kế hoạch định kỳ'!$W84)*(INT((EOMONTH(I$5,0)-'Kế hoạch định kỳ'!$W84)/'Kế hoạch định kỳ'!$X84)+1)-(I$5-1&gt;='Kế hoạch định kỳ'!$W84)*(INT((I$5-1-'Kế hoạch định kỳ'!$W84)/'Kế hoạch định kỳ'!$X84)+1))&gt;0,IF(EOMONTH(I$5,0)&lt;'Tổng quan'!$B$11,"✖","○"),"")))</f>
        <v/>
      </c>
      <c r="J84" s="24" t="str">
        <f>IF($A84="","",IF(COUNTIFS('Nhật ký bảo trì'!$D$6:$D$405,$A84,'Nhật ký bảo trì'!$Q$6:$Q$405,"Hoàn thành",'Nhật ký bảo trì'!$B$6:$B$405,"&gt;="&amp;J$5,'Nhật ký bảo trì'!$B$6:$B$405,"&lt;="&amp;EOMONTH(J$5,0))&gt;0,"✔",IF(((EOMONTH(J$5,0)&gt;='Kế hoạch định kỳ'!$W84)*(INT((EOMONTH(J$5,0)-'Kế hoạch định kỳ'!$W84)/'Kế hoạch định kỳ'!$X84)+1)-(J$5-1&gt;='Kế hoạch định kỳ'!$W84)*(INT((J$5-1-'Kế hoạch định kỳ'!$W84)/'Kế hoạch định kỳ'!$X84)+1))&gt;0,IF(EOMONTH(J$5,0)&lt;'Tổng quan'!$B$11,"✖","○"),"")))</f>
        <v/>
      </c>
      <c r="K84" s="24" t="str">
        <f>IF($A84="","",IF(COUNTIFS('Nhật ký bảo trì'!$D$6:$D$405,$A84,'Nhật ký bảo trì'!$Q$6:$Q$405,"Hoàn thành",'Nhật ký bảo trì'!$B$6:$B$405,"&gt;="&amp;K$5,'Nhật ký bảo trì'!$B$6:$B$405,"&lt;="&amp;EOMONTH(K$5,0))&gt;0,"✔",IF(((EOMONTH(K$5,0)&gt;='Kế hoạch định kỳ'!$W84)*(INT((EOMONTH(K$5,0)-'Kế hoạch định kỳ'!$W84)/'Kế hoạch định kỳ'!$X84)+1)-(K$5-1&gt;='Kế hoạch định kỳ'!$W84)*(INT((K$5-1-'Kế hoạch định kỳ'!$W84)/'Kế hoạch định kỳ'!$X84)+1))&gt;0,IF(EOMONTH(K$5,0)&lt;'Tổng quan'!$B$11,"✖","○"),"")))</f>
        <v/>
      </c>
      <c r="L84" s="24" t="str">
        <f>IF($A84="","",IF(COUNTIFS('Nhật ký bảo trì'!$D$6:$D$405,$A84,'Nhật ký bảo trì'!$Q$6:$Q$405,"Hoàn thành",'Nhật ký bảo trì'!$B$6:$B$405,"&gt;="&amp;L$5,'Nhật ký bảo trì'!$B$6:$B$405,"&lt;="&amp;EOMONTH(L$5,0))&gt;0,"✔",IF(((EOMONTH(L$5,0)&gt;='Kế hoạch định kỳ'!$W84)*(INT((EOMONTH(L$5,0)-'Kế hoạch định kỳ'!$W84)/'Kế hoạch định kỳ'!$X84)+1)-(L$5-1&gt;='Kế hoạch định kỳ'!$W84)*(INT((L$5-1-'Kế hoạch định kỳ'!$W84)/'Kế hoạch định kỳ'!$X84)+1))&gt;0,IF(EOMONTH(L$5,0)&lt;'Tổng quan'!$B$11,"✖","○"),"")))</f>
        <v/>
      </c>
      <c r="M84" s="24" t="str">
        <f>IF($A84="","",IF(COUNTIFS('Nhật ký bảo trì'!$D$6:$D$405,$A84,'Nhật ký bảo trì'!$Q$6:$Q$405,"Hoàn thành",'Nhật ký bảo trì'!$B$6:$B$405,"&gt;="&amp;M$5,'Nhật ký bảo trì'!$B$6:$B$405,"&lt;="&amp;EOMONTH(M$5,0))&gt;0,"✔",IF(((EOMONTH(M$5,0)&gt;='Kế hoạch định kỳ'!$W84)*(INT((EOMONTH(M$5,0)-'Kế hoạch định kỳ'!$W84)/'Kế hoạch định kỳ'!$X84)+1)-(M$5-1&gt;='Kế hoạch định kỳ'!$W84)*(INT((M$5-1-'Kế hoạch định kỳ'!$W84)/'Kế hoạch định kỳ'!$X84)+1))&gt;0,IF(EOMONTH(M$5,0)&lt;'Tổng quan'!$B$11,"✖","○"),"")))</f>
        <v/>
      </c>
      <c r="N84" s="24" t="str">
        <f>IF($A84="","",IF(COUNTIFS('Nhật ký bảo trì'!$D$6:$D$405,$A84,'Nhật ký bảo trì'!$Q$6:$Q$405,"Hoàn thành",'Nhật ký bảo trì'!$B$6:$B$405,"&gt;="&amp;N$5,'Nhật ký bảo trì'!$B$6:$B$405,"&lt;="&amp;EOMONTH(N$5,0))&gt;0,"✔",IF(((EOMONTH(N$5,0)&gt;='Kế hoạch định kỳ'!$W84)*(INT((EOMONTH(N$5,0)-'Kế hoạch định kỳ'!$W84)/'Kế hoạch định kỳ'!$X84)+1)-(N$5-1&gt;='Kế hoạch định kỳ'!$W84)*(INT((N$5-1-'Kế hoạch định kỳ'!$W84)/'Kế hoạch định kỳ'!$X84)+1))&gt;0,IF(EOMONTH(N$5,0)&lt;'Tổng quan'!$B$11,"✖","○"),"")))</f>
        <v/>
      </c>
      <c r="O84" s="24" t="str">
        <f>IF($A84="","",IF(COUNTIFS('Nhật ký bảo trì'!$D$6:$D$405,$A84,'Nhật ký bảo trì'!$Q$6:$Q$405,"Hoàn thành",'Nhật ký bảo trì'!$B$6:$B$405,"&gt;="&amp;O$5,'Nhật ký bảo trì'!$B$6:$B$405,"&lt;="&amp;EOMONTH(O$5,0))&gt;0,"✔",IF(((EOMONTH(O$5,0)&gt;='Kế hoạch định kỳ'!$W84)*(INT((EOMONTH(O$5,0)-'Kế hoạch định kỳ'!$W84)/'Kế hoạch định kỳ'!$X84)+1)-(O$5-1&gt;='Kế hoạch định kỳ'!$W84)*(INT((O$5-1-'Kế hoạch định kỳ'!$W84)/'Kế hoạch định kỳ'!$X84)+1))&gt;0,IF(EOMONTH(O$5,0)&lt;'Tổng quan'!$B$11,"✖","○"),"")))</f>
        <v/>
      </c>
      <c r="P84" s="24" t="str">
        <f>IF($A84="","",IF(COUNTIFS('Nhật ký bảo trì'!$D$6:$D$405,$A84,'Nhật ký bảo trì'!$Q$6:$Q$405,"Hoàn thành",'Nhật ký bảo trì'!$B$6:$B$405,"&gt;="&amp;P$5,'Nhật ký bảo trì'!$B$6:$B$405,"&lt;="&amp;EOMONTH(P$5,0))&gt;0,"✔",IF(((EOMONTH(P$5,0)&gt;='Kế hoạch định kỳ'!$W84)*(INT((EOMONTH(P$5,0)-'Kế hoạch định kỳ'!$W84)/'Kế hoạch định kỳ'!$X84)+1)-(P$5-1&gt;='Kế hoạch định kỳ'!$W84)*(INT((P$5-1-'Kế hoạch định kỳ'!$W84)/'Kế hoạch định kỳ'!$X84)+1))&gt;0,IF(EOMONTH(P$5,0)&lt;'Tổng quan'!$B$11,"✖","○"),"")))</f>
        <v/>
      </c>
      <c r="Q84" s="16" t="str">
        <f>IF($A84="","",COUNTIFS('Nhật ký bảo trì'!$D$6:$D$405,$A84,'Nhật ký bảo trì'!$Q$6:$Q$405,"Hoàn thành",'Nhật ký bảo trì'!$B$6:$B$405,"&gt;="&amp;DATE('Tổng quan'!$B$6,1,1),'Nhật ký bảo trì'!$B$6:$B$405,"&lt;="&amp;DATE('Tổng quan'!$B$6,12,31)))</f>
        <v/>
      </c>
      <c r="R84" s="16" t="str">
        <f t="shared" si="1"/>
        <v/>
      </c>
    </row>
    <row r="85" ht="24.0" customHeight="1">
      <c r="A85" s="26" t="str">
        <f>IF('Kế hoạch định kỳ'!$B85="","",'Kế hoạch định kỳ'!$B85)</f>
        <v/>
      </c>
      <c r="B85" s="28" t="str">
        <f>IF('Kế hoạch định kỳ'!$B85="","",'Kế hoạch định kỳ'!$D85)</f>
        <v/>
      </c>
      <c r="C85" s="56" t="str">
        <f>IF('Kế hoạch định kỳ'!$B85="","",'Kế hoạch định kỳ'!$F85)</f>
        <v/>
      </c>
      <c r="D85" s="26" t="str">
        <f>IF('Kế hoạch định kỳ'!$B85="","",IF('Kế hoạch định kỳ'!$I85&lt;&gt;"",'Kế hoạch định kỳ'!$I85&amp;" ngày",'Kế hoạch định kỳ'!$H85))</f>
        <v/>
      </c>
      <c r="E85" s="61" t="str">
        <f>IF($A85="","",IF(COUNTIFS('Nhật ký bảo trì'!$D$6:$D$405,$A85,'Nhật ký bảo trì'!$Q$6:$Q$405,"Hoàn thành",'Nhật ký bảo trì'!$B$6:$B$405,"&gt;="&amp;E$5,'Nhật ký bảo trì'!$B$6:$B$405,"&lt;="&amp;EOMONTH(E$5,0))&gt;0,"✔",IF(((EOMONTH(E$5,0)&gt;='Kế hoạch định kỳ'!$W85)*(INT((EOMONTH(E$5,0)-'Kế hoạch định kỳ'!$W85)/'Kế hoạch định kỳ'!$X85)+1)-(E$5-1&gt;='Kế hoạch định kỳ'!$W85)*(INT((E$5-1-'Kế hoạch định kỳ'!$W85)/'Kế hoạch định kỳ'!$X85)+1))&gt;0,IF(EOMONTH(E$5,0)&lt;'Tổng quan'!$B$11,"✖","○"),"")))</f>
        <v/>
      </c>
      <c r="F85" s="61" t="str">
        <f>IF($A85="","",IF(COUNTIFS('Nhật ký bảo trì'!$D$6:$D$405,$A85,'Nhật ký bảo trì'!$Q$6:$Q$405,"Hoàn thành",'Nhật ký bảo trì'!$B$6:$B$405,"&gt;="&amp;F$5,'Nhật ký bảo trì'!$B$6:$B$405,"&lt;="&amp;EOMONTH(F$5,0))&gt;0,"✔",IF(((EOMONTH(F$5,0)&gt;='Kế hoạch định kỳ'!$W85)*(INT((EOMONTH(F$5,0)-'Kế hoạch định kỳ'!$W85)/'Kế hoạch định kỳ'!$X85)+1)-(F$5-1&gt;='Kế hoạch định kỳ'!$W85)*(INT((F$5-1-'Kế hoạch định kỳ'!$W85)/'Kế hoạch định kỳ'!$X85)+1))&gt;0,IF(EOMONTH(F$5,0)&lt;'Tổng quan'!$B$11,"✖","○"),"")))</f>
        <v/>
      </c>
      <c r="G85" s="61" t="str">
        <f>IF($A85="","",IF(COUNTIFS('Nhật ký bảo trì'!$D$6:$D$405,$A85,'Nhật ký bảo trì'!$Q$6:$Q$405,"Hoàn thành",'Nhật ký bảo trì'!$B$6:$B$405,"&gt;="&amp;G$5,'Nhật ký bảo trì'!$B$6:$B$405,"&lt;="&amp;EOMONTH(G$5,0))&gt;0,"✔",IF(((EOMONTH(G$5,0)&gt;='Kế hoạch định kỳ'!$W85)*(INT((EOMONTH(G$5,0)-'Kế hoạch định kỳ'!$W85)/'Kế hoạch định kỳ'!$X85)+1)-(G$5-1&gt;='Kế hoạch định kỳ'!$W85)*(INT((G$5-1-'Kế hoạch định kỳ'!$W85)/'Kế hoạch định kỳ'!$X85)+1))&gt;0,IF(EOMONTH(G$5,0)&lt;'Tổng quan'!$B$11,"✖","○"),"")))</f>
        <v/>
      </c>
      <c r="H85" s="61" t="str">
        <f>IF($A85="","",IF(COUNTIFS('Nhật ký bảo trì'!$D$6:$D$405,$A85,'Nhật ký bảo trì'!$Q$6:$Q$405,"Hoàn thành",'Nhật ký bảo trì'!$B$6:$B$405,"&gt;="&amp;H$5,'Nhật ký bảo trì'!$B$6:$B$405,"&lt;="&amp;EOMONTH(H$5,0))&gt;0,"✔",IF(((EOMONTH(H$5,0)&gt;='Kế hoạch định kỳ'!$W85)*(INT((EOMONTH(H$5,0)-'Kế hoạch định kỳ'!$W85)/'Kế hoạch định kỳ'!$X85)+1)-(H$5-1&gt;='Kế hoạch định kỳ'!$W85)*(INT((H$5-1-'Kế hoạch định kỳ'!$W85)/'Kế hoạch định kỳ'!$X85)+1))&gt;0,IF(EOMONTH(H$5,0)&lt;'Tổng quan'!$B$11,"✖","○"),"")))</f>
        <v/>
      </c>
      <c r="I85" s="61" t="str">
        <f>IF($A85="","",IF(COUNTIFS('Nhật ký bảo trì'!$D$6:$D$405,$A85,'Nhật ký bảo trì'!$Q$6:$Q$405,"Hoàn thành",'Nhật ký bảo trì'!$B$6:$B$405,"&gt;="&amp;I$5,'Nhật ký bảo trì'!$B$6:$B$405,"&lt;="&amp;EOMONTH(I$5,0))&gt;0,"✔",IF(((EOMONTH(I$5,0)&gt;='Kế hoạch định kỳ'!$W85)*(INT((EOMONTH(I$5,0)-'Kế hoạch định kỳ'!$W85)/'Kế hoạch định kỳ'!$X85)+1)-(I$5-1&gt;='Kế hoạch định kỳ'!$W85)*(INT((I$5-1-'Kế hoạch định kỳ'!$W85)/'Kế hoạch định kỳ'!$X85)+1))&gt;0,IF(EOMONTH(I$5,0)&lt;'Tổng quan'!$B$11,"✖","○"),"")))</f>
        <v/>
      </c>
      <c r="J85" s="61" t="str">
        <f>IF($A85="","",IF(COUNTIFS('Nhật ký bảo trì'!$D$6:$D$405,$A85,'Nhật ký bảo trì'!$Q$6:$Q$405,"Hoàn thành",'Nhật ký bảo trì'!$B$6:$B$405,"&gt;="&amp;J$5,'Nhật ký bảo trì'!$B$6:$B$405,"&lt;="&amp;EOMONTH(J$5,0))&gt;0,"✔",IF(((EOMONTH(J$5,0)&gt;='Kế hoạch định kỳ'!$W85)*(INT((EOMONTH(J$5,0)-'Kế hoạch định kỳ'!$W85)/'Kế hoạch định kỳ'!$X85)+1)-(J$5-1&gt;='Kế hoạch định kỳ'!$W85)*(INT((J$5-1-'Kế hoạch định kỳ'!$W85)/'Kế hoạch định kỳ'!$X85)+1))&gt;0,IF(EOMONTH(J$5,0)&lt;'Tổng quan'!$B$11,"✖","○"),"")))</f>
        <v/>
      </c>
      <c r="K85" s="61" t="str">
        <f>IF($A85="","",IF(COUNTIFS('Nhật ký bảo trì'!$D$6:$D$405,$A85,'Nhật ký bảo trì'!$Q$6:$Q$405,"Hoàn thành",'Nhật ký bảo trì'!$B$6:$B$405,"&gt;="&amp;K$5,'Nhật ký bảo trì'!$B$6:$B$405,"&lt;="&amp;EOMONTH(K$5,0))&gt;0,"✔",IF(((EOMONTH(K$5,0)&gt;='Kế hoạch định kỳ'!$W85)*(INT((EOMONTH(K$5,0)-'Kế hoạch định kỳ'!$W85)/'Kế hoạch định kỳ'!$X85)+1)-(K$5-1&gt;='Kế hoạch định kỳ'!$W85)*(INT((K$5-1-'Kế hoạch định kỳ'!$W85)/'Kế hoạch định kỳ'!$X85)+1))&gt;0,IF(EOMONTH(K$5,0)&lt;'Tổng quan'!$B$11,"✖","○"),"")))</f>
        <v/>
      </c>
      <c r="L85" s="61" t="str">
        <f>IF($A85="","",IF(COUNTIFS('Nhật ký bảo trì'!$D$6:$D$405,$A85,'Nhật ký bảo trì'!$Q$6:$Q$405,"Hoàn thành",'Nhật ký bảo trì'!$B$6:$B$405,"&gt;="&amp;L$5,'Nhật ký bảo trì'!$B$6:$B$405,"&lt;="&amp;EOMONTH(L$5,0))&gt;0,"✔",IF(((EOMONTH(L$5,0)&gt;='Kế hoạch định kỳ'!$W85)*(INT((EOMONTH(L$5,0)-'Kế hoạch định kỳ'!$W85)/'Kế hoạch định kỳ'!$X85)+1)-(L$5-1&gt;='Kế hoạch định kỳ'!$W85)*(INT((L$5-1-'Kế hoạch định kỳ'!$W85)/'Kế hoạch định kỳ'!$X85)+1))&gt;0,IF(EOMONTH(L$5,0)&lt;'Tổng quan'!$B$11,"✖","○"),"")))</f>
        <v/>
      </c>
      <c r="M85" s="61" t="str">
        <f>IF($A85="","",IF(COUNTIFS('Nhật ký bảo trì'!$D$6:$D$405,$A85,'Nhật ký bảo trì'!$Q$6:$Q$405,"Hoàn thành",'Nhật ký bảo trì'!$B$6:$B$405,"&gt;="&amp;M$5,'Nhật ký bảo trì'!$B$6:$B$405,"&lt;="&amp;EOMONTH(M$5,0))&gt;0,"✔",IF(((EOMONTH(M$5,0)&gt;='Kế hoạch định kỳ'!$W85)*(INT((EOMONTH(M$5,0)-'Kế hoạch định kỳ'!$W85)/'Kế hoạch định kỳ'!$X85)+1)-(M$5-1&gt;='Kế hoạch định kỳ'!$W85)*(INT((M$5-1-'Kế hoạch định kỳ'!$W85)/'Kế hoạch định kỳ'!$X85)+1))&gt;0,IF(EOMONTH(M$5,0)&lt;'Tổng quan'!$B$11,"✖","○"),"")))</f>
        <v/>
      </c>
      <c r="N85" s="61" t="str">
        <f>IF($A85="","",IF(COUNTIFS('Nhật ký bảo trì'!$D$6:$D$405,$A85,'Nhật ký bảo trì'!$Q$6:$Q$405,"Hoàn thành",'Nhật ký bảo trì'!$B$6:$B$405,"&gt;="&amp;N$5,'Nhật ký bảo trì'!$B$6:$B$405,"&lt;="&amp;EOMONTH(N$5,0))&gt;0,"✔",IF(((EOMONTH(N$5,0)&gt;='Kế hoạch định kỳ'!$W85)*(INT((EOMONTH(N$5,0)-'Kế hoạch định kỳ'!$W85)/'Kế hoạch định kỳ'!$X85)+1)-(N$5-1&gt;='Kế hoạch định kỳ'!$W85)*(INT((N$5-1-'Kế hoạch định kỳ'!$W85)/'Kế hoạch định kỳ'!$X85)+1))&gt;0,IF(EOMONTH(N$5,0)&lt;'Tổng quan'!$B$11,"✖","○"),"")))</f>
        <v/>
      </c>
      <c r="O85" s="61" t="str">
        <f>IF($A85="","",IF(COUNTIFS('Nhật ký bảo trì'!$D$6:$D$405,$A85,'Nhật ký bảo trì'!$Q$6:$Q$405,"Hoàn thành",'Nhật ký bảo trì'!$B$6:$B$405,"&gt;="&amp;O$5,'Nhật ký bảo trì'!$B$6:$B$405,"&lt;="&amp;EOMONTH(O$5,0))&gt;0,"✔",IF(((EOMONTH(O$5,0)&gt;='Kế hoạch định kỳ'!$W85)*(INT((EOMONTH(O$5,0)-'Kế hoạch định kỳ'!$W85)/'Kế hoạch định kỳ'!$X85)+1)-(O$5-1&gt;='Kế hoạch định kỳ'!$W85)*(INT((O$5-1-'Kế hoạch định kỳ'!$W85)/'Kế hoạch định kỳ'!$X85)+1))&gt;0,IF(EOMONTH(O$5,0)&lt;'Tổng quan'!$B$11,"✖","○"),"")))</f>
        <v/>
      </c>
      <c r="P85" s="61" t="str">
        <f>IF($A85="","",IF(COUNTIFS('Nhật ký bảo trì'!$D$6:$D$405,$A85,'Nhật ký bảo trì'!$Q$6:$Q$405,"Hoàn thành",'Nhật ký bảo trì'!$B$6:$B$405,"&gt;="&amp;P$5,'Nhật ký bảo trì'!$B$6:$B$405,"&lt;="&amp;EOMONTH(P$5,0))&gt;0,"✔",IF(((EOMONTH(P$5,0)&gt;='Kế hoạch định kỳ'!$W85)*(INT((EOMONTH(P$5,0)-'Kế hoạch định kỳ'!$W85)/'Kế hoạch định kỳ'!$X85)+1)-(P$5-1&gt;='Kế hoạch định kỳ'!$W85)*(INT((P$5-1-'Kế hoạch định kỳ'!$W85)/'Kế hoạch định kỳ'!$X85)+1))&gt;0,IF(EOMONTH(P$5,0)&lt;'Tổng quan'!$B$11,"✖","○"),"")))</f>
        <v/>
      </c>
      <c r="Q85" s="30" t="str">
        <f>IF($A85="","",COUNTIFS('Nhật ký bảo trì'!$D$6:$D$405,$A85,'Nhật ký bảo trì'!$Q$6:$Q$405,"Hoàn thành",'Nhật ký bảo trì'!$B$6:$B$405,"&gt;="&amp;DATE('Tổng quan'!$B$6,1,1),'Nhật ký bảo trì'!$B$6:$B$405,"&lt;="&amp;DATE('Tổng quan'!$B$6,12,31)))</f>
        <v/>
      </c>
      <c r="R85" s="30" t="str">
        <f t="shared" si="1"/>
        <v/>
      </c>
    </row>
    <row r="86" ht="24.0" customHeight="1">
      <c r="A86" s="10" t="str">
        <f>IF('Kế hoạch định kỳ'!$B86="","",'Kế hoạch định kỳ'!$B86)</f>
        <v/>
      </c>
      <c r="B86" s="14" t="str">
        <f>IF('Kế hoạch định kỳ'!$B86="","",'Kế hoạch định kỳ'!$D86)</f>
        <v/>
      </c>
      <c r="C86" s="18" t="str">
        <f>IF('Kế hoạch định kỳ'!$B86="","",'Kế hoạch định kỳ'!$F86)</f>
        <v/>
      </c>
      <c r="D86" s="10" t="str">
        <f>IF('Kế hoạch định kỳ'!$B86="","",IF('Kế hoạch định kỳ'!$I86&lt;&gt;"",'Kế hoạch định kỳ'!$I86&amp;" ngày",'Kế hoạch định kỳ'!$H86))</f>
        <v/>
      </c>
      <c r="E86" s="24" t="str">
        <f>IF($A86="","",IF(COUNTIFS('Nhật ký bảo trì'!$D$6:$D$405,$A86,'Nhật ký bảo trì'!$Q$6:$Q$405,"Hoàn thành",'Nhật ký bảo trì'!$B$6:$B$405,"&gt;="&amp;E$5,'Nhật ký bảo trì'!$B$6:$B$405,"&lt;="&amp;EOMONTH(E$5,0))&gt;0,"✔",IF(((EOMONTH(E$5,0)&gt;='Kế hoạch định kỳ'!$W86)*(INT((EOMONTH(E$5,0)-'Kế hoạch định kỳ'!$W86)/'Kế hoạch định kỳ'!$X86)+1)-(E$5-1&gt;='Kế hoạch định kỳ'!$W86)*(INT((E$5-1-'Kế hoạch định kỳ'!$W86)/'Kế hoạch định kỳ'!$X86)+1))&gt;0,IF(EOMONTH(E$5,0)&lt;'Tổng quan'!$B$11,"✖","○"),"")))</f>
        <v/>
      </c>
      <c r="F86" s="24" t="str">
        <f>IF($A86="","",IF(COUNTIFS('Nhật ký bảo trì'!$D$6:$D$405,$A86,'Nhật ký bảo trì'!$Q$6:$Q$405,"Hoàn thành",'Nhật ký bảo trì'!$B$6:$B$405,"&gt;="&amp;F$5,'Nhật ký bảo trì'!$B$6:$B$405,"&lt;="&amp;EOMONTH(F$5,0))&gt;0,"✔",IF(((EOMONTH(F$5,0)&gt;='Kế hoạch định kỳ'!$W86)*(INT((EOMONTH(F$5,0)-'Kế hoạch định kỳ'!$W86)/'Kế hoạch định kỳ'!$X86)+1)-(F$5-1&gt;='Kế hoạch định kỳ'!$W86)*(INT((F$5-1-'Kế hoạch định kỳ'!$W86)/'Kế hoạch định kỳ'!$X86)+1))&gt;0,IF(EOMONTH(F$5,0)&lt;'Tổng quan'!$B$11,"✖","○"),"")))</f>
        <v/>
      </c>
      <c r="G86" s="24" t="str">
        <f>IF($A86="","",IF(COUNTIFS('Nhật ký bảo trì'!$D$6:$D$405,$A86,'Nhật ký bảo trì'!$Q$6:$Q$405,"Hoàn thành",'Nhật ký bảo trì'!$B$6:$B$405,"&gt;="&amp;G$5,'Nhật ký bảo trì'!$B$6:$B$405,"&lt;="&amp;EOMONTH(G$5,0))&gt;0,"✔",IF(((EOMONTH(G$5,0)&gt;='Kế hoạch định kỳ'!$W86)*(INT((EOMONTH(G$5,0)-'Kế hoạch định kỳ'!$W86)/'Kế hoạch định kỳ'!$X86)+1)-(G$5-1&gt;='Kế hoạch định kỳ'!$W86)*(INT((G$5-1-'Kế hoạch định kỳ'!$W86)/'Kế hoạch định kỳ'!$X86)+1))&gt;0,IF(EOMONTH(G$5,0)&lt;'Tổng quan'!$B$11,"✖","○"),"")))</f>
        <v/>
      </c>
      <c r="H86" s="24" t="str">
        <f>IF($A86="","",IF(COUNTIFS('Nhật ký bảo trì'!$D$6:$D$405,$A86,'Nhật ký bảo trì'!$Q$6:$Q$405,"Hoàn thành",'Nhật ký bảo trì'!$B$6:$B$405,"&gt;="&amp;H$5,'Nhật ký bảo trì'!$B$6:$B$405,"&lt;="&amp;EOMONTH(H$5,0))&gt;0,"✔",IF(((EOMONTH(H$5,0)&gt;='Kế hoạch định kỳ'!$W86)*(INT((EOMONTH(H$5,0)-'Kế hoạch định kỳ'!$W86)/'Kế hoạch định kỳ'!$X86)+1)-(H$5-1&gt;='Kế hoạch định kỳ'!$W86)*(INT((H$5-1-'Kế hoạch định kỳ'!$W86)/'Kế hoạch định kỳ'!$X86)+1))&gt;0,IF(EOMONTH(H$5,0)&lt;'Tổng quan'!$B$11,"✖","○"),"")))</f>
        <v/>
      </c>
      <c r="I86" s="24" t="str">
        <f>IF($A86="","",IF(COUNTIFS('Nhật ký bảo trì'!$D$6:$D$405,$A86,'Nhật ký bảo trì'!$Q$6:$Q$405,"Hoàn thành",'Nhật ký bảo trì'!$B$6:$B$405,"&gt;="&amp;I$5,'Nhật ký bảo trì'!$B$6:$B$405,"&lt;="&amp;EOMONTH(I$5,0))&gt;0,"✔",IF(((EOMONTH(I$5,0)&gt;='Kế hoạch định kỳ'!$W86)*(INT((EOMONTH(I$5,0)-'Kế hoạch định kỳ'!$W86)/'Kế hoạch định kỳ'!$X86)+1)-(I$5-1&gt;='Kế hoạch định kỳ'!$W86)*(INT((I$5-1-'Kế hoạch định kỳ'!$W86)/'Kế hoạch định kỳ'!$X86)+1))&gt;0,IF(EOMONTH(I$5,0)&lt;'Tổng quan'!$B$11,"✖","○"),"")))</f>
        <v/>
      </c>
      <c r="J86" s="24" t="str">
        <f>IF($A86="","",IF(COUNTIFS('Nhật ký bảo trì'!$D$6:$D$405,$A86,'Nhật ký bảo trì'!$Q$6:$Q$405,"Hoàn thành",'Nhật ký bảo trì'!$B$6:$B$405,"&gt;="&amp;J$5,'Nhật ký bảo trì'!$B$6:$B$405,"&lt;="&amp;EOMONTH(J$5,0))&gt;0,"✔",IF(((EOMONTH(J$5,0)&gt;='Kế hoạch định kỳ'!$W86)*(INT((EOMONTH(J$5,0)-'Kế hoạch định kỳ'!$W86)/'Kế hoạch định kỳ'!$X86)+1)-(J$5-1&gt;='Kế hoạch định kỳ'!$W86)*(INT((J$5-1-'Kế hoạch định kỳ'!$W86)/'Kế hoạch định kỳ'!$X86)+1))&gt;0,IF(EOMONTH(J$5,0)&lt;'Tổng quan'!$B$11,"✖","○"),"")))</f>
        <v/>
      </c>
      <c r="K86" s="24" t="str">
        <f>IF($A86="","",IF(COUNTIFS('Nhật ký bảo trì'!$D$6:$D$405,$A86,'Nhật ký bảo trì'!$Q$6:$Q$405,"Hoàn thành",'Nhật ký bảo trì'!$B$6:$B$405,"&gt;="&amp;K$5,'Nhật ký bảo trì'!$B$6:$B$405,"&lt;="&amp;EOMONTH(K$5,0))&gt;0,"✔",IF(((EOMONTH(K$5,0)&gt;='Kế hoạch định kỳ'!$W86)*(INT((EOMONTH(K$5,0)-'Kế hoạch định kỳ'!$W86)/'Kế hoạch định kỳ'!$X86)+1)-(K$5-1&gt;='Kế hoạch định kỳ'!$W86)*(INT((K$5-1-'Kế hoạch định kỳ'!$W86)/'Kế hoạch định kỳ'!$X86)+1))&gt;0,IF(EOMONTH(K$5,0)&lt;'Tổng quan'!$B$11,"✖","○"),"")))</f>
        <v/>
      </c>
      <c r="L86" s="24" t="str">
        <f>IF($A86="","",IF(COUNTIFS('Nhật ký bảo trì'!$D$6:$D$405,$A86,'Nhật ký bảo trì'!$Q$6:$Q$405,"Hoàn thành",'Nhật ký bảo trì'!$B$6:$B$405,"&gt;="&amp;L$5,'Nhật ký bảo trì'!$B$6:$B$405,"&lt;="&amp;EOMONTH(L$5,0))&gt;0,"✔",IF(((EOMONTH(L$5,0)&gt;='Kế hoạch định kỳ'!$W86)*(INT((EOMONTH(L$5,0)-'Kế hoạch định kỳ'!$W86)/'Kế hoạch định kỳ'!$X86)+1)-(L$5-1&gt;='Kế hoạch định kỳ'!$W86)*(INT((L$5-1-'Kế hoạch định kỳ'!$W86)/'Kế hoạch định kỳ'!$X86)+1))&gt;0,IF(EOMONTH(L$5,0)&lt;'Tổng quan'!$B$11,"✖","○"),"")))</f>
        <v/>
      </c>
      <c r="M86" s="24" t="str">
        <f>IF($A86="","",IF(COUNTIFS('Nhật ký bảo trì'!$D$6:$D$405,$A86,'Nhật ký bảo trì'!$Q$6:$Q$405,"Hoàn thành",'Nhật ký bảo trì'!$B$6:$B$405,"&gt;="&amp;M$5,'Nhật ký bảo trì'!$B$6:$B$405,"&lt;="&amp;EOMONTH(M$5,0))&gt;0,"✔",IF(((EOMONTH(M$5,0)&gt;='Kế hoạch định kỳ'!$W86)*(INT((EOMONTH(M$5,0)-'Kế hoạch định kỳ'!$W86)/'Kế hoạch định kỳ'!$X86)+1)-(M$5-1&gt;='Kế hoạch định kỳ'!$W86)*(INT((M$5-1-'Kế hoạch định kỳ'!$W86)/'Kế hoạch định kỳ'!$X86)+1))&gt;0,IF(EOMONTH(M$5,0)&lt;'Tổng quan'!$B$11,"✖","○"),"")))</f>
        <v/>
      </c>
      <c r="N86" s="24" t="str">
        <f>IF($A86="","",IF(COUNTIFS('Nhật ký bảo trì'!$D$6:$D$405,$A86,'Nhật ký bảo trì'!$Q$6:$Q$405,"Hoàn thành",'Nhật ký bảo trì'!$B$6:$B$405,"&gt;="&amp;N$5,'Nhật ký bảo trì'!$B$6:$B$405,"&lt;="&amp;EOMONTH(N$5,0))&gt;0,"✔",IF(((EOMONTH(N$5,0)&gt;='Kế hoạch định kỳ'!$W86)*(INT((EOMONTH(N$5,0)-'Kế hoạch định kỳ'!$W86)/'Kế hoạch định kỳ'!$X86)+1)-(N$5-1&gt;='Kế hoạch định kỳ'!$W86)*(INT((N$5-1-'Kế hoạch định kỳ'!$W86)/'Kế hoạch định kỳ'!$X86)+1))&gt;0,IF(EOMONTH(N$5,0)&lt;'Tổng quan'!$B$11,"✖","○"),"")))</f>
        <v/>
      </c>
      <c r="O86" s="24" t="str">
        <f>IF($A86="","",IF(COUNTIFS('Nhật ký bảo trì'!$D$6:$D$405,$A86,'Nhật ký bảo trì'!$Q$6:$Q$405,"Hoàn thành",'Nhật ký bảo trì'!$B$6:$B$405,"&gt;="&amp;O$5,'Nhật ký bảo trì'!$B$6:$B$405,"&lt;="&amp;EOMONTH(O$5,0))&gt;0,"✔",IF(((EOMONTH(O$5,0)&gt;='Kế hoạch định kỳ'!$W86)*(INT((EOMONTH(O$5,0)-'Kế hoạch định kỳ'!$W86)/'Kế hoạch định kỳ'!$X86)+1)-(O$5-1&gt;='Kế hoạch định kỳ'!$W86)*(INT((O$5-1-'Kế hoạch định kỳ'!$W86)/'Kế hoạch định kỳ'!$X86)+1))&gt;0,IF(EOMONTH(O$5,0)&lt;'Tổng quan'!$B$11,"✖","○"),"")))</f>
        <v/>
      </c>
      <c r="P86" s="24" t="str">
        <f>IF($A86="","",IF(COUNTIFS('Nhật ký bảo trì'!$D$6:$D$405,$A86,'Nhật ký bảo trì'!$Q$6:$Q$405,"Hoàn thành",'Nhật ký bảo trì'!$B$6:$B$405,"&gt;="&amp;P$5,'Nhật ký bảo trì'!$B$6:$B$405,"&lt;="&amp;EOMONTH(P$5,0))&gt;0,"✔",IF(((EOMONTH(P$5,0)&gt;='Kế hoạch định kỳ'!$W86)*(INT((EOMONTH(P$5,0)-'Kế hoạch định kỳ'!$W86)/'Kế hoạch định kỳ'!$X86)+1)-(P$5-1&gt;='Kế hoạch định kỳ'!$W86)*(INT((P$5-1-'Kế hoạch định kỳ'!$W86)/'Kế hoạch định kỳ'!$X86)+1))&gt;0,IF(EOMONTH(P$5,0)&lt;'Tổng quan'!$B$11,"✖","○"),"")))</f>
        <v/>
      </c>
      <c r="Q86" s="16" t="str">
        <f>IF($A86="","",COUNTIFS('Nhật ký bảo trì'!$D$6:$D$405,$A86,'Nhật ký bảo trì'!$Q$6:$Q$405,"Hoàn thành",'Nhật ký bảo trì'!$B$6:$B$405,"&gt;="&amp;DATE('Tổng quan'!$B$6,1,1),'Nhật ký bảo trì'!$B$6:$B$405,"&lt;="&amp;DATE('Tổng quan'!$B$6,12,31)))</f>
        <v/>
      </c>
      <c r="R86" s="16" t="str">
        <f t="shared" si="1"/>
        <v/>
      </c>
    </row>
    <row r="87" ht="24.0" customHeight="1">
      <c r="A87" s="26" t="str">
        <f>IF('Kế hoạch định kỳ'!$B87="","",'Kế hoạch định kỳ'!$B87)</f>
        <v/>
      </c>
      <c r="B87" s="28" t="str">
        <f>IF('Kế hoạch định kỳ'!$B87="","",'Kế hoạch định kỳ'!$D87)</f>
        <v/>
      </c>
      <c r="C87" s="56" t="str">
        <f>IF('Kế hoạch định kỳ'!$B87="","",'Kế hoạch định kỳ'!$F87)</f>
        <v/>
      </c>
      <c r="D87" s="26" t="str">
        <f>IF('Kế hoạch định kỳ'!$B87="","",IF('Kế hoạch định kỳ'!$I87&lt;&gt;"",'Kế hoạch định kỳ'!$I87&amp;" ngày",'Kế hoạch định kỳ'!$H87))</f>
        <v/>
      </c>
      <c r="E87" s="61" t="str">
        <f>IF($A87="","",IF(COUNTIFS('Nhật ký bảo trì'!$D$6:$D$405,$A87,'Nhật ký bảo trì'!$Q$6:$Q$405,"Hoàn thành",'Nhật ký bảo trì'!$B$6:$B$405,"&gt;="&amp;E$5,'Nhật ký bảo trì'!$B$6:$B$405,"&lt;="&amp;EOMONTH(E$5,0))&gt;0,"✔",IF(((EOMONTH(E$5,0)&gt;='Kế hoạch định kỳ'!$W87)*(INT((EOMONTH(E$5,0)-'Kế hoạch định kỳ'!$W87)/'Kế hoạch định kỳ'!$X87)+1)-(E$5-1&gt;='Kế hoạch định kỳ'!$W87)*(INT((E$5-1-'Kế hoạch định kỳ'!$W87)/'Kế hoạch định kỳ'!$X87)+1))&gt;0,IF(EOMONTH(E$5,0)&lt;'Tổng quan'!$B$11,"✖","○"),"")))</f>
        <v/>
      </c>
      <c r="F87" s="61" t="str">
        <f>IF($A87="","",IF(COUNTIFS('Nhật ký bảo trì'!$D$6:$D$405,$A87,'Nhật ký bảo trì'!$Q$6:$Q$405,"Hoàn thành",'Nhật ký bảo trì'!$B$6:$B$405,"&gt;="&amp;F$5,'Nhật ký bảo trì'!$B$6:$B$405,"&lt;="&amp;EOMONTH(F$5,0))&gt;0,"✔",IF(((EOMONTH(F$5,0)&gt;='Kế hoạch định kỳ'!$W87)*(INT((EOMONTH(F$5,0)-'Kế hoạch định kỳ'!$W87)/'Kế hoạch định kỳ'!$X87)+1)-(F$5-1&gt;='Kế hoạch định kỳ'!$W87)*(INT((F$5-1-'Kế hoạch định kỳ'!$W87)/'Kế hoạch định kỳ'!$X87)+1))&gt;0,IF(EOMONTH(F$5,0)&lt;'Tổng quan'!$B$11,"✖","○"),"")))</f>
        <v/>
      </c>
      <c r="G87" s="61" t="str">
        <f>IF($A87="","",IF(COUNTIFS('Nhật ký bảo trì'!$D$6:$D$405,$A87,'Nhật ký bảo trì'!$Q$6:$Q$405,"Hoàn thành",'Nhật ký bảo trì'!$B$6:$B$405,"&gt;="&amp;G$5,'Nhật ký bảo trì'!$B$6:$B$405,"&lt;="&amp;EOMONTH(G$5,0))&gt;0,"✔",IF(((EOMONTH(G$5,0)&gt;='Kế hoạch định kỳ'!$W87)*(INT((EOMONTH(G$5,0)-'Kế hoạch định kỳ'!$W87)/'Kế hoạch định kỳ'!$X87)+1)-(G$5-1&gt;='Kế hoạch định kỳ'!$W87)*(INT((G$5-1-'Kế hoạch định kỳ'!$W87)/'Kế hoạch định kỳ'!$X87)+1))&gt;0,IF(EOMONTH(G$5,0)&lt;'Tổng quan'!$B$11,"✖","○"),"")))</f>
        <v/>
      </c>
      <c r="H87" s="61" t="str">
        <f>IF($A87="","",IF(COUNTIFS('Nhật ký bảo trì'!$D$6:$D$405,$A87,'Nhật ký bảo trì'!$Q$6:$Q$405,"Hoàn thành",'Nhật ký bảo trì'!$B$6:$B$405,"&gt;="&amp;H$5,'Nhật ký bảo trì'!$B$6:$B$405,"&lt;="&amp;EOMONTH(H$5,0))&gt;0,"✔",IF(((EOMONTH(H$5,0)&gt;='Kế hoạch định kỳ'!$W87)*(INT((EOMONTH(H$5,0)-'Kế hoạch định kỳ'!$W87)/'Kế hoạch định kỳ'!$X87)+1)-(H$5-1&gt;='Kế hoạch định kỳ'!$W87)*(INT((H$5-1-'Kế hoạch định kỳ'!$W87)/'Kế hoạch định kỳ'!$X87)+1))&gt;0,IF(EOMONTH(H$5,0)&lt;'Tổng quan'!$B$11,"✖","○"),"")))</f>
        <v/>
      </c>
      <c r="I87" s="61" t="str">
        <f>IF($A87="","",IF(COUNTIFS('Nhật ký bảo trì'!$D$6:$D$405,$A87,'Nhật ký bảo trì'!$Q$6:$Q$405,"Hoàn thành",'Nhật ký bảo trì'!$B$6:$B$405,"&gt;="&amp;I$5,'Nhật ký bảo trì'!$B$6:$B$405,"&lt;="&amp;EOMONTH(I$5,0))&gt;0,"✔",IF(((EOMONTH(I$5,0)&gt;='Kế hoạch định kỳ'!$W87)*(INT((EOMONTH(I$5,0)-'Kế hoạch định kỳ'!$W87)/'Kế hoạch định kỳ'!$X87)+1)-(I$5-1&gt;='Kế hoạch định kỳ'!$W87)*(INT((I$5-1-'Kế hoạch định kỳ'!$W87)/'Kế hoạch định kỳ'!$X87)+1))&gt;0,IF(EOMONTH(I$5,0)&lt;'Tổng quan'!$B$11,"✖","○"),"")))</f>
        <v/>
      </c>
      <c r="J87" s="61" t="str">
        <f>IF($A87="","",IF(COUNTIFS('Nhật ký bảo trì'!$D$6:$D$405,$A87,'Nhật ký bảo trì'!$Q$6:$Q$405,"Hoàn thành",'Nhật ký bảo trì'!$B$6:$B$405,"&gt;="&amp;J$5,'Nhật ký bảo trì'!$B$6:$B$405,"&lt;="&amp;EOMONTH(J$5,0))&gt;0,"✔",IF(((EOMONTH(J$5,0)&gt;='Kế hoạch định kỳ'!$W87)*(INT((EOMONTH(J$5,0)-'Kế hoạch định kỳ'!$W87)/'Kế hoạch định kỳ'!$X87)+1)-(J$5-1&gt;='Kế hoạch định kỳ'!$W87)*(INT((J$5-1-'Kế hoạch định kỳ'!$W87)/'Kế hoạch định kỳ'!$X87)+1))&gt;0,IF(EOMONTH(J$5,0)&lt;'Tổng quan'!$B$11,"✖","○"),"")))</f>
        <v/>
      </c>
      <c r="K87" s="61" t="str">
        <f>IF($A87="","",IF(COUNTIFS('Nhật ký bảo trì'!$D$6:$D$405,$A87,'Nhật ký bảo trì'!$Q$6:$Q$405,"Hoàn thành",'Nhật ký bảo trì'!$B$6:$B$405,"&gt;="&amp;K$5,'Nhật ký bảo trì'!$B$6:$B$405,"&lt;="&amp;EOMONTH(K$5,0))&gt;0,"✔",IF(((EOMONTH(K$5,0)&gt;='Kế hoạch định kỳ'!$W87)*(INT((EOMONTH(K$5,0)-'Kế hoạch định kỳ'!$W87)/'Kế hoạch định kỳ'!$X87)+1)-(K$5-1&gt;='Kế hoạch định kỳ'!$W87)*(INT((K$5-1-'Kế hoạch định kỳ'!$W87)/'Kế hoạch định kỳ'!$X87)+1))&gt;0,IF(EOMONTH(K$5,0)&lt;'Tổng quan'!$B$11,"✖","○"),"")))</f>
        <v/>
      </c>
      <c r="L87" s="61" t="str">
        <f>IF($A87="","",IF(COUNTIFS('Nhật ký bảo trì'!$D$6:$D$405,$A87,'Nhật ký bảo trì'!$Q$6:$Q$405,"Hoàn thành",'Nhật ký bảo trì'!$B$6:$B$405,"&gt;="&amp;L$5,'Nhật ký bảo trì'!$B$6:$B$405,"&lt;="&amp;EOMONTH(L$5,0))&gt;0,"✔",IF(((EOMONTH(L$5,0)&gt;='Kế hoạch định kỳ'!$W87)*(INT((EOMONTH(L$5,0)-'Kế hoạch định kỳ'!$W87)/'Kế hoạch định kỳ'!$X87)+1)-(L$5-1&gt;='Kế hoạch định kỳ'!$W87)*(INT((L$5-1-'Kế hoạch định kỳ'!$W87)/'Kế hoạch định kỳ'!$X87)+1))&gt;0,IF(EOMONTH(L$5,0)&lt;'Tổng quan'!$B$11,"✖","○"),"")))</f>
        <v/>
      </c>
      <c r="M87" s="61" t="str">
        <f>IF($A87="","",IF(COUNTIFS('Nhật ký bảo trì'!$D$6:$D$405,$A87,'Nhật ký bảo trì'!$Q$6:$Q$405,"Hoàn thành",'Nhật ký bảo trì'!$B$6:$B$405,"&gt;="&amp;M$5,'Nhật ký bảo trì'!$B$6:$B$405,"&lt;="&amp;EOMONTH(M$5,0))&gt;0,"✔",IF(((EOMONTH(M$5,0)&gt;='Kế hoạch định kỳ'!$W87)*(INT((EOMONTH(M$5,0)-'Kế hoạch định kỳ'!$W87)/'Kế hoạch định kỳ'!$X87)+1)-(M$5-1&gt;='Kế hoạch định kỳ'!$W87)*(INT((M$5-1-'Kế hoạch định kỳ'!$W87)/'Kế hoạch định kỳ'!$X87)+1))&gt;0,IF(EOMONTH(M$5,0)&lt;'Tổng quan'!$B$11,"✖","○"),"")))</f>
        <v/>
      </c>
      <c r="N87" s="61" t="str">
        <f>IF($A87="","",IF(COUNTIFS('Nhật ký bảo trì'!$D$6:$D$405,$A87,'Nhật ký bảo trì'!$Q$6:$Q$405,"Hoàn thành",'Nhật ký bảo trì'!$B$6:$B$405,"&gt;="&amp;N$5,'Nhật ký bảo trì'!$B$6:$B$405,"&lt;="&amp;EOMONTH(N$5,0))&gt;0,"✔",IF(((EOMONTH(N$5,0)&gt;='Kế hoạch định kỳ'!$W87)*(INT((EOMONTH(N$5,0)-'Kế hoạch định kỳ'!$W87)/'Kế hoạch định kỳ'!$X87)+1)-(N$5-1&gt;='Kế hoạch định kỳ'!$W87)*(INT((N$5-1-'Kế hoạch định kỳ'!$W87)/'Kế hoạch định kỳ'!$X87)+1))&gt;0,IF(EOMONTH(N$5,0)&lt;'Tổng quan'!$B$11,"✖","○"),"")))</f>
        <v/>
      </c>
      <c r="O87" s="61" t="str">
        <f>IF($A87="","",IF(COUNTIFS('Nhật ký bảo trì'!$D$6:$D$405,$A87,'Nhật ký bảo trì'!$Q$6:$Q$405,"Hoàn thành",'Nhật ký bảo trì'!$B$6:$B$405,"&gt;="&amp;O$5,'Nhật ký bảo trì'!$B$6:$B$405,"&lt;="&amp;EOMONTH(O$5,0))&gt;0,"✔",IF(((EOMONTH(O$5,0)&gt;='Kế hoạch định kỳ'!$W87)*(INT((EOMONTH(O$5,0)-'Kế hoạch định kỳ'!$W87)/'Kế hoạch định kỳ'!$X87)+1)-(O$5-1&gt;='Kế hoạch định kỳ'!$W87)*(INT((O$5-1-'Kế hoạch định kỳ'!$W87)/'Kế hoạch định kỳ'!$X87)+1))&gt;0,IF(EOMONTH(O$5,0)&lt;'Tổng quan'!$B$11,"✖","○"),"")))</f>
        <v/>
      </c>
      <c r="P87" s="61" t="str">
        <f>IF($A87="","",IF(COUNTIFS('Nhật ký bảo trì'!$D$6:$D$405,$A87,'Nhật ký bảo trì'!$Q$6:$Q$405,"Hoàn thành",'Nhật ký bảo trì'!$B$6:$B$405,"&gt;="&amp;P$5,'Nhật ký bảo trì'!$B$6:$B$405,"&lt;="&amp;EOMONTH(P$5,0))&gt;0,"✔",IF(((EOMONTH(P$5,0)&gt;='Kế hoạch định kỳ'!$W87)*(INT((EOMONTH(P$5,0)-'Kế hoạch định kỳ'!$W87)/'Kế hoạch định kỳ'!$X87)+1)-(P$5-1&gt;='Kế hoạch định kỳ'!$W87)*(INT((P$5-1-'Kế hoạch định kỳ'!$W87)/'Kế hoạch định kỳ'!$X87)+1))&gt;0,IF(EOMONTH(P$5,0)&lt;'Tổng quan'!$B$11,"✖","○"),"")))</f>
        <v/>
      </c>
      <c r="Q87" s="30" t="str">
        <f>IF($A87="","",COUNTIFS('Nhật ký bảo trì'!$D$6:$D$405,$A87,'Nhật ký bảo trì'!$Q$6:$Q$405,"Hoàn thành",'Nhật ký bảo trì'!$B$6:$B$405,"&gt;="&amp;DATE('Tổng quan'!$B$6,1,1),'Nhật ký bảo trì'!$B$6:$B$405,"&lt;="&amp;DATE('Tổng quan'!$B$6,12,31)))</f>
        <v/>
      </c>
      <c r="R87" s="30" t="str">
        <f t="shared" si="1"/>
        <v/>
      </c>
    </row>
    <row r="88" ht="24.0" customHeight="1">
      <c r="A88" s="10" t="str">
        <f>IF('Kế hoạch định kỳ'!$B88="","",'Kế hoạch định kỳ'!$B88)</f>
        <v/>
      </c>
      <c r="B88" s="14" t="str">
        <f>IF('Kế hoạch định kỳ'!$B88="","",'Kế hoạch định kỳ'!$D88)</f>
        <v/>
      </c>
      <c r="C88" s="18" t="str">
        <f>IF('Kế hoạch định kỳ'!$B88="","",'Kế hoạch định kỳ'!$F88)</f>
        <v/>
      </c>
      <c r="D88" s="10" t="str">
        <f>IF('Kế hoạch định kỳ'!$B88="","",IF('Kế hoạch định kỳ'!$I88&lt;&gt;"",'Kế hoạch định kỳ'!$I88&amp;" ngày",'Kế hoạch định kỳ'!$H88))</f>
        <v/>
      </c>
      <c r="E88" s="24" t="str">
        <f>IF($A88="","",IF(COUNTIFS('Nhật ký bảo trì'!$D$6:$D$405,$A88,'Nhật ký bảo trì'!$Q$6:$Q$405,"Hoàn thành",'Nhật ký bảo trì'!$B$6:$B$405,"&gt;="&amp;E$5,'Nhật ký bảo trì'!$B$6:$B$405,"&lt;="&amp;EOMONTH(E$5,0))&gt;0,"✔",IF(((EOMONTH(E$5,0)&gt;='Kế hoạch định kỳ'!$W88)*(INT((EOMONTH(E$5,0)-'Kế hoạch định kỳ'!$W88)/'Kế hoạch định kỳ'!$X88)+1)-(E$5-1&gt;='Kế hoạch định kỳ'!$W88)*(INT((E$5-1-'Kế hoạch định kỳ'!$W88)/'Kế hoạch định kỳ'!$X88)+1))&gt;0,IF(EOMONTH(E$5,0)&lt;'Tổng quan'!$B$11,"✖","○"),"")))</f>
        <v/>
      </c>
      <c r="F88" s="24" t="str">
        <f>IF($A88="","",IF(COUNTIFS('Nhật ký bảo trì'!$D$6:$D$405,$A88,'Nhật ký bảo trì'!$Q$6:$Q$405,"Hoàn thành",'Nhật ký bảo trì'!$B$6:$B$405,"&gt;="&amp;F$5,'Nhật ký bảo trì'!$B$6:$B$405,"&lt;="&amp;EOMONTH(F$5,0))&gt;0,"✔",IF(((EOMONTH(F$5,0)&gt;='Kế hoạch định kỳ'!$W88)*(INT((EOMONTH(F$5,0)-'Kế hoạch định kỳ'!$W88)/'Kế hoạch định kỳ'!$X88)+1)-(F$5-1&gt;='Kế hoạch định kỳ'!$W88)*(INT((F$5-1-'Kế hoạch định kỳ'!$W88)/'Kế hoạch định kỳ'!$X88)+1))&gt;0,IF(EOMONTH(F$5,0)&lt;'Tổng quan'!$B$11,"✖","○"),"")))</f>
        <v/>
      </c>
      <c r="G88" s="24" t="str">
        <f>IF($A88="","",IF(COUNTIFS('Nhật ký bảo trì'!$D$6:$D$405,$A88,'Nhật ký bảo trì'!$Q$6:$Q$405,"Hoàn thành",'Nhật ký bảo trì'!$B$6:$B$405,"&gt;="&amp;G$5,'Nhật ký bảo trì'!$B$6:$B$405,"&lt;="&amp;EOMONTH(G$5,0))&gt;0,"✔",IF(((EOMONTH(G$5,0)&gt;='Kế hoạch định kỳ'!$W88)*(INT((EOMONTH(G$5,0)-'Kế hoạch định kỳ'!$W88)/'Kế hoạch định kỳ'!$X88)+1)-(G$5-1&gt;='Kế hoạch định kỳ'!$W88)*(INT((G$5-1-'Kế hoạch định kỳ'!$W88)/'Kế hoạch định kỳ'!$X88)+1))&gt;0,IF(EOMONTH(G$5,0)&lt;'Tổng quan'!$B$11,"✖","○"),"")))</f>
        <v/>
      </c>
      <c r="H88" s="24" t="str">
        <f>IF($A88="","",IF(COUNTIFS('Nhật ký bảo trì'!$D$6:$D$405,$A88,'Nhật ký bảo trì'!$Q$6:$Q$405,"Hoàn thành",'Nhật ký bảo trì'!$B$6:$B$405,"&gt;="&amp;H$5,'Nhật ký bảo trì'!$B$6:$B$405,"&lt;="&amp;EOMONTH(H$5,0))&gt;0,"✔",IF(((EOMONTH(H$5,0)&gt;='Kế hoạch định kỳ'!$W88)*(INT((EOMONTH(H$5,0)-'Kế hoạch định kỳ'!$W88)/'Kế hoạch định kỳ'!$X88)+1)-(H$5-1&gt;='Kế hoạch định kỳ'!$W88)*(INT((H$5-1-'Kế hoạch định kỳ'!$W88)/'Kế hoạch định kỳ'!$X88)+1))&gt;0,IF(EOMONTH(H$5,0)&lt;'Tổng quan'!$B$11,"✖","○"),"")))</f>
        <v/>
      </c>
      <c r="I88" s="24" t="str">
        <f>IF($A88="","",IF(COUNTIFS('Nhật ký bảo trì'!$D$6:$D$405,$A88,'Nhật ký bảo trì'!$Q$6:$Q$405,"Hoàn thành",'Nhật ký bảo trì'!$B$6:$B$405,"&gt;="&amp;I$5,'Nhật ký bảo trì'!$B$6:$B$405,"&lt;="&amp;EOMONTH(I$5,0))&gt;0,"✔",IF(((EOMONTH(I$5,0)&gt;='Kế hoạch định kỳ'!$W88)*(INT((EOMONTH(I$5,0)-'Kế hoạch định kỳ'!$W88)/'Kế hoạch định kỳ'!$X88)+1)-(I$5-1&gt;='Kế hoạch định kỳ'!$W88)*(INT((I$5-1-'Kế hoạch định kỳ'!$W88)/'Kế hoạch định kỳ'!$X88)+1))&gt;0,IF(EOMONTH(I$5,0)&lt;'Tổng quan'!$B$11,"✖","○"),"")))</f>
        <v/>
      </c>
      <c r="J88" s="24" t="str">
        <f>IF($A88="","",IF(COUNTIFS('Nhật ký bảo trì'!$D$6:$D$405,$A88,'Nhật ký bảo trì'!$Q$6:$Q$405,"Hoàn thành",'Nhật ký bảo trì'!$B$6:$B$405,"&gt;="&amp;J$5,'Nhật ký bảo trì'!$B$6:$B$405,"&lt;="&amp;EOMONTH(J$5,0))&gt;0,"✔",IF(((EOMONTH(J$5,0)&gt;='Kế hoạch định kỳ'!$W88)*(INT((EOMONTH(J$5,0)-'Kế hoạch định kỳ'!$W88)/'Kế hoạch định kỳ'!$X88)+1)-(J$5-1&gt;='Kế hoạch định kỳ'!$W88)*(INT((J$5-1-'Kế hoạch định kỳ'!$W88)/'Kế hoạch định kỳ'!$X88)+1))&gt;0,IF(EOMONTH(J$5,0)&lt;'Tổng quan'!$B$11,"✖","○"),"")))</f>
        <v/>
      </c>
      <c r="K88" s="24" t="str">
        <f>IF($A88="","",IF(COUNTIFS('Nhật ký bảo trì'!$D$6:$D$405,$A88,'Nhật ký bảo trì'!$Q$6:$Q$405,"Hoàn thành",'Nhật ký bảo trì'!$B$6:$B$405,"&gt;="&amp;K$5,'Nhật ký bảo trì'!$B$6:$B$405,"&lt;="&amp;EOMONTH(K$5,0))&gt;0,"✔",IF(((EOMONTH(K$5,0)&gt;='Kế hoạch định kỳ'!$W88)*(INT((EOMONTH(K$5,0)-'Kế hoạch định kỳ'!$W88)/'Kế hoạch định kỳ'!$X88)+1)-(K$5-1&gt;='Kế hoạch định kỳ'!$W88)*(INT((K$5-1-'Kế hoạch định kỳ'!$W88)/'Kế hoạch định kỳ'!$X88)+1))&gt;0,IF(EOMONTH(K$5,0)&lt;'Tổng quan'!$B$11,"✖","○"),"")))</f>
        <v/>
      </c>
      <c r="L88" s="24" t="str">
        <f>IF($A88="","",IF(COUNTIFS('Nhật ký bảo trì'!$D$6:$D$405,$A88,'Nhật ký bảo trì'!$Q$6:$Q$405,"Hoàn thành",'Nhật ký bảo trì'!$B$6:$B$405,"&gt;="&amp;L$5,'Nhật ký bảo trì'!$B$6:$B$405,"&lt;="&amp;EOMONTH(L$5,0))&gt;0,"✔",IF(((EOMONTH(L$5,0)&gt;='Kế hoạch định kỳ'!$W88)*(INT((EOMONTH(L$5,0)-'Kế hoạch định kỳ'!$W88)/'Kế hoạch định kỳ'!$X88)+1)-(L$5-1&gt;='Kế hoạch định kỳ'!$W88)*(INT((L$5-1-'Kế hoạch định kỳ'!$W88)/'Kế hoạch định kỳ'!$X88)+1))&gt;0,IF(EOMONTH(L$5,0)&lt;'Tổng quan'!$B$11,"✖","○"),"")))</f>
        <v/>
      </c>
      <c r="M88" s="24" t="str">
        <f>IF($A88="","",IF(COUNTIFS('Nhật ký bảo trì'!$D$6:$D$405,$A88,'Nhật ký bảo trì'!$Q$6:$Q$405,"Hoàn thành",'Nhật ký bảo trì'!$B$6:$B$405,"&gt;="&amp;M$5,'Nhật ký bảo trì'!$B$6:$B$405,"&lt;="&amp;EOMONTH(M$5,0))&gt;0,"✔",IF(((EOMONTH(M$5,0)&gt;='Kế hoạch định kỳ'!$W88)*(INT((EOMONTH(M$5,0)-'Kế hoạch định kỳ'!$W88)/'Kế hoạch định kỳ'!$X88)+1)-(M$5-1&gt;='Kế hoạch định kỳ'!$W88)*(INT((M$5-1-'Kế hoạch định kỳ'!$W88)/'Kế hoạch định kỳ'!$X88)+1))&gt;0,IF(EOMONTH(M$5,0)&lt;'Tổng quan'!$B$11,"✖","○"),"")))</f>
        <v/>
      </c>
      <c r="N88" s="24" t="str">
        <f>IF($A88="","",IF(COUNTIFS('Nhật ký bảo trì'!$D$6:$D$405,$A88,'Nhật ký bảo trì'!$Q$6:$Q$405,"Hoàn thành",'Nhật ký bảo trì'!$B$6:$B$405,"&gt;="&amp;N$5,'Nhật ký bảo trì'!$B$6:$B$405,"&lt;="&amp;EOMONTH(N$5,0))&gt;0,"✔",IF(((EOMONTH(N$5,0)&gt;='Kế hoạch định kỳ'!$W88)*(INT((EOMONTH(N$5,0)-'Kế hoạch định kỳ'!$W88)/'Kế hoạch định kỳ'!$X88)+1)-(N$5-1&gt;='Kế hoạch định kỳ'!$W88)*(INT((N$5-1-'Kế hoạch định kỳ'!$W88)/'Kế hoạch định kỳ'!$X88)+1))&gt;0,IF(EOMONTH(N$5,0)&lt;'Tổng quan'!$B$11,"✖","○"),"")))</f>
        <v/>
      </c>
      <c r="O88" s="24" t="str">
        <f>IF($A88="","",IF(COUNTIFS('Nhật ký bảo trì'!$D$6:$D$405,$A88,'Nhật ký bảo trì'!$Q$6:$Q$405,"Hoàn thành",'Nhật ký bảo trì'!$B$6:$B$405,"&gt;="&amp;O$5,'Nhật ký bảo trì'!$B$6:$B$405,"&lt;="&amp;EOMONTH(O$5,0))&gt;0,"✔",IF(((EOMONTH(O$5,0)&gt;='Kế hoạch định kỳ'!$W88)*(INT((EOMONTH(O$5,0)-'Kế hoạch định kỳ'!$W88)/'Kế hoạch định kỳ'!$X88)+1)-(O$5-1&gt;='Kế hoạch định kỳ'!$W88)*(INT((O$5-1-'Kế hoạch định kỳ'!$W88)/'Kế hoạch định kỳ'!$X88)+1))&gt;0,IF(EOMONTH(O$5,0)&lt;'Tổng quan'!$B$11,"✖","○"),"")))</f>
        <v/>
      </c>
      <c r="P88" s="24" t="str">
        <f>IF($A88="","",IF(COUNTIFS('Nhật ký bảo trì'!$D$6:$D$405,$A88,'Nhật ký bảo trì'!$Q$6:$Q$405,"Hoàn thành",'Nhật ký bảo trì'!$B$6:$B$405,"&gt;="&amp;P$5,'Nhật ký bảo trì'!$B$6:$B$405,"&lt;="&amp;EOMONTH(P$5,0))&gt;0,"✔",IF(((EOMONTH(P$5,0)&gt;='Kế hoạch định kỳ'!$W88)*(INT((EOMONTH(P$5,0)-'Kế hoạch định kỳ'!$W88)/'Kế hoạch định kỳ'!$X88)+1)-(P$5-1&gt;='Kế hoạch định kỳ'!$W88)*(INT((P$5-1-'Kế hoạch định kỳ'!$W88)/'Kế hoạch định kỳ'!$X88)+1))&gt;0,IF(EOMONTH(P$5,0)&lt;'Tổng quan'!$B$11,"✖","○"),"")))</f>
        <v/>
      </c>
      <c r="Q88" s="16" t="str">
        <f>IF($A88="","",COUNTIFS('Nhật ký bảo trì'!$D$6:$D$405,$A88,'Nhật ký bảo trì'!$Q$6:$Q$405,"Hoàn thành",'Nhật ký bảo trì'!$B$6:$B$405,"&gt;="&amp;DATE('Tổng quan'!$B$6,1,1),'Nhật ký bảo trì'!$B$6:$B$405,"&lt;="&amp;DATE('Tổng quan'!$B$6,12,31)))</f>
        <v/>
      </c>
      <c r="R88" s="16" t="str">
        <f t="shared" si="1"/>
        <v/>
      </c>
    </row>
    <row r="89" ht="24.0" customHeight="1">
      <c r="A89" s="26" t="str">
        <f>IF('Kế hoạch định kỳ'!$B89="","",'Kế hoạch định kỳ'!$B89)</f>
        <v/>
      </c>
      <c r="B89" s="28" t="str">
        <f>IF('Kế hoạch định kỳ'!$B89="","",'Kế hoạch định kỳ'!$D89)</f>
        <v/>
      </c>
      <c r="C89" s="56" t="str">
        <f>IF('Kế hoạch định kỳ'!$B89="","",'Kế hoạch định kỳ'!$F89)</f>
        <v/>
      </c>
      <c r="D89" s="26" t="str">
        <f>IF('Kế hoạch định kỳ'!$B89="","",IF('Kế hoạch định kỳ'!$I89&lt;&gt;"",'Kế hoạch định kỳ'!$I89&amp;" ngày",'Kế hoạch định kỳ'!$H89))</f>
        <v/>
      </c>
      <c r="E89" s="61" t="str">
        <f>IF($A89="","",IF(COUNTIFS('Nhật ký bảo trì'!$D$6:$D$405,$A89,'Nhật ký bảo trì'!$Q$6:$Q$405,"Hoàn thành",'Nhật ký bảo trì'!$B$6:$B$405,"&gt;="&amp;E$5,'Nhật ký bảo trì'!$B$6:$B$405,"&lt;="&amp;EOMONTH(E$5,0))&gt;0,"✔",IF(((EOMONTH(E$5,0)&gt;='Kế hoạch định kỳ'!$W89)*(INT((EOMONTH(E$5,0)-'Kế hoạch định kỳ'!$W89)/'Kế hoạch định kỳ'!$X89)+1)-(E$5-1&gt;='Kế hoạch định kỳ'!$W89)*(INT((E$5-1-'Kế hoạch định kỳ'!$W89)/'Kế hoạch định kỳ'!$X89)+1))&gt;0,IF(EOMONTH(E$5,0)&lt;'Tổng quan'!$B$11,"✖","○"),"")))</f>
        <v/>
      </c>
      <c r="F89" s="61" t="str">
        <f>IF($A89="","",IF(COUNTIFS('Nhật ký bảo trì'!$D$6:$D$405,$A89,'Nhật ký bảo trì'!$Q$6:$Q$405,"Hoàn thành",'Nhật ký bảo trì'!$B$6:$B$405,"&gt;="&amp;F$5,'Nhật ký bảo trì'!$B$6:$B$405,"&lt;="&amp;EOMONTH(F$5,0))&gt;0,"✔",IF(((EOMONTH(F$5,0)&gt;='Kế hoạch định kỳ'!$W89)*(INT((EOMONTH(F$5,0)-'Kế hoạch định kỳ'!$W89)/'Kế hoạch định kỳ'!$X89)+1)-(F$5-1&gt;='Kế hoạch định kỳ'!$W89)*(INT((F$5-1-'Kế hoạch định kỳ'!$W89)/'Kế hoạch định kỳ'!$X89)+1))&gt;0,IF(EOMONTH(F$5,0)&lt;'Tổng quan'!$B$11,"✖","○"),"")))</f>
        <v/>
      </c>
      <c r="G89" s="61" t="str">
        <f>IF($A89="","",IF(COUNTIFS('Nhật ký bảo trì'!$D$6:$D$405,$A89,'Nhật ký bảo trì'!$Q$6:$Q$405,"Hoàn thành",'Nhật ký bảo trì'!$B$6:$B$405,"&gt;="&amp;G$5,'Nhật ký bảo trì'!$B$6:$B$405,"&lt;="&amp;EOMONTH(G$5,0))&gt;0,"✔",IF(((EOMONTH(G$5,0)&gt;='Kế hoạch định kỳ'!$W89)*(INT((EOMONTH(G$5,0)-'Kế hoạch định kỳ'!$W89)/'Kế hoạch định kỳ'!$X89)+1)-(G$5-1&gt;='Kế hoạch định kỳ'!$W89)*(INT((G$5-1-'Kế hoạch định kỳ'!$W89)/'Kế hoạch định kỳ'!$X89)+1))&gt;0,IF(EOMONTH(G$5,0)&lt;'Tổng quan'!$B$11,"✖","○"),"")))</f>
        <v/>
      </c>
      <c r="H89" s="61" t="str">
        <f>IF($A89="","",IF(COUNTIFS('Nhật ký bảo trì'!$D$6:$D$405,$A89,'Nhật ký bảo trì'!$Q$6:$Q$405,"Hoàn thành",'Nhật ký bảo trì'!$B$6:$B$405,"&gt;="&amp;H$5,'Nhật ký bảo trì'!$B$6:$B$405,"&lt;="&amp;EOMONTH(H$5,0))&gt;0,"✔",IF(((EOMONTH(H$5,0)&gt;='Kế hoạch định kỳ'!$W89)*(INT((EOMONTH(H$5,0)-'Kế hoạch định kỳ'!$W89)/'Kế hoạch định kỳ'!$X89)+1)-(H$5-1&gt;='Kế hoạch định kỳ'!$W89)*(INT((H$5-1-'Kế hoạch định kỳ'!$W89)/'Kế hoạch định kỳ'!$X89)+1))&gt;0,IF(EOMONTH(H$5,0)&lt;'Tổng quan'!$B$11,"✖","○"),"")))</f>
        <v/>
      </c>
      <c r="I89" s="61" t="str">
        <f>IF($A89="","",IF(COUNTIFS('Nhật ký bảo trì'!$D$6:$D$405,$A89,'Nhật ký bảo trì'!$Q$6:$Q$405,"Hoàn thành",'Nhật ký bảo trì'!$B$6:$B$405,"&gt;="&amp;I$5,'Nhật ký bảo trì'!$B$6:$B$405,"&lt;="&amp;EOMONTH(I$5,0))&gt;0,"✔",IF(((EOMONTH(I$5,0)&gt;='Kế hoạch định kỳ'!$W89)*(INT((EOMONTH(I$5,0)-'Kế hoạch định kỳ'!$W89)/'Kế hoạch định kỳ'!$X89)+1)-(I$5-1&gt;='Kế hoạch định kỳ'!$W89)*(INT((I$5-1-'Kế hoạch định kỳ'!$W89)/'Kế hoạch định kỳ'!$X89)+1))&gt;0,IF(EOMONTH(I$5,0)&lt;'Tổng quan'!$B$11,"✖","○"),"")))</f>
        <v/>
      </c>
      <c r="J89" s="61" t="str">
        <f>IF($A89="","",IF(COUNTIFS('Nhật ký bảo trì'!$D$6:$D$405,$A89,'Nhật ký bảo trì'!$Q$6:$Q$405,"Hoàn thành",'Nhật ký bảo trì'!$B$6:$B$405,"&gt;="&amp;J$5,'Nhật ký bảo trì'!$B$6:$B$405,"&lt;="&amp;EOMONTH(J$5,0))&gt;0,"✔",IF(((EOMONTH(J$5,0)&gt;='Kế hoạch định kỳ'!$W89)*(INT((EOMONTH(J$5,0)-'Kế hoạch định kỳ'!$W89)/'Kế hoạch định kỳ'!$X89)+1)-(J$5-1&gt;='Kế hoạch định kỳ'!$W89)*(INT((J$5-1-'Kế hoạch định kỳ'!$W89)/'Kế hoạch định kỳ'!$X89)+1))&gt;0,IF(EOMONTH(J$5,0)&lt;'Tổng quan'!$B$11,"✖","○"),"")))</f>
        <v/>
      </c>
      <c r="K89" s="61" t="str">
        <f>IF($A89="","",IF(COUNTIFS('Nhật ký bảo trì'!$D$6:$D$405,$A89,'Nhật ký bảo trì'!$Q$6:$Q$405,"Hoàn thành",'Nhật ký bảo trì'!$B$6:$B$405,"&gt;="&amp;K$5,'Nhật ký bảo trì'!$B$6:$B$405,"&lt;="&amp;EOMONTH(K$5,0))&gt;0,"✔",IF(((EOMONTH(K$5,0)&gt;='Kế hoạch định kỳ'!$W89)*(INT((EOMONTH(K$5,0)-'Kế hoạch định kỳ'!$W89)/'Kế hoạch định kỳ'!$X89)+1)-(K$5-1&gt;='Kế hoạch định kỳ'!$W89)*(INT((K$5-1-'Kế hoạch định kỳ'!$W89)/'Kế hoạch định kỳ'!$X89)+1))&gt;0,IF(EOMONTH(K$5,0)&lt;'Tổng quan'!$B$11,"✖","○"),"")))</f>
        <v/>
      </c>
      <c r="L89" s="61" t="str">
        <f>IF($A89="","",IF(COUNTIFS('Nhật ký bảo trì'!$D$6:$D$405,$A89,'Nhật ký bảo trì'!$Q$6:$Q$405,"Hoàn thành",'Nhật ký bảo trì'!$B$6:$B$405,"&gt;="&amp;L$5,'Nhật ký bảo trì'!$B$6:$B$405,"&lt;="&amp;EOMONTH(L$5,0))&gt;0,"✔",IF(((EOMONTH(L$5,0)&gt;='Kế hoạch định kỳ'!$W89)*(INT((EOMONTH(L$5,0)-'Kế hoạch định kỳ'!$W89)/'Kế hoạch định kỳ'!$X89)+1)-(L$5-1&gt;='Kế hoạch định kỳ'!$W89)*(INT((L$5-1-'Kế hoạch định kỳ'!$W89)/'Kế hoạch định kỳ'!$X89)+1))&gt;0,IF(EOMONTH(L$5,0)&lt;'Tổng quan'!$B$11,"✖","○"),"")))</f>
        <v/>
      </c>
      <c r="M89" s="61" t="str">
        <f>IF($A89="","",IF(COUNTIFS('Nhật ký bảo trì'!$D$6:$D$405,$A89,'Nhật ký bảo trì'!$Q$6:$Q$405,"Hoàn thành",'Nhật ký bảo trì'!$B$6:$B$405,"&gt;="&amp;M$5,'Nhật ký bảo trì'!$B$6:$B$405,"&lt;="&amp;EOMONTH(M$5,0))&gt;0,"✔",IF(((EOMONTH(M$5,0)&gt;='Kế hoạch định kỳ'!$W89)*(INT((EOMONTH(M$5,0)-'Kế hoạch định kỳ'!$W89)/'Kế hoạch định kỳ'!$X89)+1)-(M$5-1&gt;='Kế hoạch định kỳ'!$W89)*(INT((M$5-1-'Kế hoạch định kỳ'!$W89)/'Kế hoạch định kỳ'!$X89)+1))&gt;0,IF(EOMONTH(M$5,0)&lt;'Tổng quan'!$B$11,"✖","○"),"")))</f>
        <v/>
      </c>
      <c r="N89" s="61" t="str">
        <f>IF($A89="","",IF(COUNTIFS('Nhật ký bảo trì'!$D$6:$D$405,$A89,'Nhật ký bảo trì'!$Q$6:$Q$405,"Hoàn thành",'Nhật ký bảo trì'!$B$6:$B$405,"&gt;="&amp;N$5,'Nhật ký bảo trì'!$B$6:$B$405,"&lt;="&amp;EOMONTH(N$5,0))&gt;0,"✔",IF(((EOMONTH(N$5,0)&gt;='Kế hoạch định kỳ'!$W89)*(INT((EOMONTH(N$5,0)-'Kế hoạch định kỳ'!$W89)/'Kế hoạch định kỳ'!$X89)+1)-(N$5-1&gt;='Kế hoạch định kỳ'!$W89)*(INT((N$5-1-'Kế hoạch định kỳ'!$W89)/'Kế hoạch định kỳ'!$X89)+1))&gt;0,IF(EOMONTH(N$5,0)&lt;'Tổng quan'!$B$11,"✖","○"),"")))</f>
        <v/>
      </c>
      <c r="O89" s="61" t="str">
        <f>IF($A89="","",IF(COUNTIFS('Nhật ký bảo trì'!$D$6:$D$405,$A89,'Nhật ký bảo trì'!$Q$6:$Q$405,"Hoàn thành",'Nhật ký bảo trì'!$B$6:$B$405,"&gt;="&amp;O$5,'Nhật ký bảo trì'!$B$6:$B$405,"&lt;="&amp;EOMONTH(O$5,0))&gt;0,"✔",IF(((EOMONTH(O$5,0)&gt;='Kế hoạch định kỳ'!$W89)*(INT((EOMONTH(O$5,0)-'Kế hoạch định kỳ'!$W89)/'Kế hoạch định kỳ'!$X89)+1)-(O$5-1&gt;='Kế hoạch định kỳ'!$W89)*(INT((O$5-1-'Kế hoạch định kỳ'!$W89)/'Kế hoạch định kỳ'!$X89)+1))&gt;0,IF(EOMONTH(O$5,0)&lt;'Tổng quan'!$B$11,"✖","○"),"")))</f>
        <v/>
      </c>
      <c r="P89" s="61" t="str">
        <f>IF($A89="","",IF(COUNTIFS('Nhật ký bảo trì'!$D$6:$D$405,$A89,'Nhật ký bảo trì'!$Q$6:$Q$405,"Hoàn thành",'Nhật ký bảo trì'!$B$6:$B$405,"&gt;="&amp;P$5,'Nhật ký bảo trì'!$B$6:$B$405,"&lt;="&amp;EOMONTH(P$5,0))&gt;0,"✔",IF(((EOMONTH(P$5,0)&gt;='Kế hoạch định kỳ'!$W89)*(INT((EOMONTH(P$5,0)-'Kế hoạch định kỳ'!$W89)/'Kế hoạch định kỳ'!$X89)+1)-(P$5-1&gt;='Kế hoạch định kỳ'!$W89)*(INT((P$5-1-'Kế hoạch định kỳ'!$W89)/'Kế hoạch định kỳ'!$X89)+1))&gt;0,IF(EOMONTH(P$5,0)&lt;'Tổng quan'!$B$11,"✖","○"),"")))</f>
        <v/>
      </c>
      <c r="Q89" s="30" t="str">
        <f>IF($A89="","",COUNTIFS('Nhật ký bảo trì'!$D$6:$D$405,$A89,'Nhật ký bảo trì'!$Q$6:$Q$405,"Hoàn thành",'Nhật ký bảo trì'!$B$6:$B$405,"&gt;="&amp;DATE('Tổng quan'!$B$6,1,1),'Nhật ký bảo trì'!$B$6:$B$405,"&lt;="&amp;DATE('Tổng quan'!$B$6,12,31)))</f>
        <v/>
      </c>
      <c r="R89" s="30" t="str">
        <f t="shared" si="1"/>
        <v/>
      </c>
    </row>
    <row r="90" ht="24.0" customHeight="1">
      <c r="A90" s="10" t="str">
        <f>IF('Kế hoạch định kỳ'!$B90="","",'Kế hoạch định kỳ'!$B90)</f>
        <v/>
      </c>
      <c r="B90" s="14" t="str">
        <f>IF('Kế hoạch định kỳ'!$B90="","",'Kế hoạch định kỳ'!$D90)</f>
        <v/>
      </c>
      <c r="C90" s="18" t="str">
        <f>IF('Kế hoạch định kỳ'!$B90="","",'Kế hoạch định kỳ'!$F90)</f>
        <v/>
      </c>
      <c r="D90" s="10" t="str">
        <f>IF('Kế hoạch định kỳ'!$B90="","",IF('Kế hoạch định kỳ'!$I90&lt;&gt;"",'Kế hoạch định kỳ'!$I90&amp;" ngày",'Kế hoạch định kỳ'!$H90))</f>
        <v/>
      </c>
      <c r="E90" s="24" t="str">
        <f>IF($A90="","",IF(COUNTIFS('Nhật ký bảo trì'!$D$6:$D$405,$A90,'Nhật ký bảo trì'!$Q$6:$Q$405,"Hoàn thành",'Nhật ký bảo trì'!$B$6:$B$405,"&gt;="&amp;E$5,'Nhật ký bảo trì'!$B$6:$B$405,"&lt;="&amp;EOMONTH(E$5,0))&gt;0,"✔",IF(((EOMONTH(E$5,0)&gt;='Kế hoạch định kỳ'!$W90)*(INT((EOMONTH(E$5,0)-'Kế hoạch định kỳ'!$W90)/'Kế hoạch định kỳ'!$X90)+1)-(E$5-1&gt;='Kế hoạch định kỳ'!$W90)*(INT((E$5-1-'Kế hoạch định kỳ'!$W90)/'Kế hoạch định kỳ'!$X90)+1))&gt;0,IF(EOMONTH(E$5,0)&lt;'Tổng quan'!$B$11,"✖","○"),"")))</f>
        <v/>
      </c>
      <c r="F90" s="24" t="str">
        <f>IF($A90="","",IF(COUNTIFS('Nhật ký bảo trì'!$D$6:$D$405,$A90,'Nhật ký bảo trì'!$Q$6:$Q$405,"Hoàn thành",'Nhật ký bảo trì'!$B$6:$B$405,"&gt;="&amp;F$5,'Nhật ký bảo trì'!$B$6:$B$405,"&lt;="&amp;EOMONTH(F$5,0))&gt;0,"✔",IF(((EOMONTH(F$5,0)&gt;='Kế hoạch định kỳ'!$W90)*(INT((EOMONTH(F$5,0)-'Kế hoạch định kỳ'!$W90)/'Kế hoạch định kỳ'!$X90)+1)-(F$5-1&gt;='Kế hoạch định kỳ'!$W90)*(INT((F$5-1-'Kế hoạch định kỳ'!$W90)/'Kế hoạch định kỳ'!$X90)+1))&gt;0,IF(EOMONTH(F$5,0)&lt;'Tổng quan'!$B$11,"✖","○"),"")))</f>
        <v/>
      </c>
      <c r="G90" s="24" t="str">
        <f>IF($A90="","",IF(COUNTIFS('Nhật ký bảo trì'!$D$6:$D$405,$A90,'Nhật ký bảo trì'!$Q$6:$Q$405,"Hoàn thành",'Nhật ký bảo trì'!$B$6:$B$405,"&gt;="&amp;G$5,'Nhật ký bảo trì'!$B$6:$B$405,"&lt;="&amp;EOMONTH(G$5,0))&gt;0,"✔",IF(((EOMONTH(G$5,0)&gt;='Kế hoạch định kỳ'!$W90)*(INT((EOMONTH(G$5,0)-'Kế hoạch định kỳ'!$W90)/'Kế hoạch định kỳ'!$X90)+1)-(G$5-1&gt;='Kế hoạch định kỳ'!$W90)*(INT((G$5-1-'Kế hoạch định kỳ'!$W90)/'Kế hoạch định kỳ'!$X90)+1))&gt;0,IF(EOMONTH(G$5,0)&lt;'Tổng quan'!$B$11,"✖","○"),"")))</f>
        <v/>
      </c>
      <c r="H90" s="24" t="str">
        <f>IF($A90="","",IF(COUNTIFS('Nhật ký bảo trì'!$D$6:$D$405,$A90,'Nhật ký bảo trì'!$Q$6:$Q$405,"Hoàn thành",'Nhật ký bảo trì'!$B$6:$B$405,"&gt;="&amp;H$5,'Nhật ký bảo trì'!$B$6:$B$405,"&lt;="&amp;EOMONTH(H$5,0))&gt;0,"✔",IF(((EOMONTH(H$5,0)&gt;='Kế hoạch định kỳ'!$W90)*(INT((EOMONTH(H$5,0)-'Kế hoạch định kỳ'!$W90)/'Kế hoạch định kỳ'!$X90)+1)-(H$5-1&gt;='Kế hoạch định kỳ'!$W90)*(INT((H$5-1-'Kế hoạch định kỳ'!$W90)/'Kế hoạch định kỳ'!$X90)+1))&gt;0,IF(EOMONTH(H$5,0)&lt;'Tổng quan'!$B$11,"✖","○"),"")))</f>
        <v/>
      </c>
      <c r="I90" s="24" t="str">
        <f>IF($A90="","",IF(COUNTIFS('Nhật ký bảo trì'!$D$6:$D$405,$A90,'Nhật ký bảo trì'!$Q$6:$Q$405,"Hoàn thành",'Nhật ký bảo trì'!$B$6:$B$405,"&gt;="&amp;I$5,'Nhật ký bảo trì'!$B$6:$B$405,"&lt;="&amp;EOMONTH(I$5,0))&gt;0,"✔",IF(((EOMONTH(I$5,0)&gt;='Kế hoạch định kỳ'!$W90)*(INT((EOMONTH(I$5,0)-'Kế hoạch định kỳ'!$W90)/'Kế hoạch định kỳ'!$X90)+1)-(I$5-1&gt;='Kế hoạch định kỳ'!$W90)*(INT((I$5-1-'Kế hoạch định kỳ'!$W90)/'Kế hoạch định kỳ'!$X90)+1))&gt;0,IF(EOMONTH(I$5,0)&lt;'Tổng quan'!$B$11,"✖","○"),"")))</f>
        <v/>
      </c>
      <c r="J90" s="24" t="str">
        <f>IF($A90="","",IF(COUNTIFS('Nhật ký bảo trì'!$D$6:$D$405,$A90,'Nhật ký bảo trì'!$Q$6:$Q$405,"Hoàn thành",'Nhật ký bảo trì'!$B$6:$B$405,"&gt;="&amp;J$5,'Nhật ký bảo trì'!$B$6:$B$405,"&lt;="&amp;EOMONTH(J$5,0))&gt;0,"✔",IF(((EOMONTH(J$5,0)&gt;='Kế hoạch định kỳ'!$W90)*(INT((EOMONTH(J$5,0)-'Kế hoạch định kỳ'!$W90)/'Kế hoạch định kỳ'!$X90)+1)-(J$5-1&gt;='Kế hoạch định kỳ'!$W90)*(INT((J$5-1-'Kế hoạch định kỳ'!$W90)/'Kế hoạch định kỳ'!$X90)+1))&gt;0,IF(EOMONTH(J$5,0)&lt;'Tổng quan'!$B$11,"✖","○"),"")))</f>
        <v/>
      </c>
      <c r="K90" s="24" t="str">
        <f>IF($A90="","",IF(COUNTIFS('Nhật ký bảo trì'!$D$6:$D$405,$A90,'Nhật ký bảo trì'!$Q$6:$Q$405,"Hoàn thành",'Nhật ký bảo trì'!$B$6:$B$405,"&gt;="&amp;K$5,'Nhật ký bảo trì'!$B$6:$B$405,"&lt;="&amp;EOMONTH(K$5,0))&gt;0,"✔",IF(((EOMONTH(K$5,0)&gt;='Kế hoạch định kỳ'!$W90)*(INT((EOMONTH(K$5,0)-'Kế hoạch định kỳ'!$W90)/'Kế hoạch định kỳ'!$X90)+1)-(K$5-1&gt;='Kế hoạch định kỳ'!$W90)*(INT((K$5-1-'Kế hoạch định kỳ'!$W90)/'Kế hoạch định kỳ'!$X90)+1))&gt;0,IF(EOMONTH(K$5,0)&lt;'Tổng quan'!$B$11,"✖","○"),"")))</f>
        <v/>
      </c>
      <c r="L90" s="24" t="str">
        <f>IF($A90="","",IF(COUNTIFS('Nhật ký bảo trì'!$D$6:$D$405,$A90,'Nhật ký bảo trì'!$Q$6:$Q$405,"Hoàn thành",'Nhật ký bảo trì'!$B$6:$B$405,"&gt;="&amp;L$5,'Nhật ký bảo trì'!$B$6:$B$405,"&lt;="&amp;EOMONTH(L$5,0))&gt;0,"✔",IF(((EOMONTH(L$5,0)&gt;='Kế hoạch định kỳ'!$W90)*(INT((EOMONTH(L$5,0)-'Kế hoạch định kỳ'!$W90)/'Kế hoạch định kỳ'!$X90)+1)-(L$5-1&gt;='Kế hoạch định kỳ'!$W90)*(INT((L$5-1-'Kế hoạch định kỳ'!$W90)/'Kế hoạch định kỳ'!$X90)+1))&gt;0,IF(EOMONTH(L$5,0)&lt;'Tổng quan'!$B$11,"✖","○"),"")))</f>
        <v/>
      </c>
      <c r="M90" s="24" t="str">
        <f>IF($A90="","",IF(COUNTIFS('Nhật ký bảo trì'!$D$6:$D$405,$A90,'Nhật ký bảo trì'!$Q$6:$Q$405,"Hoàn thành",'Nhật ký bảo trì'!$B$6:$B$405,"&gt;="&amp;M$5,'Nhật ký bảo trì'!$B$6:$B$405,"&lt;="&amp;EOMONTH(M$5,0))&gt;0,"✔",IF(((EOMONTH(M$5,0)&gt;='Kế hoạch định kỳ'!$W90)*(INT((EOMONTH(M$5,0)-'Kế hoạch định kỳ'!$W90)/'Kế hoạch định kỳ'!$X90)+1)-(M$5-1&gt;='Kế hoạch định kỳ'!$W90)*(INT((M$5-1-'Kế hoạch định kỳ'!$W90)/'Kế hoạch định kỳ'!$X90)+1))&gt;0,IF(EOMONTH(M$5,0)&lt;'Tổng quan'!$B$11,"✖","○"),"")))</f>
        <v/>
      </c>
      <c r="N90" s="24" t="str">
        <f>IF($A90="","",IF(COUNTIFS('Nhật ký bảo trì'!$D$6:$D$405,$A90,'Nhật ký bảo trì'!$Q$6:$Q$405,"Hoàn thành",'Nhật ký bảo trì'!$B$6:$B$405,"&gt;="&amp;N$5,'Nhật ký bảo trì'!$B$6:$B$405,"&lt;="&amp;EOMONTH(N$5,0))&gt;0,"✔",IF(((EOMONTH(N$5,0)&gt;='Kế hoạch định kỳ'!$W90)*(INT((EOMONTH(N$5,0)-'Kế hoạch định kỳ'!$W90)/'Kế hoạch định kỳ'!$X90)+1)-(N$5-1&gt;='Kế hoạch định kỳ'!$W90)*(INT((N$5-1-'Kế hoạch định kỳ'!$W90)/'Kế hoạch định kỳ'!$X90)+1))&gt;0,IF(EOMONTH(N$5,0)&lt;'Tổng quan'!$B$11,"✖","○"),"")))</f>
        <v/>
      </c>
      <c r="O90" s="24" t="str">
        <f>IF($A90="","",IF(COUNTIFS('Nhật ký bảo trì'!$D$6:$D$405,$A90,'Nhật ký bảo trì'!$Q$6:$Q$405,"Hoàn thành",'Nhật ký bảo trì'!$B$6:$B$405,"&gt;="&amp;O$5,'Nhật ký bảo trì'!$B$6:$B$405,"&lt;="&amp;EOMONTH(O$5,0))&gt;0,"✔",IF(((EOMONTH(O$5,0)&gt;='Kế hoạch định kỳ'!$W90)*(INT((EOMONTH(O$5,0)-'Kế hoạch định kỳ'!$W90)/'Kế hoạch định kỳ'!$X90)+1)-(O$5-1&gt;='Kế hoạch định kỳ'!$W90)*(INT((O$5-1-'Kế hoạch định kỳ'!$W90)/'Kế hoạch định kỳ'!$X90)+1))&gt;0,IF(EOMONTH(O$5,0)&lt;'Tổng quan'!$B$11,"✖","○"),"")))</f>
        <v/>
      </c>
      <c r="P90" s="24" t="str">
        <f>IF($A90="","",IF(COUNTIFS('Nhật ký bảo trì'!$D$6:$D$405,$A90,'Nhật ký bảo trì'!$Q$6:$Q$405,"Hoàn thành",'Nhật ký bảo trì'!$B$6:$B$405,"&gt;="&amp;P$5,'Nhật ký bảo trì'!$B$6:$B$405,"&lt;="&amp;EOMONTH(P$5,0))&gt;0,"✔",IF(((EOMONTH(P$5,0)&gt;='Kế hoạch định kỳ'!$W90)*(INT((EOMONTH(P$5,0)-'Kế hoạch định kỳ'!$W90)/'Kế hoạch định kỳ'!$X90)+1)-(P$5-1&gt;='Kế hoạch định kỳ'!$W90)*(INT((P$5-1-'Kế hoạch định kỳ'!$W90)/'Kế hoạch định kỳ'!$X90)+1))&gt;0,IF(EOMONTH(P$5,0)&lt;'Tổng quan'!$B$11,"✖","○"),"")))</f>
        <v/>
      </c>
      <c r="Q90" s="16" t="str">
        <f>IF($A90="","",COUNTIFS('Nhật ký bảo trì'!$D$6:$D$405,$A90,'Nhật ký bảo trì'!$Q$6:$Q$405,"Hoàn thành",'Nhật ký bảo trì'!$B$6:$B$405,"&gt;="&amp;DATE('Tổng quan'!$B$6,1,1),'Nhật ký bảo trì'!$B$6:$B$405,"&lt;="&amp;DATE('Tổng quan'!$B$6,12,31)))</f>
        <v/>
      </c>
      <c r="R90" s="16" t="str">
        <f t="shared" si="1"/>
        <v/>
      </c>
    </row>
    <row r="91" ht="24.0" customHeight="1">
      <c r="A91" s="26" t="str">
        <f>IF('Kế hoạch định kỳ'!$B91="","",'Kế hoạch định kỳ'!$B91)</f>
        <v/>
      </c>
      <c r="B91" s="28" t="str">
        <f>IF('Kế hoạch định kỳ'!$B91="","",'Kế hoạch định kỳ'!$D91)</f>
        <v/>
      </c>
      <c r="C91" s="56" t="str">
        <f>IF('Kế hoạch định kỳ'!$B91="","",'Kế hoạch định kỳ'!$F91)</f>
        <v/>
      </c>
      <c r="D91" s="26" t="str">
        <f>IF('Kế hoạch định kỳ'!$B91="","",IF('Kế hoạch định kỳ'!$I91&lt;&gt;"",'Kế hoạch định kỳ'!$I91&amp;" ngày",'Kế hoạch định kỳ'!$H91))</f>
        <v/>
      </c>
      <c r="E91" s="61" t="str">
        <f>IF($A91="","",IF(COUNTIFS('Nhật ký bảo trì'!$D$6:$D$405,$A91,'Nhật ký bảo trì'!$Q$6:$Q$405,"Hoàn thành",'Nhật ký bảo trì'!$B$6:$B$405,"&gt;="&amp;E$5,'Nhật ký bảo trì'!$B$6:$B$405,"&lt;="&amp;EOMONTH(E$5,0))&gt;0,"✔",IF(((EOMONTH(E$5,0)&gt;='Kế hoạch định kỳ'!$W91)*(INT((EOMONTH(E$5,0)-'Kế hoạch định kỳ'!$W91)/'Kế hoạch định kỳ'!$X91)+1)-(E$5-1&gt;='Kế hoạch định kỳ'!$W91)*(INT((E$5-1-'Kế hoạch định kỳ'!$W91)/'Kế hoạch định kỳ'!$X91)+1))&gt;0,IF(EOMONTH(E$5,0)&lt;'Tổng quan'!$B$11,"✖","○"),"")))</f>
        <v/>
      </c>
      <c r="F91" s="61" t="str">
        <f>IF($A91="","",IF(COUNTIFS('Nhật ký bảo trì'!$D$6:$D$405,$A91,'Nhật ký bảo trì'!$Q$6:$Q$405,"Hoàn thành",'Nhật ký bảo trì'!$B$6:$B$405,"&gt;="&amp;F$5,'Nhật ký bảo trì'!$B$6:$B$405,"&lt;="&amp;EOMONTH(F$5,0))&gt;0,"✔",IF(((EOMONTH(F$5,0)&gt;='Kế hoạch định kỳ'!$W91)*(INT((EOMONTH(F$5,0)-'Kế hoạch định kỳ'!$W91)/'Kế hoạch định kỳ'!$X91)+1)-(F$5-1&gt;='Kế hoạch định kỳ'!$W91)*(INT((F$5-1-'Kế hoạch định kỳ'!$W91)/'Kế hoạch định kỳ'!$X91)+1))&gt;0,IF(EOMONTH(F$5,0)&lt;'Tổng quan'!$B$11,"✖","○"),"")))</f>
        <v/>
      </c>
      <c r="G91" s="61" t="str">
        <f>IF($A91="","",IF(COUNTIFS('Nhật ký bảo trì'!$D$6:$D$405,$A91,'Nhật ký bảo trì'!$Q$6:$Q$405,"Hoàn thành",'Nhật ký bảo trì'!$B$6:$B$405,"&gt;="&amp;G$5,'Nhật ký bảo trì'!$B$6:$B$405,"&lt;="&amp;EOMONTH(G$5,0))&gt;0,"✔",IF(((EOMONTH(G$5,0)&gt;='Kế hoạch định kỳ'!$W91)*(INT((EOMONTH(G$5,0)-'Kế hoạch định kỳ'!$W91)/'Kế hoạch định kỳ'!$X91)+1)-(G$5-1&gt;='Kế hoạch định kỳ'!$W91)*(INT((G$5-1-'Kế hoạch định kỳ'!$W91)/'Kế hoạch định kỳ'!$X91)+1))&gt;0,IF(EOMONTH(G$5,0)&lt;'Tổng quan'!$B$11,"✖","○"),"")))</f>
        <v/>
      </c>
      <c r="H91" s="61" t="str">
        <f>IF($A91="","",IF(COUNTIFS('Nhật ký bảo trì'!$D$6:$D$405,$A91,'Nhật ký bảo trì'!$Q$6:$Q$405,"Hoàn thành",'Nhật ký bảo trì'!$B$6:$B$405,"&gt;="&amp;H$5,'Nhật ký bảo trì'!$B$6:$B$405,"&lt;="&amp;EOMONTH(H$5,0))&gt;0,"✔",IF(((EOMONTH(H$5,0)&gt;='Kế hoạch định kỳ'!$W91)*(INT((EOMONTH(H$5,0)-'Kế hoạch định kỳ'!$W91)/'Kế hoạch định kỳ'!$X91)+1)-(H$5-1&gt;='Kế hoạch định kỳ'!$W91)*(INT((H$5-1-'Kế hoạch định kỳ'!$W91)/'Kế hoạch định kỳ'!$X91)+1))&gt;0,IF(EOMONTH(H$5,0)&lt;'Tổng quan'!$B$11,"✖","○"),"")))</f>
        <v/>
      </c>
      <c r="I91" s="61" t="str">
        <f>IF($A91="","",IF(COUNTIFS('Nhật ký bảo trì'!$D$6:$D$405,$A91,'Nhật ký bảo trì'!$Q$6:$Q$405,"Hoàn thành",'Nhật ký bảo trì'!$B$6:$B$405,"&gt;="&amp;I$5,'Nhật ký bảo trì'!$B$6:$B$405,"&lt;="&amp;EOMONTH(I$5,0))&gt;0,"✔",IF(((EOMONTH(I$5,0)&gt;='Kế hoạch định kỳ'!$W91)*(INT((EOMONTH(I$5,0)-'Kế hoạch định kỳ'!$W91)/'Kế hoạch định kỳ'!$X91)+1)-(I$5-1&gt;='Kế hoạch định kỳ'!$W91)*(INT((I$5-1-'Kế hoạch định kỳ'!$W91)/'Kế hoạch định kỳ'!$X91)+1))&gt;0,IF(EOMONTH(I$5,0)&lt;'Tổng quan'!$B$11,"✖","○"),"")))</f>
        <v/>
      </c>
      <c r="J91" s="61" t="str">
        <f>IF($A91="","",IF(COUNTIFS('Nhật ký bảo trì'!$D$6:$D$405,$A91,'Nhật ký bảo trì'!$Q$6:$Q$405,"Hoàn thành",'Nhật ký bảo trì'!$B$6:$B$405,"&gt;="&amp;J$5,'Nhật ký bảo trì'!$B$6:$B$405,"&lt;="&amp;EOMONTH(J$5,0))&gt;0,"✔",IF(((EOMONTH(J$5,0)&gt;='Kế hoạch định kỳ'!$W91)*(INT((EOMONTH(J$5,0)-'Kế hoạch định kỳ'!$W91)/'Kế hoạch định kỳ'!$X91)+1)-(J$5-1&gt;='Kế hoạch định kỳ'!$W91)*(INT((J$5-1-'Kế hoạch định kỳ'!$W91)/'Kế hoạch định kỳ'!$X91)+1))&gt;0,IF(EOMONTH(J$5,0)&lt;'Tổng quan'!$B$11,"✖","○"),"")))</f>
        <v/>
      </c>
      <c r="K91" s="61" t="str">
        <f>IF($A91="","",IF(COUNTIFS('Nhật ký bảo trì'!$D$6:$D$405,$A91,'Nhật ký bảo trì'!$Q$6:$Q$405,"Hoàn thành",'Nhật ký bảo trì'!$B$6:$B$405,"&gt;="&amp;K$5,'Nhật ký bảo trì'!$B$6:$B$405,"&lt;="&amp;EOMONTH(K$5,0))&gt;0,"✔",IF(((EOMONTH(K$5,0)&gt;='Kế hoạch định kỳ'!$W91)*(INT((EOMONTH(K$5,0)-'Kế hoạch định kỳ'!$W91)/'Kế hoạch định kỳ'!$X91)+1)-(K$5-1&gt;='Kế hoạch định kỳ'!$W91)*(INT((K$5-1-'Kế hoạch định kỳ'!$W91)/'Kế hoạch định kỳ'!$X91)+1))&gt;0,IF(EOMONTH(K$5,0)&lt;'Tổng quan'!$B$11,"✖","○"),"")))</f>
        <v/>
      </c>
      <c r="L91" s="61" t="str">
        <f>IF($A91="","",IF(COUNTIFS('Nhật ký bảo trì'!$D$6:$D$405,$A91,'Nhật ký bảo trì'!$Q$6:$Q$405,"Hoàn thành",'Nhật ký bảo trì'!$B$6:$B$405,"&gt;="&amp;L$5,'Nhật ký bảo trì'!$B$6:$B$405,"&lt;="&amp;EOMONTH(L$5,0))&gt;0,"✔",IF(((EOMONTH(L$5,0)&gt;='Kế hoạch định kỳ'!$W91)*(INT((EOMONTH(L$5,0)-'Kế hoạch định kỳ'!$W91)/'Kế hoạch định kỳ'!$X91)+1)-(L$5-1&gt;='Kế hoạch định kỳ'!$W91)*(INT((L$5-1-'Kế hoạch định kỳ'!$W91)/'Kế hoạch định kỳ'!$X91)+1))&gt;0,IF(EOMONTH(L$5,0)&lt;'Tổng quan'!$B$11,"✖","○"),"")))</f>
        <v/>
      </c>
      <c r="M91" s="61" t="str">
        <f>IF($A91="","",IF(COUNTIFS('Nhật ký bảo trì'!$D$6:$D$405,$A91,'Nhật ký bảo trì'!$Q$6:$Q$405,"Hoàn thành",'Nhật ký bảo trì'!$B$6:$B$405,"&gt;="&amp;M$5,'Nhật ký bảo trì'!$B$6:$B$405,"&lt;="&amp;EOMONTH(M$5,0))&gt;0,"✔",IF(((EOMONTH(M$5,0)&gt;='Kế hoạch định kỳ'!$W91)*(INT((EOMONTH(M$5,0)-'Kế hoạch định kỳ'!$W91)/'Kế hoạch định kỳ'!$X91)+1)-(M$5-1&gt;='Kế hoạch định kỳ'!$W91)*(INT((M$5-1-'Kế hoạch định kỳ'!$W91)/'Kế hoạch định kỳ'!$X91)+1))&gt;0,IF(EOMONTH(M$5,0)&lt;'Tổng quan'!$B$11,"✖","○"),"")))</f>
        <v/>
      </c>
      <c r="N91" s="61" t="str">
        <f>IF($A91="","",IF(COUNTIFS('Nhật ký bảo trì'!$D$6:$D$405,$A91,'Nhật ký bảo trì'!$Q$6:$Q$405,"Hoàn thành",'Nhật ký bảo trì'!$B$6:$B$405,"&gt;="&amp;N$5,'Nhật ký bảo trì'!$B$6:$B$405,"&lt;="&amp;EOMONTH(N$5,0))&gt;0,"✔",IF(((EOMONTH(N$5,0)&gt;='Kế hoạch định kỳ'!$W91)*(INT((EOMONTH(N$5,0)-'Kế hoạch định kỳ'!$W91)/'Kế hoạch định kỳ'!$X91)+1)-(N$5-1&gt;='Kế hoạch định kỳ'!$W91)*(INT((N$5-1-'Kế hoạch định kỳ'!$W91)/'Kế hoạch định kỳ'!$X91)+1))&gt;0,IF(EOMONTH(N$5,0)&lt;'Tổng quan'!$B$11,"✖","○"),"")))</f>
        <v/>
      </c>
      <c r="O91" s="61" t="str">
        <f>IF($A91="","",IF(COUNTIFS('Nhật ký bảo trì'!$D$6:$D$405,$A91,'Nhật ký bảo trì'!$Q$6:$Q$405,"Hoàn thành",'Nhật ký bảo trì'!$B$6:$B$405,"&gt;="&amp;O$5,'Nhật ký bảo trì'!$B$6:$B$405,"&lt;="&amp;EOMONTH(O$5,0))&gt;0,"✔",IF(((EOMONTH(O$5,0)&gt;='Kế hoạch định kỳ'!$W91)*(INT((EOMONTH(O$5,0)-'Kế hoạch định kỳ'!$W91)/'Kế hoạch định kỳ'!$X91)+1)-(O$5-1&gt;='Kế hoạch định kỳ'!$W91)*(INT((O$5-1-'Kế hoạch định kỳ'!$W91)/'Kế hoạch định kỳ'!$X91)+1))&gt;0,IF(EOMONTH(O$5,0)&lt;'Tổng quan'!$B$11,"✖","○"),"")))</f>
        <v/>
      </c>
      <c r="P91" s="61" t="str">
        <f>IF($A91="","",IF(COUNTIFS('Nhật ký bảo trì'!$D$6:$D$405,$A91,'Nhật ký bảo trì'!$Q$6:$Q$405,"Hoàn thành",'Nhật ký bảo trì'!$B$6:$B$405,"&gt;="&amp;P$5,'Nhật ký bảo trì'!$B$6:$B$405,"&lt;="&amp;EOMONTH(P$5,0))&gt;0,"✔",IF(((EOMONTH(P$5,0)&gt;='Kế hoạch định kỳ'!$W91)*(INT((EOMONTH(P$5,0)-'Kế hoạch định kỳ'!$W91)/'Kế hoạch định kỳ'!$X91)+1)-(P$5-1&gt;='Kế hoạch định kỳ'!$W91)*(INT((P$5-1-'Kế hoạch định kỳ'!$W91)/'Kế hoạch định kỳ'!$X91)+1))&gt;0,IF(EOMONTH(P$5,0)&lt;'Tổng quan'!$B$11,"✖","○"),"")))</f>
        <v/>
      </c>
      <c r="Q91" s="30" t="str">
        <f>IF($A91="","",COUNTIFS('Nhật ký bảo trì'!$D$6:$D$405,$A91,'Nhật ký bảo trì'!$Q$6:$Q$405,"Hoàn thành",'Nhật ký bảo trì'!$B$6:$B$405,"&gt;="&amp;DATE('Tổng quan'!$B$6,1,1),'Nhật ký bảo trì'!$B$6:$B$405,"&lt;="&amp;DATE('Tổng quan'!$B$6,12,31)))</f>
        <v/>
      </c>
      <c r="R91" s="30" t="str">
        <f t="shared" si="1"/>
        <v/>
      </c>
    </row>
    <row r="92" ht="24.0" customHeight="1">
      <c r="A92" s="10" t="str">
        <f>IF('Kế hoạch định kỳ'!$B92="","",'Kế hoạch định kỳ'!$B92)</f>
        <v/>
      </c>
      <c r="B92" s="14" t="str">
        <f>IF('Kế hoạch định kỳ'!$B92="","",'Kế hoạch định kỳ'!$D92)</f>
        <v/>
      </c>
      <c r="C92" s="18" t="str">
        <f>IF('Kế hoạch định kỳ'!$B92="","",'Kế hoạch định kỳ'!$F92)</f>
        <v/>
      </c>
      <c r="D92" s="10" t="str">
        <f>IF('Kế hoạch định kỳ'!$B92="","",IF('Kế hoạch định kỳ'!$I92&lt;&gt;"",'Kế hoạch định kỳ'!$I92&amp;" ngày",'Kế hoạch định kỳ'!$H92))</f>
        <v/>
      </c>
      <c r="E92" s="24" t="str">
        <f>IF($A92="","",IF(COUNTIFS('Nhật ký bảo trì'!$D$6:$D$405,$A92,'Nhật ký bảo trì'!$Q$6:$Q$405,"Hoàn thành",'Nhật ký bảo trì'!$B$6:$B$405,"&gt;="&amp;E$5,'Nhật ký bảo trì'!$B$6:$B$405,"&lt;="&amp;EOMONTH(E$5,0))&gt;0,"✔",IF(((EOMONTH(E$5,0)&gt;='Kế hoạch định kỳ'!$W92)*(INT((EOMONTH(E$5,0)-'Kế hoạch định kỳ'!$W92)/'Kế hoạch định kỳ'!$X92)+1)-(E$5-1&gt;='Kế hoạch định kỳ'!$W92)*(INT((E$5-1-'Kế hoạch định kỳ'!$W92)/'Kế hoạch định kỳ'!$X92)+1))&gt;0,IF(EOMONTH(E$5,0)&lt;'Tổng quan'!$B$11,"✖","○"),"")))</f>
        <v/>
      </c>
      <c r="F92" s="24" t="str">
        <f>IF($A92="","",IF(COUNTIFS('Nhật ký bảo trì'!$D$6:$D$405,$A92,'Nhật ký bảo trì'!$Q$6:$Q$405,"Hoàn thành",'Nhật ký bảo trì'!$B$6:$B$405,"&gt;="&amp;F$5,'Nhật ký bảo trì'!$B$6:$B$405,"&lt;="&amp;EOMONTH(F$5,0))&gt;0,"✔",IF(((EOMONTH(F$5,0)&gt;='Kế hoạch định kỳ'!$W92)*(INT((EOMONTH(F$5,0)-'Kế hoạch định kỳ'!$W92)/'Kế hoạch định kỳ'!$X92)+1)-(F$5-1&gt;='Kế hoạch định kỳ'!$W92)*(INT((F$5-1-'Kế hoạch định kỳ'!$W92)/'Kế hoạch định kỳ'!$X92)+1))&gt;0,IF(EOMONTH(F$5,0)&lt;'Tổng quan'!$B$11,"✖","○"),"")))</f>
        <v/>
      </c>
      <c r="G92" s="24" t="str">
        <f>IF($A92="","",IF(COUNTIFS('Nhật ký bảo trì'!$D$6:$D$405,$A92,'Nhật ký bảo trì'!$Q$6:$Q$405,"Hoàn thành",'Nhật ký bảo trì'!$B$6:$B$405,"&gt;="&amp;G$5,'Nhật ký bảo trì'!$B$6:$B$405,"&lt;="&amp;EOMONTH(G$5,0))&gt;0,"✔",IF(((EOMONTH(G$5,0)&gt;='Kế hoạch định kỳ'!$W92)*(INT((EOMONTH(G$5,0)-'Kế hoạch định kỳ'!$W92)/'Kế hoạch định kỳ'!$X92)+1)-(G$5-1&gt;='Kế hoạch định kỳ'!$W92)*(INT((G$5-1-'Kế hoạch định kỳ'!$W92)/'Kế hoạch định kỳ'!$X92)+1))&gt;0,IF(EOMONTH(G$5,0)&lt;'Tổng quan'!$B$11,"✖","○"),"")))</f>
        <v/>
      </c>
      <c r="H92" s="24" t="str">
        <f>IF($A92="","",IF(COUNTIFS('Nhật ký bảo trì'!$D$6:$D$405,$A92,'Nhật ký bảo trì'!$Q$6:$Q$405,"Hoàn thành",'Nhật ký bảo trì'!$B$6:$B$405,"&gt;="&amp;H$5,'Nhật ký bảo trì'!$B$6:$B$405,"&lt;="&amp;EOMONTH(H$5,0))&gt;0,"✔",IF(((EOMONTH(H$5,0)&gt;='Kế hoạch định kỳ'!$W92)*(INT((EOMONTH(H$5,0)-'Kế hoạch định kỳ'!$W92)/'Kế hoạch định kỳ'!$X92)+1)-(H$5-1&gt;='Kế hoạch định kỳ'!$W92)*(INT((H$5-1-'Kế hoạch định kỳ'!$W92)/'Kế hoạch định kỳ'!$X92)+1))&gt;0,IF(EOMONTH(H$5,0)&lt;'Tổng quan'!$B$11,"✖","○"),"")))</f>
        <v/>
      </c>
      <c r="I92" s="24" t="str">
        <f>IF($A92="","",IF(COUNTIFS('Nhật ký bảo trì'!$D$6:$D$405,$A92,'Nhật ký bảo trì'!$Q$6:$Q$405,"Hoàn thành",'Nhật ký bảo trì'!$B$6:$B$405,"&gt;="&amp;I$5,'Nhật ký bảo trì'!$B$6:$B$405,"&lt;="&amp;EOMONTH(I$5,0))&gt;0,"✔",IF(((EOMONTH(I$5,0)&gt;='Kế hoạch định kỳ'!$W92)*(INT((EOMONTH(I$5,0)-'Kế hoạch định kỳ'!$W92)/'Kế hoạch định kỳ'!$X92)+1)-(I$5-1&gt;='Kế hoạch định kỳ'!$W92)*(INT((I$5-1-'Kế hoạch định kỳ'!$W92)/'Kế hoạch định kỳ'!$X92)+1))&gt;0,IF(EOMONTH(I$5,0)&lt;'Tổng quan'!$B$11,"✖","○"),"")))</f>
        <v/>
      </c>
      <c r="J92" s="24" t="str">
        <f>IF($A92="","",IF(COUNTIFS('Nhật ký bảo trì'!$D$6:$D$405,$A92,'Nhật ký bảo trì'!$Q$6:$Q$405,"Hoàn thành",'Nhật ký bảo trì'!$B$6:$B$405,"&gt;="&amp;J$5,'Nhật ký bảo trì'!$B$6:$B$405,"&lt;="&amp;EOMONTH(J$5,0))&gt;0,"✔",IF(((EOMONTH(J$5,0)&gt;='Kế hoạch định kỳ'!$W92)*(INT((EOMONTH(J$5,0)-'Kế hoạch định kỳ'!$W92)/'Kế hoạch định kỳ'!$X92)+1)-(J$5-1&gt;='Kế hoạch định kỳ'!$W92)*(INT((J$5-1-'Kế hoạch định kỳ'!$W92)/'Kế hoạch định kỳ'!$X92)+1))&gt;0,IF(EOMONTH(J$5,0)&lt;'Tổng quan'!$B$11,"✖","○"),"")))</f>
        <v/>
      </c>
      <c r="K92" s="24" t="str">
        <f>IF($A92="","",IF(COUNTIFS('Nhật ký bảo trì'!$D$6:$D$405,$A92,'Nhật ký bảo trì'!$Q$6:$Q$405,"Hoàn thành",'Nhật ký bảo trì'!$B$6:$B$405,"&gt;="&amp;K$5,'Nhật ký bảo trì'!$B$6:$B$405,"&lt;="&amp;EOMONTH(K$5,0))&gt;0,"✔",IF(((EOMONTH(K$5,0)&gt;='Kế hoạch định kỳ'!$W92)*(INT((EOMONTH(K$5,0)-'Kế hoạch định kỳ'!$W92)/'Kế hoạch định kỳ'!$X92)+1)-(K$5-1&gt;='Kế hoạch định kỳ'!$W92)*(INT((K$5-1-'Kế hoạch định kỳ'!$W92)/'Kế hoạch định kỳ'!$X92)+1))&gt;0,IF(EOMONTH(K$5,0)&lt;'Tổng quan'!$B$11,"✖","○"),"")))</f>
        <v/>
      </c>
      <c r="L92" s="24" t="str">
        <f>IF($A92="","",IF(COUNTIFS('Nhật ký bảo trì'!$D$6:$D$405,$A92,'Nhật ký bảo trì'!$Q$6:$Q$405,"Hoàn thành",'Nhật ký bảo trì'!$B$6:$B$405,"&gt;="&amp;L$5,'Nhật ký bảo trì'!$B$6:$B$405,"&lt;="&amp;EOMONTH(L$5,0))&gt;0,"✔",IF(((EOMONTH(L$5,0)&gt;='Kế hoạch định kỳ'!$W92)*(INT((EOMONTH(L$5,0)-'Kế hoạch định kỳ'!$W92)/'Kế hoạch định kỳ'!$X92)+1)-(L$5-1&gt;='Kế hoạch định kỳ'!$W92)*(INT((L$5-1-'Kế hoạch định kỳ'!$W92)/'Kế hoạch định kỳ'!$X92)+1))&gt;0,IF(EOMONTH(L$5,0)&lt;'Tổng quan'!$B$11,"✖","○"),"")))</f>
        <v/>
      </c>
      <c r="M92" s="24" t="str">
        <f>IF($A92="","",IF(COUNTIFS('Nhật ký bảo trì'!$D$6:$D$405,$A92,'Nhật ký bảo trì'!$Q$6:$Q$405,"Hoàn thành",'Nhật ký bảo trì'!$B$6:$B$405,"&gt;="&amp;M$5,'Nhật ký bảo trì'!$B$6:$B$405,"&lt;="&amp;EOMONTH(M$5,0))&gt;0,"✔",IF(((EOMONTH(M$5,0)&gt;='Kế hoạch định kỳ'!$W92)*(INT((EOMONTH(M$5,0)-'Kế hoạch định kỳ'!$W92)/'Kế hoạch định kỳ'!$X92)+1)-(M$5-1&gt;='Kế hoạch định kỳ'!$W92)*(INT((M$5-1-'Kế hoạch định kỳ'!$W92)/'Kế hoạch định kỳ'!$X92)+1))&gt;0,IF(EOMONTH(M$5,0)&lt;'Tổng quan'!$B$11,"✖","○"),"")))</f>
        <v/>
      </c>
      <c r="N92" s="24" t="str">
        <f>IF($A92="","",IF(COUNTIFS('Nhật ký bảo trì'!$D$6:$D$405,$A92,'Nhật ký bảo trì'!$Q$6:$Q$405,"Hoàn thành",'Nhật ký bảo trì'!$B$6:$B$405,"&gt;="&amp;N$5,'Nhật ký bảo trì'!$B$6:$B$405,"&lt;="&amp;EOMONTH(N$5,0))&gt;0,"✔",IF(((EOMONTH(N$5,0)&gt;='Kế hoạch định kỳ'!$W92)*(INT((EOMONTH(N$5,0)-'Kế hoạch định kỳ'!$W92)/'Kế hoạch định kỳ'!$X92)+1)-(N$5-1&gt;='Kế hoạch định kỳ'!$W92)*(INT((N$5-1-'Kế hoạch định kỳ'!$W92)/'Kế hoạch định kỳ'!$X92)+1))&gt;0,IF(EOMONTH(N$5,0)&lt;'Tổng quan'!$B$11,"✖","○"),"")))</f>
        <v/>
      </c>
      <c r="O92" s="24" t="str">
        <f>IF($A92="","",IF(COUNTIFS('Nhật ký bảo trì'!$D$6:$D$405,$A92,'Nhật ký bảo trì'!$Q$6:$Q$405,"Hoàn thành",'Nhật ký bảo trì'!$B$6:$B$405,"&gt;="&amp;O$5,'Nhật ký bảo trì'!$B$6:$B$405,"&lt;="&amp;EOMONTH(O$5,0))&gt;0,"✔",IF(((EOMONTH(O$5,0)&gt;='Kế hoạch định kỳ'!$W92)*(INT((EOMONTH(O$5,0)-'Kế hoạch định kỳ'!$W92)/'Kế hoạch định kỳ'!$X92)+1)-(O$5-1&gt;='Kế hoạch định kỳ'!$W92)*(INT((O$5-1-'Kế hoạch định kỳ'!$W92)/'Kế hoạch định kỳ'!$X92)+1))&gt;0,IF(EOMONTH(O$5,0)&lt;'Tổng quan'!$B$11,"✖","○"),"")))</f>
        <v/>
      </c>
      <c r="P92" s="24" t="str">
        <f>IF($A92="","",IF(COUNTIFS('Nhật ký bảo trì'!$D$6:$D$405,$A92,'Nhật ký bảo trì'!$Q$6:$Q$405,"Hoàn thành",'Nhật ký bảo trì'!$B$6:$B$405,"&gt;="&amp;P$5,'Nhật ký bảo trì'!$B$6:$B$405,"&lt;="&amp;EOMONTH(P$5,0))&gt;0,"✔",IF(((EOMONTH(P$5,0)&gt;='Kế hoạch định kỳ'!$W92)*(INT((EOMONTH(P$5,0)-'Kế hoạch định kỳ'!$W92)/'Kế hoạch định kỳ'!$X92)+1)-(P$5-1&gt;='Kế hoạch định kỳ'!$W92)*(INT((P$5-1-'Kế hoạch định kỳ'!$W92)/'Kế hoạch định kỳ'!$X92)+1))&gt;0,IF(EOMONTH(P$5,0)&lt;'Tổng quan'!$B$11,"✖","○"),"")))</f>
        <v/>
      </c>
      <c r="Q92" s="16" t="str">
        <f>IF($A92="","",COUNTIFS('Nhật ký bảo trì'!$D$6:$D$405,$A92,'Nhật ký bảo trì'!$Q$6:$Q$405,"Hoàn thành",'Nhật ký bảo trì'!$B$6:$B$405,"&gt;="&amp;DATE('Tổng quan'!$B$6,1,1),'Nhật ký bảo trì'!$B$6:$B$405,"&lt;="&amp;DATE('Tổng quan'!$B$6,12,31)))</f>
        <v/>
      </c>
      <c r="R92" s="16" t="str">
        <f t="shared" si="1"/>
        <v/>
      </c>
    </row>
    <row r="93" ht="24.0" customHeight="1">
      <c r="A93" s="26" t="str">
        <f>IF('Kế hoạch định kỳ'!$B93="","",'Kế hoạch định kỳ'!$B93)</f>
        <v/>
      </c>
      <c r="B93" s="28" t="str">
        <f>IF('Kế hoạch định kỳ'!$B93="","",'Kế hoạch định kỳ'!$D93)</f>
        <v/>
      </c>
      <c r="C93" s="56" t="str">
        <f>IF('Kế hoạch định kỳ'!$B93="","",'Kế hoạch định kỳ'!$F93)</f>
        <v/>
      </c>
      <c r="D93" s="26" t="str">
        <f>IF('Kế hoạch định kỳ'!$B93="","",IF('Kế hoạch định kỳ'!$I93&lt;&gt;"",'Kế hoạch định kỳ'!$I93&amp;" ngày",'Kế hoạch định kỳ'!$H93))</f>
        <v/>
      </c>
      <c r="E93" s="61" t="str">
        <f>IF($A93="","",IF(COUNTIFS('Nhật ký bảo trì'!$D$6:$D$405,$A93,'Nhật ký bảo trì'!$Q$6:$Q$405,"Hoàn thành",'Nhật ký bảo trì'!$B$6:$B$405,"&gt;="&amp;E$5,'Nhật ký bảo trì'!$B$6:$B$405,"&lt;="&amp;EOMONTH(E$5,0))&gt;0,"✔",IF(((EOMONTH(E$5,0)&gt;='Kế hoạch định kỳ'!$W93)*(INT((EOMONTH(E$5,0)-'Kế hoạch định kỳ'!$W93)/'Kế hoạch định kỳ'!$X93)+1)-(E$5-1&gt;='Kế hoạch định kỳ'!$W93)*(INT((E$5-1-'Kế hoạch định kỳ'!$W93)/'Kế hoạch định kỳ'!$X93)+1))&gt;0,IF(EOMONTH(E$5,0)&lt;'Tổng quan'!$B$11,"✖","○"),"")))</f>
        <v/>
      </c>
      <c r="F93" s="61" t="str">
        <f>IF($A93="","",IF(COUNTIFS('Nhật ký bảo trì'!$D$6:$D$405,$A93,'Nhật ký bảo trì'!$Q$6:$Q$405,"Hoàn thành",'Nhật ký bảo trì'!$B$6:$B$405,"&gt;="&amp;F$5,'Nhật ký bảo trì'!$B$6:$B$405,"&lt;="&amp;EOMONTH(F$5,0))&gt;0,"✔",IF(((EOMONTH(F$5,0)&gt;='Kế hoạch định kỳ'!$W93)*(INT((EOMONTH(F$5,0)-'Kế hoạch định kỳ'!$W93)/'Kế hoạch định kỳ'!$X93)+1)-(F$5-1&gt;='Kế hoạch định kỳ'!$W93)*(INT((F$5-1-'Kế hoạch định kỳ'!$W93)/'Kế hoạch định kỳ'!$X93)+1))&gt;0,IF(EOMONTH(F$5,0)&lt;'Tổng quan'!$B$11,"✖","○"),"")))</f>
        <v/>
      </c>
      <c r="G93" s="61" t="str">
        <f>IF($A93="","",IF(COUNTIFS('Nhật ký bảo trì'!$D$6:$D$405,$A93,'Nhật ký bảo trì'!$Q$6:$Q$405,"Hoàn thành",'Nhật ký bảo trì'!$B$6:$B$405,"&gt;="&amp;G$5,'Nhật ký bảo trì'!$B$6:$B$405,"&lt;="&amp;EOMONTH(G$5,0))&gt;0,"✔",IF(((EOMONTH(G$5,0)&gt;='Kế hoạch định kỳ'!$W93)*(INT((EOMONTH(G$5,0)-'Kế hoạch định kỳ'!$W93)/'Kế hoạch định kỳ'!$X93)+1)-(G$5-1&gt;='Kế hoạch định kỳ'!$W93)*(INT((G$5-1-'Kế hoạch định kỳ'!$W93)/'Kế hoạch định kỳ'!$X93)+1))&gt;0,IF(EOMONTH(G$5,0)&lt;'Tổng quan'!$B$11,"✖","○"),"")))</f>
        <v/>
      </c>
      <c r="H93" s="61" t="str">
        <f>IF($A93="","",IF(COUNTIFS('Nhật ký bảo trì'!$D$6:$D$405,$A93,'Nhật ký bảo trì'!$Q$6:$Q$405,"Hoàn thành",'Nhật ký bảo trì'!$B$6:$B$405,"&gt;="&amp;H$5,'Nhật ký bảo trì'!$B$6:$B$405,"&lt;="&amp;EOMONTH(H$5,0))&gt;0,"✔",IF(((EOMONTH(H$5,0)&gt;='Kế hoạch định kỳ'!$W93)*(INT((EOMONTH(H$5,0)-'Kế hoạch định kỳ'!$W93)/'Kế hoạch định kỳ'!$X93)+1)-(H$5-1&gt;='Kế hoạch định kỳ'!$W93)*(INT((H$5-1-'Kế hoạch định kỳ'!$W93)/'Kế hoạch định kỳ'!$X93)+1))&gt;0,IF(EOMONTH(H$5,0)&lt;'Tổng quan'!$B$11,"✖","○"),"")))</f>
        <v/>
      </c>
      <c r="I93" s="61" t="str">
        <f>IF($A93="","",IF(COUNTIFS('Nhật ký bảo trì'!$D$6:$D$405,$A93,'Nhật ký bảo trì'!$Q$6:$Q$405,"Hoàn thành",'Nhật ký bảo trì'!$B$6:$B$405,"&gt;="&amp;I$5,'Nhật ký bảo trì'!$B$6:$B$405,"&lt;="&amp;EOMONTH(I$5,0))&gt;0,"✔",IF(((EOMONTH(I$5,0)&gt;='Kế hoạch định kỳ'!$W93)*(INT((EOMONTH(I$5,0)-'Kế hoạch định kỳ'!$W93)/'Kế hoạch định kỳ'!$X93)+1)-(I$5-1&gt;='Kế hoạch định kỳ'!$W93)*(INT((I$5-1-'Kế hoạch định kỳ'!$W93)/'Kế hoạch định kỳ'!$X93)+1))&gt;0,IF(EOMONTH(I$5,0)&lt;'Tổng quan'!$B$11,"✖","○"),"")))</f>
        <v/>
      </c>
      <c r="J93" s="61" t="str">
        <f>IF($A93="","",IF(COUNTIFS('Nhật ký bảo trì'!$D$6:$D$405,$A93,'Nhật ký bảo trì'!$Q$6:$Q$405,"Hoàn thành",'Nhật ký bảo trì'!$B$6:$B$405,"&gt;="&amp;J$5,'Nhật ký bảo trì'!$B$6:$B$405,"&lt;="&amp;EOMONTH(J$5,0))&gt;0,"✔",IF(((EOMONTH(J$5,0)&gt;='Kế hoạch định kỳ'!$W93)*(INT((EOMONTH(J$5,0)-'Kế hoạch định kỳ'!$W93)/'Kế hoạch định kỳ'!$X93)+1)-(J$5-1&gt;='Kế hoạch định kỳ'!$W93)*(INT((J$5-1-'Kế hoạch định kỳ'!$W93)/'Kế hoạch định kỳ'!$X93)+1))&gt;0,IF(EOMONTH(J$5,0)&lt;'Tổng quan'!$B$11,"✖","○"),"")))</f>
        <v/>
      </c>
      <c r="K93" s="61" t="str">
        <f>IF($A93="","",IF(COUNTIFS('Nhật ký bảo trì'!$D$6:$D$405,$A93,'Nhật ký bảo trì'!$Q$6:$Q$405,"Hoàn thành",'Nhật ký bảo trì'!$B$6:$B$405,"&gt;="&amp;K$5,'Nhật ký bảo trì'!$B$6:$B$405,"&lt;="&amp;EOMONTH(K$5,0))&gt;0,"✔",IF(((EOMONTH(K$5,0)&gt;='Kế hoạch định kỳ'!$W93)*(INT((EOMONTH(K$5,0)-'Kế hoạch định kỳ'!$W93)/'Kế hoạch định kỳ'!$X93)+1)-(K$5-1&gt;='Kế hoạch định kỳ'!$W93)*(INT((K$5-1-'Kế hoạch định kỳ'!$W93)/'Kế hoạch định kỳ'!$X93)+1))&gt;0,IF(EOMONTH(K$5,0)&lt;'Tổng quan'!$B$11,"✖","○"),"")))</f>
        <v/>
      </c>
      <c r="L93" s="61" t="str">
        <f>IF($A93="","",IF(COUNTIFS('Nhật ký bảo trì'!$D$6:$D$405,$A93,'Nhật ký bảo trì'!$Q$6:$Q$405,"Hoàn thành",'Nhật ký bảo trì'!$B$6:$B$405,"&gt;="&amp;L$5,'Nhật ký bảo trì'!$B$6:$B$405,"&lt;="&amp;EOMONTH(L$5,0))&gt;0,"✔",IF(((EOMONTH(L$5,0)&gt;='Kế hoạch định kỳ'!$W93)*(INT((EOMONTH(L$5,0)-'Kế hoạch định kỳ'!$W93)/'Kế hoạch định kỳ'!$X93)+1)-(L$5-1&gt;='Kế hoạch định kỳ'!$W93)*(INT((L$5-1-'Kế hoạch định kỳ'!$W93)/'Kế hoạch định kỳ'!$X93)+1))&gt;0,IF(EOMONTH(L$5,0)&lt;'Tổng quan'!$B$11,"✖","○"),"")))</f>
        <v/>
      </c>
      <c r="M93" s="61" t="str">
        <f>IF($A93="","",IF(COUNTIFS('Nhật ký bảo trì'!$D$6:$D$405,$A93,'Nhật ký bảo trì'!$Q$6:$Q$405,"Hoàn thành",'Nhật ký bảo trì'!$B$6:$B$405,"&gt;="&amp;M$5,'Nhật ký bảo trì'!$B$6:$B$405,"&lt;="&amp;EOMONTH(M$5,0))&gt;0,"✔",IF(((EOMONTH(M$5,0)&gt;='Kế hoạch định kỳ'!$W93)*(INT((EOMONTH(M$5,0)-'Kế hoạch định kỳ'!$W93)/'Kế hoạch định kỳ'!$X93)+1)-(M$5-1&gt;='Kế hoạch định kỳ'!$W93)*(INT((M$5-1-'Kế hoạch định kỳ'!$W93)/'Kế hoạch định kỳ'!$X93)+1))&gt;0,IF(EOMONTH(M$5,0)&lt;'Tổng quan'!$B$11,"✖","○"),"")))</f>
        <v/>
      </c>
      <c r="N93" s="61" t="str">
        <f>IF($A93="","",IF(COUNTIFS('Nhật ký bảo trì'!$D$6:$D$405,$A93,'Nhật ký bảo trì'!$Q$6:$Q$405,"Hoàn thành",'Nhật ký bảo trì'!$B$6:$B$405,"&gt;="&amp;N$5,'Nhật ký bảo trì'!$B$6:$B$405,"&lt;="&amp;EOMONTH(N$5,0))&gt;0,"✔",IF(((EOMONTH(N$5,0)&gt;='Kế hoạch định kỳ'!$W93)*(INT((EOMONTH(N$5,0)-'Kế hoạch định kỳ'!$W93)/'Kế hoạch định kỳ'!$X93)+1)-(N$5-1&gt;='Kế hoạch định kỳ'!$W93)*(INT((N$5-1-'Kế hoạch định kỳ'!$W93)/'Kế hoạch định kỳ'!$X93)+1))&gt;0,IF(EOMONTH(N$5,0)&lt;'Tổng quan'!$B$11,"✖","○"),"")))</f>
        <v/>
      </c>
      <c r="O93" s="61" t="str">
        <f>IF($A93="","",IF(COUNTIFS('Nhật ký bảo trì'!$D$6:$D$405,$A93,'Nhật ký bảo trì'!$Q$6:$Q$405,"Hoàn thành",'Nhật ký bảo trì'!$B$6:$B$405,"&gt;="&amp;O$5,'Nhật ký bảo trì'!$B$6:$B$405,"&lt;="&amp;EOMONTH(O$5,0))&gt;0,"✔",IF(((EOMONTH(O$5,0)&gt;='Kế hoạch định kỳ'!$W93)*(INT((EOMONTH(O$5,0)-'Kế hoạch định kỳ'!$W93)/'Kế hoạch định kỳ'!$X93)+1)-(O$5-1&gt;='Kế hoạch định kỳ'!$W93)*(INT((O$5-1-'Kế hoạch định kỳ'!$W93)/'Kế hoạch định kỳ'!$X93)+1))&gt;0,IF(EOMONTH(O$5,0)&lt;'Tổng quan'!$B$11,"✖","○"),"")))</f>
        <v/>
      </c>
      <c r="P93" s="61" t="str">
        <f>IF($A93="","",IF(COUNTIFS('Nhật ký bảo trì'!$D$6:$D$405,$A93,'Nhật ký bảo trì'!$Q$6:$Q$405,"Hoàn thành",'Nhật ký bảo trì'!$B$6:$B$405,"&gt;="&amp;P$5,'Nhật ký bảo trì'!$B$6:$B$405,"&lt;="&amp;EOMONTH(P$5,0))&gt;0,"✔",IF(((EOMONTH(P$5,0)&gt;='Kế hoạch định kỳ'!$W93)*(INT((EOMONTH(P$5,0)-'Kế hoạch định kỳ'!$W93)/'Kế hoạch định kỳ'!$X93)+1)-(P$5-1&gt;='Kế hoạch định kỳ'!$W93)*(INT((P$5-1-'Kế hoạch định kỳ'!$W93)/'Kế hoạch định kỳ'!$X93)+1))&gt;0,IF(EOMONTH(P$5,0)&lt;'Tổng quan'!$B$11,"✖","○"),"")))</f>
        <v/>
      </c>
      <c r="Q93" s="30" t="str">
        <f>IF($A93="","",COUNTIFS('Nhật ký bảo trì'!$D$6:$D$405,$A93,'Nhật ký bảo trì'!$Q$6:$Q$405,"Hoàn thành",'Nhật ký bảo trì'!$B$6:$B$405,"&gt;="&amp;DATE('Tổng quan'!$B$6,1,1),'Nhật ký bảo trì'!$B$6:$B$405,"&lt;="&amp;DATE('Tổng quan'!$B$6,12,31)))</f>
        <v/>
      </c>
      <c r="R93" s="30" t="str">
        <f t="shared" si="1"/>
        <v/>
      </c>
    </row>
    <row r="94" ht="24.0" customHeight="1">
      <c r="A94" s="10" t="str">
        <f>IF('Kế hoạch định kỳ'!$B94="","",'Kế hoạch định kỳ'!$B94)</f>
        <v/>
      </c>
      <c r="B94" s="14" t="str">
        <f>IF('Kế hoạch định kỳ'!$B94="","",'Kế hoạch định kỳ'!$D94)</f>
        <v/>
      </c>
      <c r="C94" s="18" t="str">
        <f>IF('Kế hoạch định kỳ'!$B94="","",'Kế hoạch định kỳ'!$F94)</f>
        <v/>
      </c>
      <c r="D94" s="10" t="str">
        <f>IF('Kế hoạch định kỳ'!$B94="","",IF('Kế hoạch định kỳ'!$I94&lt;&gt;"",'Kế hoạch định kỳ'!$I94&amp;" ngày",'Kế hoạch định kỳ'!$H94))</f>
        <v/>
      </c>
      <c r="E94" s="24" t="str">
        <f>IF($A94="","",IF(COUNTIFS('Nhật ký bảo trì'!$D$6:$D$405,$A94,'Nhật ký bảo trì'!$Q$6:$Q$405,"Hoàn thành",'Nhật ký bảo trì'!$B$6:$B$405,"&gt;="&amp;E$5,'Nhật ký bảo trì'!$B$6:$B$405,"&lt;="&amp;EOMONTH(E$5,0))&gt;0,"✔",IF(((EOMONTH(E$5,0)&gt;='Kế hoạch định kỳ'!$W94)*(INT((EOMONTH(E$5,0)-'Kế hoạch định kỳ'!$W94)/'Kế hoạch định kỳ'!$X94)+1)-(E$5-1&gt;='Kế hoạch định kỳ'!$W94)*(INT((E$5-1-'Kế hoạch định kỳ'!$W94)/'Kế hoạch định kỳ'!$X94)+1))&gt;0,IF(EOMONTH(E$5,0)&lt;'Tổng quan'!$B$11,"✖","○"),"")))</f>
        <v/>
      </c>
      <c r="F94" s="24" t="str">
        <f>IF($A94="","",IF(COUNTIFS('Nhật ký bảo trì'!$D$6:$D$405,$A94,'Nhật ký bảo trì'!$Q$6:$Q$405,"Hoàn thành",'Nhật ký bảo trì'!$B$6:$B$405,"&gt;="&amp;F$5,'Nhật ký bảo trì'!$B$6:$B$405,"&lt;="&amp;EOMONTH(F$5,0))&gt;0,"✔",IF(((EOMONTH(F$5,0)&gt;='Kế hoạch định kỳ'!$W94)*(INT((EOMONTH(F$5,0)-'Kế hoạch định kỳ'!$W94)/'Kế hoạch định kỳ'!$X94)+1)-(F$5-1&gt;='Kế hoạch định kỳ'!$W94)*(INT((F$5-1-'Kế hoạch định kỳ'!$W94)/'Kế hoạch định kỳ'!$X94)+1))&gt;0,IF(EOMONTH(F$5,0)&lt;'Tổng quan'!$B$11,"✖","○"),"")))</f>
        <v/>
      </c>
      <c r="G94" s="24" t="str">
        <f>IF($A94="","",IF(COUNTIFS('Nhật ký bảo trì'!$D$6:$D$405,$A94,'Nhật ký bảo trì'!$Q$6:$Q$405,"Hoàn thành",'Nhật ký bảo trì'!$B$6:$B$405,"&gt;="&amp;G$5,'Nhật ký bảo trì'!$B$6:$B$405,"&lt;="&amp;EOMONTH(G$5,0))&gt;0,"✔",IF(((EOMONTH(G$5,0)&gt;='Kế hoạch định kỳ'!$W94)*(INT((EOMONTH(G$5,0)-'Kế hoạch định kỳ'!$W94)/'Kế hoạch định kỳ'!$X94)+1)-(G$5-1&gt;='Kế hoạch định kỳ'!$W94)*(INT((G$5-1-'Kế hoạch định kỳ'!$W94)/'Kế hoạch định kỳ'!$X94)+1))&gt;0,IF(EOMONTH(G$5,0)&lt;'Tổng quan'!$B$11,"✖","○"),"")))</f>
        <v/>
      </c>
      <c r="H94" s="24" t="str">
        <f>IF($A94="","",IF(COUNTIFS('Nhật ký bảo trì'!$D$6:$D$405,$A94,'Nhật ký bảo trì'!$Q$6:$Q$405,"Hoàn thành",'Nhật ký bảo trì'!$B$6:$B$405,"&gt;="&amp;H$5,'Nhật ký bảo trì'!$B$6:$B$405,"&lt;="&amp;EOMONTH(H$5,0))&gt;0,"✔",IF(((EOMONTH(H$5,0)&gt;='Kế hoạch định kỳ'!$W94)*(INT((EOMONTH(H$5,0)-'Kế hoạch định kỳ'!$W94)/'Kế hoạch định kỳ'!$X94)+1)-(H$5-1&gt;='Kế hoạch định kỳ'!$W94)*(INT((H$5-1-'Kế hoạch định kỳ'!$W94)/'Kế hoạch định kỳ'!$X94)+1))&gt;0,IF(EOMONTH(H$5,0)&lt;'Tổng quan'!$B$11,"✖","○"),"")))</f>
        <v/>
      </c>
      <c r="I94" s="24" t="str">
        <f>IF($A94="","",IF(COUNTIFS('Nhật ký bảo trì'!$D$6:$D$405,$A94,'Nhật ký bảo trì'!$Q$6:$Q$405,"Hoàn thành",'Nhật ký bảo trì'!$B$6:$B$405,"&gt;="&amp;I$5,'Nhật ký bảo trì'!$B$6:$B$405,"&lt;="&amp;EOMONTH(I$5,0))&gt;0,"✔",IF(((EOMONTH(I$5,0)&gt;='Kế hoạch định kỳ'!$W94)*(INT((EOMONTH(I$5,0)-'Kế hoạch định kỳ'!$W94)/'Kế hoạch định kỳ'!$X94)+1)-(I$5-1&gt;='Kế hoạch định kỳ'!$W94)*(INT((I$5-1-'Kế hoạch định kỳ'!$W94)/'Kế hoạch định kỳ'!$X94)+1))&gt;0,IF(EOMONTH(I$5,0)&lt;'Tổng quan'!$B$11,"✖","○"),"")))</f>
        <v/>
      </c>
      <c r="J94" s="24" t="str">
        <f>IF($A94="","",IF(COUNTIFS('Nhật ký bảo trì'!$D$6:$D$405,$A94,'Nhật ký bảo trì'!$Q$6:$Q$405,"Hoàn thành",'Nhật ký bảo trì'!$B$6:$B$405,"&gt;="&amp;J$5,'Nhật ký bảo trì'!$B$6:$B$405,"&lt;="&amp;EOMONTH(J$5,0))&gt;0,"✔",IF(((EOMONTH(J$5,0)&gt;='Kế hoạch định kỳ'!$W94)*(INT((EOMONTH(J$5,0)-'Kế hoạch định kỳ'!$W94)/'Kế hoạch định kỳ'!$X94)+1)-(J$5-1&gt;='Kế hoạch định kỳ'!$W94)*(INT((J$5-1-'Kế hoạch định kỳ'!$W94)/'Kế hoạch định kỳ'!$X94)+1))&gt;0,IF(EOMONTH(J$5,0)&lt;'Tổng quan'!$B$11,"✖","○"),"")))</f>
        <v/>
      </c>
      <c r="K94" s="24" t="str">
        <f>IF($A94="","",IF(COUNTIFS('Nhật ký bảo trì'!$D$6:$D$405,$A94,'Nhật ký bảo trì'!$Q$6:$Q$405,"Hoàn thành",'Nhật ký bảo trì'!$B$6:$B$405,"&gt;="&amp;K$5,'Nhật ký bảo trì'!$B$6:$B$405,"&lt;="&amp;EOMONTH(K$5,0))&gt;0,"✔",IF(((EOMONTH(K$5,0)&gt;='Kế hoạch định kỳ'!$W94)*(INT((EOMONTH(K$5,0)-'Kế hoạch định kỳ'!$W94)/'Kế hoạch định kỳ'!$X94)+1)-(K$5-1&gt;='Kế hoạch định kỳ'!$W94)*(INT((K$5-1-'Kế hoạch định kỳ'!$W94)/'Kế hoạch định kỳ'!$X94)+1))&gt;0,IF(EOMONTH(K$5,0)&lt;'Tổng quan'!$B$11,"✖","○"),"")))</f>
        <v/>
      </c>
      <c r="L94" s="24" t="str">
        <f>IF($A94="","",IF(COUNTIFS('Nhật ký bảo trì'!$D$6:$D$405,$A94,'Nhật ký bảo trì'!$Q$6:$Q$405,"Hoàn thành",'Nhật ký bảo trì'!$B$6:$B$405,"&gt;="&amp;L$5,'Nhật ký bảo trì'!$B$6:$B$405,"&lt;="&amp;EOMONTH(L$5,0))&gt;0,"✔",IF(((EOMONTH(L$5,0)&gt;='Kế hoạch định kỳ'!$W94)*(INT((EOMONTH(L$5,0)-'Kế hoạch định kỳ'!$W94)/'Kế hoạch định kỳ'!$X94)+1)-(L$5-1&gt;='Kế hoạch định kỳ'!$W94)*(INT((L$5-1-'Kế hoạch định kỳ'!$W94)/'Kế hoạch định kỳ'!$X94)+1))&gt;0,IF(EOMONTH(L$5,0)&lt;'Tổng quan'!$B$11,"✖","○"),"")))</f>
        <v/>
      </c>
      <c r="M94" s="24" t="str">
        <f>IF($A94="","",IF(COUNTIFS('Nhật ký bảo trì'!$D$6:$D$405,$A94,'Nhật ký bảo trì'!$Q$6:$Q$405,"Hoàn thành",'Nhật ký bảo trì'!$B$6:$B$405,"&gt;="&amp;M$5,'Nhật ký bảo trì'!$B$6:$B$405,"&lt;="&amp;EOMONTH(M$5,0))&gt;0,"✔",IF(((EOMONTH(M$5,0)&gt;='Kế hoạch định kỳ'!$W94)*(INT((EOMONTH(M$5,0)-'Kế hoạch định kỳ'!$W94)/'Kế hoạch định kỳ'!$X94)+1)-(M$5-1&gt;='Kế hoạch định kỳ'!$W94)*(INT((M$5-1-'Kế hoạch định kỳ'!$W94)/'Kế hoạch định kỳ'!$X94)+1))&gt;0,IF(EOMONTH(M$5,0)&lt;'Tổng quan'!$B$11,"✖","○"),"")))</f>
        <v/>
      </c>
      <c r="N94" s="24" t="str">
        <f>IF($A94="","",IF(COUNTIFS('Nhật ký bảo trì'!$D$6:$D$405,$A94,'Nhật ký bảo trì'!$Q$6:$Q$405,"Hoàn thành",'Nhật ký bảo trì'!$B$6:$B$405,"&gt;="&amp;N$5,'Nhật ký bảo trì'!$B$6:$B$405,"&lt;="&amp;EOMONTH(N$5,0))&gt;0,"✔",IF(((EOMONTH(N$5,0)&gt;='Kế hoạch định kỳ'!$W94)*(INT((EOMONTH(N$5,0)-'Kế hoạch định kỳ'!$W94)/'Kế hoạch định kỳ'!$X94)+1)-(N$5-1&gt;='Kế hoạch định kỳ'!$W94)*(INT((N$5-1-'Kế hoạch định kỳ'!$W94)/'Kế hoạch định kỳ'!$X94)+1))&gt;0,IF(EOMONTH(N$5,0)&lt;'Tổng quan'!$B$11,"✖","○"),"")))</f>
        <v/>
      </c>
      <c r="O94" s="24" t="str">
        <f>IF($A94="","",IF(COUNTIFS('Nhật ký bảo trì'!$D$6:$D$405,$A94,'Nhật ký bảo trì'!$Q$6:$Q$405,"Hoàn thành",'Nhật ký bảo trì'!$B$6:$B$405,"&gt;="&amp;O$5,'Nhật ký bảo trì'!$B$6:$B$405,"&lt;="&amp;EOMONTH(O$5,0))&gt;0,"✔",IF(((EOMONTH(O$5,0)&gt;='Kế hoạch định kỳ'!$W94)*(INT((EOMONTH(O$5,0)-'Kế hoạch định kỳ'!$W94)/'Kế hoạch định kỳ'!$X94)+1)-(O$5-1&gt;='Kế hoạch định kỳ'!$W94)*(INT((O$5-1-'Kế hoạch định kỳ'!$W94)/'Kế hoạch định kỳ'!$X94)+1))&gt;0,IF(EOMONTH(O$5,0)&lt;'Tổng quan'!$B$11,"✖","○"),"")))</f>
        <v/>
      </c>
      <c r="P94" s="24" t="str">
        <f>IF($A94="","",IF(COUNTIFS('Nhật ký bảo trì'!$D$6:$D$405,$A94,'Nhật ký bảo trì'!$Q$6:$Q$405,"Hoàn thành",'Nhật ký bảo trì'!$B$6:$B$405,"&gt;="&amp;P$5,'Nhật ký bảo trì'!$B$6:$B$405,"&lt;="&amp;EOMONTH(P$5,0))&gt;0,"✔",IF(((EOMONTH(P$5,0)&gt;='Kế hoạch định kỳ'!$W94)*(INT((EOMONTH(P$5,0)-'Kế hoạch định kỳ'!$W94)/'Kế hoạch định kỳ'!$X94)+1)-(P$5-1&gt;='Kế hoạch định kỳ'!$W94)*(INT((P$5-1-'Kế hoạch định kỳ'!$W94)/'Kế hoạch định kỳ'!$X94)+1))&gt;0,IF(EOMONTH(P$5,0)&lt;'Tổng quan'!$B$11,"✖","○"),"")))</f>
        <v/>
      </c>
      <c r="Q94" s="16" t="str">
        <f>IF($A94="","",COUNTIFS('Nhật ký bảo trì'!$D$6:$D$405,$A94,'Nhật ký bảo trì'!$Q$6:$Q$405,"Hoàn thành",'Nhật ký bảo trì'!$B$6:$B$405,"&gt;="&amp;DATE('Tổng quan'!$B$6,1,1),'Nhật ký bảo trì'!$B$6:$B$405,"&lt;="&amp;DATE('Tổng quan'!$B$6,12,31)))</f>
        <v/>
      </c>
      <c r="R94" s="16" t="str">
        <f t="shared" si="1"/>
        <v/>
      </c>
    </row>
    <row r="95" ht="24.0" customHeight="1">
      <c r="A95" s="26" t="str">
        <f>IF('Kế hoạch định kỳ'!$B95="","",'Kế hoạch định kỳ'!$B95)</f>
        <v/>
      </c>
      <c r="B95" s="28" t="str">
        <f>IF('Kế hoạch định kỳ'!$B95="","",'Kế hoạch định kỳ'!$D95)</f>
        <v/>
      </c>
      <c r="C95" s="56" t="str">
        <f>IF('Kế hoạch định kỳ'!$B95="","",'Kế hoạch định kỳ'!$F95)</f>
        <v/>
      </c>
      <c r="D95" s="26" t="str">
        <f>IF('Kế hoạch định kỳ'!$B95="","",IF('Kế hoạch định kỳ'!$I95&lt;&gt;"",'Kế hoạch định kỳ'!$I95&amp;" ngày",'Kế hoạch định kỳ'!$H95))</f>
        <v/>
      </c>
      <c r="E95" s="61" t="str">
        <f>IF($A95="","",IF(COUNTIFS('Nhật ký bảo trì'!$D$6:$D$405,$A95,'Nhật ký bảo trì'!$Q$6:$Q$405,"Hoàn thành",'Nhật ký bảo trì'!$B$6:$B$405,"&gt;="&amp;E$5,'Nhật ký bảo trì'!$B$6:$B$405,"&lt;="&amp;EOMONTH(E$5,0))&gt;0,"✔",IF(((EOMONTH(E$5,0)&gt;='Kế hoạch định kỳ'!$W95)*(INT((EOMONTH(E$5,0)-'Kế hoạch định kỳ'!$W95)/'Kế hoạch định kỳ'!$X95)+1)-(E$5-1&gt;='Kế hoạch định kỳ'!$W95)*(INT((E$5-1-'Kế hoạch định kỳ'!$W95)/'Kế hoạch định kỳ'!$X95)+1))&gt;0,IF(EOMONTH(E$5,0)&lt;'Tổng quan'!$B$11,"✖","○"),"")))</f>
        <v/>
      </c>
      <c r="F95" s="61" t="str">
        <f>IF($A95="","",IF(COUNTIFS('Nhật ký bảo trì'!$D$6:$D$405,$A95,'Nhật ký bảo trì'!$Q$6:$Q$405,"Hoàn thành",'Nhật ký bảo trì'!$B$6:$B$405,"&gt;="&amp;F$5,'Nhật ký bảo trì'!$B$6:$B$405,"&lt;="&amp;EOMONTH(F$5,0))&gt;0,"✔",IF(((EOMONTH(F$5,0)&gt;='Kế hoạch định kỳ'!$W95)*(INT((EOMONTH(F$5,0)-'Kế hoạch định kỳ'!$W95)/'Kế hoạch định kỳ'!$X95)+1)-(F$5-1&gt;='Kế hoạch định kỳ'!$W95)*(INT((F$5-1-'Kế hoạch định kỳ'!$W95)/'Kế hoạch định kỳ'!$X95)+1))&gt;0,IF(EOMONTH(F$5,0)&lt;'Tổng quan'!$B$11,"✖","○"),"")))</f>
        <v/>
      </c>
      <c r="G95" s="61" t="str">
        <f>IF($A95="","",IF(COUNTIFS('Nhật ký bảo trì'!$D$6:$D$405,$A95,'Nhật ký bảo trì'!$Q$6:$Q$405,"Hoàn thành",'Nhật ký bảo trì'!$B$6:$B$405,"&gt;="&amp;G$5,'Nhật ký bảo trì'!$B$6:$B$405,"&lt;="&amp;EOMONTH(G$5,0))&gt;0,"✔",IF(((EOMONTH(G$5,0)&gt;='Kế hoạch định kỳ'!$W95)*(INT((EOMONTH(G$5,0)-'Kế hoạch định kỳ'!$W95)/'Kế hoạch định kỳ'!$X95)+1)-(G$5-1&gt;='Kế hoạch định kỳ'!$W95)*(INT((G$5-1-'Kế hoạch định kỳ'!$W95)/'Kế hoạch định kỳ'!$X95)+1))&gt;0,IF(EOMONTH(G$5,0)&lt;'Tổng quan'!$B$11,"✖","○"),"")))</f>
        <v/>
      </c>
      <c r="H95" s="61" t="str">
        <f>IF($A95="","",IF(COUNTIFS('Nhật ký bảo trì'!$D$6:$D$405,$A95,'Nhật ký bảo trì'!$Q$6:$Q$405,"Hoàn thành",'Nhật ký bảo trì'!$B$6:$B$405,"&gt;="&amp;H$5,'Nhật ký bảo trì'!$B$6:$B$405,"&lt;="&amp;EOMONTH(H$5,0))&gt;0,"✔",IF(((EOMONTH(H$5,0)&gt;='Kế hoạch định kỳ'!$W95)*(INT((EOMONTH(H$5,0)-'Kế hoạch định kỳ'!$W95)/'Kế hoạch định kỳ'!$X95)+1)-(H$5-1&gt;='Kế hoạch định kỳ'!$W95)*(INT((H$5-1-'Kế hoạch định kỳ'!$W95)/'Kế hoạch định kỳ'!$X95)+1))&gt;0,IF(EOMONTH(H$5,0)&lt;'Tổng quan'!$B$11,"✖","○"),"")))</f>
        <v/>
      </c>
      <c r="I95" s="61" t="str">
        <f>IF($A95="","",IF(COUNTIFS('Nhật ký bảo trì'!$D$6:$D$405,$A95,'Nhật ký bảo trì'!$Q$6:$Q$405,"Hoàn thành",'Nhật ký bảo trì'!$B$6:$B$405,"&gt;="&amp;I$5,'Nhật ký bảo trì'!$B$6:$B$405,"&lt;="&amp;EOMONTH(I$5,0))&gt;0,"✔",IF(((EOMONTH(I$5,0)&gt;='Kế hoạch định kỳ'!$W95)*(INT((EOMONTH(I$5,0)-'Kế hoạch định kỳ'!$W95)/'Kế hoạch định kỳ'!$X95)+1)-(I$5-1&gt;='Kế hoạch định kỳ'!$W95)*(INT((I$5-1-'Kế hoạch định kỳ'!$W95)/'Kế hoạch định kỳ'!$X95)+1))&gt;0,IF(EOMONTH(I$5,0)&lt;'Tổng quan'!$B$11,"✖","○"),"")))</f>
        <v/>
      </c>
      <c r="J95" s="61" t="str">
        <f>IF($A95="","",IF(COUNTIFS('Nhật ký bảo trì'!$D$6:$D$405,$A95,'Nhật ký bảo trì'!$Q$6:$Q$405,"Hoàn thành",'Nhật ký bảo trì'!$B$6:$B$405,"&gt;="&amp;J$5,'Nhật ký bảo trì'!$B$6:$B$405,"&lt;="&amp;EOMONTH(J$5,0))&gt;0,"✔",IF(((EOMONTH(J$5,0)&gt;='Kế hoạch định kỳ'!$W95)*(INT((EOMONTH(J$5,0)-'Kế hoạch định kỳ'!$W95)/'Kế hoạch định kỳ'!$X95)+1)-(J$5-1&gt;='Kế hoạch định kỳ'!$W95)*(INT((J$5-1-'Kế hoạch định kỳ'!$W95)/'Kế hoạch định kỳ'!$X95)+1))&gt;0,IF(EOMONTH(J$5,0)&lt;'Tổng quan'!$B$11,"✖","○"),"")))</f>
        <v/>
      </c>
      <c r="K95" s="61" t="str">
        <f>IF($A95="","",IF(COUNTIFS('Nhật ký bảo trì'!$D$6:$D$405,$A95,'Nhật ký bảo trì'!$Q$6:$Q$405,"Hoàn thành",'Nhật ký bảo trì'!$B$6:$B$405,"&gt;="&amp;K$5,'Nhật ký bảo trì'!$B$6:$B$405,"&lt;="&amp;EOMONTH(K$5,0))&gt;0,"✔",IF(((EOMONTH(K$5,0)&gt;='Kế hoạch định kỳ'!$W95)*(INT((EOMONTH(K$5,0)-'Kế hoạch định kỳ'!$W95)/'Kế hoạch định kỳ'!$X95)+1)-(K$5-1&gt;='Kế hoạch định kỳ'!$W95)*(INT((K$5-1-'Kế hoạch định kỳ'!$W95)/'Kế hoạch định kỳ'!$X95)+1))&gt;0,IF(EOMONTH(K$5,0)&lt;'Tổng quan'!$B$11,"✖","○"),"")))</f>
        <v/>
      </c>
      <c r="L95" s="61" t="str">
        <f>IF($A95="","",IF(COUNTIFS('Nhật ký bảo trì'!$D$6:$D$405,$A95,'Nhật ký bảo trì'!$Q$6:$Q$405,"Hoàn thành",'Nhật ký bảo trì'!$B$6:$B$405,"&gt;="&amp;L$5,'Nhật ký bảo trì'!$B$6:$B$405,"&lt;="&amp;EOMONTH(L$5,0))&gt;0,"✔",IF(((EOMONTH(L$5,0)&gt;='Kế hoạch định kỳ'!$W95)*(INT((EOMONTH(L$5,0)-'Kế hoạch định kỳ'!$W95)/'Kế hoạch định kỳ'!$X95)+1)-(L$5-1&gt;='Kế hoạch định kỳ'!$W95)*(INT((L$5-1-'Kế hoạch định kỳ'!$W95)/'Kế hoạch định kỳ'!$X95)+1))&gt;0,IF(EOMONTH(L$5,0)&lt;'Tổng quan'!$B$11,"✖","○"),"")))</f>
        <v/>
      </c>
      <c r="M95" s="61" t="str">
        <f>IF($A95="","",IF(COUNTIFS('Nhật ký bảo trì'!$D$6:$D$405,$A95,'Nhật ký bảo trì'!$Q$6:$Q$405,"Hoàn thành",'Nhật ký bảo trì'!$B$6:$B$405,"&gt;="&amp;M$5,'Nhật ký bảo trì'!$B$6:$B$405,"&lt;="&amp;EOMONTH(M$5,0))&gt;0,"✔",IF(((EOMONTH(M$5,0)&gt;='Kế hoạch định kỳ'!$W95)*(INT((EOMONTH(M$5,0)-'Kế hoạch định kỳ'!$W95)/'Kế hoạch định kỳ'!$X95)+1)-(M$5-1&gt;='Kế hoạch định kỳ'!$W95)*(INT((M$5-1-'Kế hoạch định kỳ'!$W95)/'Kế hoạch định kỳ'!$X95)+1))&gt;0,IF(EOMONTH(M$5,0)&lt;'Tổng quan'!$B$11,"✖","○"),"")))</f>
        <v/>
      </c>
      <c r="N95" s="61" t="str">
        <f>IF($A95="","",IF(COUNTIFS('Nhật ký bảo trì'!$D$6:$D$405,$A95,'Nhật ký bảo trì'!$Q$6:$Q$405,"Hoàn thành",'Nhật ký bảo trì'!$B$6:$B$405,"&gt;="&amp;N$5,'Nhật ký bảo trì'!$B$6:$B$405,"&lt;="&amp;EOMONTH(N$5,0))&gt;0,"✔",IF(((EOMONTH(N$5,0)&gt;='Kế hoạch định kỳ'!$W95)*(INT((EOMONTH(N$5,0)-'Kế hoạch định kỳ'!$W95)/'Kế hoạch định kỳ'!$X95)+1)-(N$5-1&gt;='Kế hoạch định kỳ'!$W95)*(INT((N$5-1-'Kế hoạch định kỳ'!$W95)/'Kế hoạch định kỳ'!$X95)+1))&gt;0,IF(EOMONTH(N$5,0)&lt;'Tổng quan'!$B$11,"✖","○"),"")))</f>
        <v/>
      </c>
      <c r="O95" s="61" t="str">
        <f>IF($A95="","",IF(COUNTIFS('Nhật ký bảo trì'!$D$6:$D$405,$A95,'Nhật ký bảo trì'!$Q$6:$Q$405,"Hoàn thành",'Nhật ký bảo trì'!$B$6:$B$405,"&gt;="&amp;O$5,'Nhật ký bảo trì'!$B$6:$B$405,"&lt;="&amp;EOMONTH(O$5,0))&gt;0,"✔",IF(((EOMONTH(O$5,0)&gt;='Kế hoạch định kỳ'!$W95)*(INT((EOMONTH(O$5,0)-'Kế hoạch định kỳ'!$W95)/'Kế hoạch định kỳ'!$X95)+1)-(O$5-1&gt;='Kế hoạch định kỳ'!$W95)*(INT((O$5-1-'Kế hoạch định kỳ'!$W95)/'Kế hoạch định kỳ'!$X95)+1))&gt;0,IF(EOMONTH(O$5,0)&lt;'Tổng quan'!$B$11,"✖","○"),"")))</f>
        <v/>
      </c>
      <c r="P95" s="61" t="str">
        <f>IF($A95="","",IF(COUNTIFS('Nhật ký bảo trì'!$D$6:$D$405,$A95,'Nhật ký bảo trì'!$Q$6:$Q$405,"Hoàn thành",'Nhật ký bảo trì'!$B$6:$B$405,"&gt;="&amp;P$5,'Nhật ký bảo trì'!$B$6:$B$405,"&lt;="&amp;EOMONTH(P$5,0))&gt;0,"✔",IF(((EOMONTH(P$5,0)&gt;='Kế hoạch định kỳ'!$W95)*(INT((EOMONTH(P$5,0)-'Kế hoạch định kỳ'!$W95)/'Kế hoạch định kỳ'!$X95)+1)-(P$5-1&gt;='Kế hoạch định kỳ'!$W95)*(INT((P$5-1-'Kế hoạch định kỳ'!$W95)/'Kế hoạch định kỳ'!$X95)+1))&gt;0,IF(EOMONTH(P$5,0)&lt;'Tổng quan'!$B$11,"✖","○"),"")))</f>
        <v/>
      </c>
      <c r="Q95" s="30" t="str">
        <f>IF($A95="","",COUNTIFS('Nhật ký bảo trì'!$D$6:$D$405,$A95,'Nhật ký bảo trì'!$Q$6:$Q$405,"Hoàn thành",'Nhật ký bảo trì'!$B$6:$B$405,"&gt;="&amp;DATE('Tổng quan'!$B$6,1,1),'Nhật ký bảo trì'!$B$6:$B$405,"&lt;="&amp;DATE('Tổng quan'!$B$6,12,31)))</f>
        <v/>
      </c>
      <c r="R95" s="30" t="str">
        <f t="shared" si="1"/>
        <v/>
      </c>
    </row>
    <row r="96" ht="24.0" customHeight="1">
      <c r="A96" s="10" t="str">
        <f>IF('Kế hoạch định kỳ'!$B96="","",'Kế hoạch định kỳ'!$B96)</f>
        <v/>
      </c>
      <c r="B96" s="14" t="str">
        <f>IF('Kế hoạch định kỳ'!$B96="","",'Kế hoạch định kỳ'!$D96)</f>
        <v/>
      </c>
      <c r="C96" s="18" t="str">
        <f>IF('Kế hoạch định kỳ'!$B96="","",'Kế hoạch định kỳ'!$F96)</f>
        <v/>
      </c>
      <c r="D96" s="10" t="str">
        <f>IF('Kế hoạch định kỳ'!$B96="","",IF('Kế hoạch định kỳ'!$I96&lt;&gt;"",'Kế hoạch định kỳ'!$I96&amp;" ngày",'Kế hoạch định kỳ'!$H96))</f>
        <v/>
      </c>
      <c r="E96" s="24" t="str">
        <f>IF($A96="","",IF(COUNTIFS('Nhật ký bảo trì'!$D$6:$D$405,$A96,'Nhật ký bảo trì'!$Q$6:$Q$405,"Hoàn thành",'Nhật ký bảo trì'!$B$6:$B$405,"&gt;="&amp;E$5,'Nhật ký bảo trì'!$B$6:$B$405,"&lt;="&amp;EOMONTH(E$5,0))&gt;0,"✔",IF(((EOMONTH(E$5,0)&gt;='Kế hoạch định kỳ'!$W96)*(INT((EOMONTH(E$5,0)-'Kế hoạch định kỳ'!$W96)/'Kế hoạch định kỳ'!$X96)+1)-(E$5-1&gt;='Kế hoạch định kỳ'!$W96)*(INT((E$5-1-'Kế hoạch định kỳ'!$W96)/'Kế hoạch định kỳ'!$X96)+1))&gt;0,IF(EOMONTH(E$5,0)&lt;'Tổng quan'!$B$11,"✖","○"),"")))</f>
        <v/>
      </c>
      <c r="F96" s="24" t="str">
        <f>IF($A96="","",IF(COUNTIFS('Nhật ký bảo trì'!$D$6:$D$405,$A96,'Nhật ký bảo trì'!$Q$6:$Q$405,"Hoàn thành",'Nhật ký bảo trì'!$B$6:$B$405,"&gt;="&amp;F$5,'Nhật ký bảo trì'!$B$6:$B$405,"&lt;="&amp;EOMONTH(F$5,0))&gt;0,"✔",IF(((EOMONTH(F$5,0)&gt;='Kế hoạch định kỳ'!$W96)*(INT((EOMONTH(F$5,0)-'Kế hoạch định kỳ'!$W96)/'Kế hoạch định kỳ'!$X96)+1)-(F$5-1&gt;='Kế hoạch định kỳ'!$W96)*(INT((F$5-1-'Kế hoạch định kỳ'!$W96)/'Kế hoạch định kỳ'!$X96)+1))&gt;0,IF(EOMONTH(F$5,0)&lt;'Tổng quan'!$B$11,"✖","○"),"")))</f>
        <v/>
      </c>
      <c r="G96" s="24" t="str">
        <f>IF($A96="","",IF(COUNTIFS('Nhật ký bảo trì'!$D$6:$D$405,$A96,'Nhật ký bảo trì'!$Q$6:$Q$405,"Hoàn thành",'Nhật ký bảo trì'!$B$6:$B$405,"&gt;="&amp;G$5,'Nhật ký bảo trì'!$B$6:$B$405,"&lt;="&amp;EOMONTH(G$5,0))&gt;0,"✔",IF(((EOMONTH(G$5,0)&gt;='Kế hoạch định kỳ'!$W96)*(INT((EOMONTH(G$5,0)-'Kế hoạch định kỳ'!$W96)/'Kế hoạch định kỳ'!$X96)+1)-(G$5-1&gt;='Kế hoạch định kỳ'!$W96)*(INT((G$5-1-'Kế hoạch định kỳ'!$W96)/'Kế hoạch định kỳ'!$X96)+1))&gt;0,IF(EOMONTH(G$5,0)&lt;'Tổng quan'!$B$11,"✖","○"),"")))</f>
        <v/>
      </c>
      <c r="H96" s="24" t="str">
        <f>IF($A96="","",IF(COUNTIFS('Nhật ký bảo trì'!$D$6:$D$405,$A96,'Nhật ký bảo trì'!$Q$6:$Q$405,"Hoàn thành",'Nhật ký bảo trì'!$B$6:$B$405,"&gt;="&amp;H$5,'Nhật ký bảo trì'!$B$6:$B$405,"&lt;="&amp;EOMONTH(H$5,0))&gt;0,"✔",IF(((EOMONTH(H$5,0)&gt;='Kế hoạch định kỳ'!$W96)*(INT((EOMONTH(H$5,0)-'Kế hoạch định kỳ'!$W96)/'Kế hoạch định kỳ'!$X96)+1)-(H$5-1&gt;='Kế hoạch định kỳ'!$W96)*(INT((H$5-1-'Kế hoạch định kỳ'!$W96)/'Kế hoạch định kỳ'!$X96)+1))&gt;0,IF(EOMONTH(H$5,0)&lt;'Tổng quan'!$B$11,"✖","○"),"")))</f>
        <v/>
      </c>
      <c r="I96" s="24" t="str">
        <f>IF($A96="","",IF(COUNTIFS('Nhật ký bảo trì'!$D$6:$D$405,$A96,'Nhật ký bảo trì'!$Q$6:$Q$405,"Hoàn thành",'Nhật ký bảo trì'!$B$6:$B$405,"&gt;="&amp;I$5,'Nhật ký bảo trì'!$B$6:$B$405,"&lt;="&amp;EOMONTH(I$5,0))&gt;0,"✔",IF(((EOMONTH(I$5,0)&gt;='Kế hoạch định kỳ'!$W96)*(INT((EOMONTH(I$5,0)-'Kế hoạch định kỳ'!$W96)/'Kế hoạch định kỳ'!$X96)+1)-(I$5-1&gt;='Kế hoạch định kỳ'!$W96)*(INT((I$5-1-'Kế hoạch định kỳ'!$W96)/'Kế hoạch định kỳ'!$X96)+1))&gt;0,IF(EOMONTH(I$5,0)&lt;'Tổng quan'!$B$11,"✖","○"),"")))</f>
        <v/>
      </c>
      <c r="J96" s="24" t="str">
        <f>IF($A96="","",IF(COUNTIFS('Nhật ký bảo trì'!$D$6:$D$405,$A96,'Nhật ký bảo trì'!$Q$6:$Q$405,"Hoàn thành",'Nhật ký bảo trì'!$B$6:$B$405,"&gt;="&amp;J$5,'Nhật ký bảo trì'!$B$6:$B$405,"&lt;="&amp;EOMONTH(J$5,0))&gt;0,"✔",IF(((EOMONTH(J$5,0)&gt;='Kế hoạch định kỳ'!$W96)*(INT((EOMONTH(J$5,0)-'Kế hoạch định kỳ'!$W96)/'Kế hoạch định kỳ'!$X96)+1)-(J$5-1&gt;='Kế hoạch định kỳ'!$W96)*(INT((J$5-1-'Kế hoạch định kỳ'!$W96)/'Kế hoạch định kỳ'!$X96)+1))&gt;0,IF(EOMONTH(J$5,0)&lt;'Tổng quan'!$B$11,"✖","○"),"")))</f>
        <v/>
      </c>
      <c r="K96" s="24" t="str">
        <f>IF($A96="","",IF(COUNTIFS('Nhật ký bảo trì'!$D$6:$D$405,$A96,'Nhật ký bảo trì'!$Q$6:$Q$405,"Hoàn thành",'Nhật ký bảo trì'!$B$6:$B$405,"&gt;="&amp;K$5,'Nhật ký bảo trì'!$B$6:$B$405,"&lt;="&amp;EOMONTH(K$5,0))&gt;0,"✔",IF(((EOMONTH(K$5,0)&gt;='Kế hoạch định kỳ'!$W96)*(INT((EOMONTH(K$5,0)-'Kế hoạch định kỳ'!$W96)/'Kế hoạch định kỳ'!$X96)+1)-(K$5-1&gt;='Kế hoạch định kỳ'!$W96)*(INT((K$5-1-'Kế hoạch định kỳ'!$W96)/'Kế hoạch định kỳ'!$X96)+1))&gt;0,IF(EOMONTH(K$5,0)&lt;'Tổng quan'!$B$11,"✖","○"),"")))</f>
        <v/>
      </c>
      <c r="L96" s="24" t="str">
        <f>IF($A96="","",IF(COUNTIFS('Nhật ký bảo trì'!$D$6:$D$405,$A96,'Nhật ký bảo trì'!$Q$6:$Q$405,"Hoàn thành",'Nhật ký bảo trì'!$B$6:$B$405,"&gt;="&amp;L$5,'Nhật ký bảo trì'!$B$6:$B$405,"&lt;="&amp;EOMONTH(L$5,0))&gt;0,"✔",IF(((EOMONTH(L$5,0)&gt;='Kế hoạch định kỳ'!$W96)*(INT((EOMONTH(L$5,0)-'Kế hoạch định kỳ'!$W96)/'Kế hoạch định kỳ'!$X96)+1)-(L$5-1&gt;='Kế hoạch định kỳ'!$W96)*(INT((L$5-1-'Kế hoạch định kỳ'!$W96)/'Kế hoạch định kỳ'!$X96)+1))&gt;0,IF(EOMONTH(L$5,0)&lt;'Tổng quan'!$B$11,"✖","○"),"")))</f>
        <v/>
      </c>
      <c r="M96" s="24" t="str">
        <f>IF($A96="","",IF(COUNTIFS('Nhật ký bảo trì'!$D$6:$D$405,$A96,'Nhật ký bảo trì'!$Q$6:$Q$405,"Hoàn thành",'Nhật ký bảo trì'!$B$6:$B$405,"&gt;="&amp;M$5,'Nhật ký bảo trì'!$B$6:$B$405,"&lt;="&amp;EOMONTH(M$5,0))&gt;0,"✔",IF(((EOMONTH(M$5,0)&gt;='Kế hoạch định kỳ'!$W96)*(INT((EOMONTH(M$5,0)-'Kế hoạch định kỳ'!$W96)/'Kế hoạch định kỳ'!$X96)+1)-(M$5-1&gt;='Kế hoạch định kỳ'!$W96)*(INT((M$5-1-'Kế hoạch định kỳ'!$W96)/'Kế hoạch định kỳ'!$X96)+1))&gt;0,IF(EOMONTH(M$5,0)&lt;'Tổng quan'!$B$11,"✖","○"),"")))</f>
        <v/>
      </c>
      <c r="N96" s="24" t="str">
        <f>IF($A96="","",IF(COUNTIFS('Nhật ký bảo trì'!$D$6:$D$405,$A96,'Nhật ký bảo trì'!$Q$6:$Q$405,"Hoàn thành",'Nhật ký bảo trì'!$B$6:$B$405,"&gt;="&amp;N$5,'Nhật ký bảo trì'!$B$6:$B$405,"&lt;="&amp;EOMONTH(N$5,0))&gt;0,"✔",IF(((EOMONTH(N$5,0)&gt;='Kế hoạch định kỳ'!$W96)*(INT((EOMONTH(N$5,0)-'Kế hoạch định kỳ'!$W96)/'Kế hoạch định kỳ'!$X96)+1)-(N$5-1&gt;='Kế hoạch định kỳ'!$W96)*(INT((N$5-1-'Kế hoạch định kỳ'!$W96)/'Kế hoạch định kỳ'!$X96)+1))&gt;0,IF(EOMONTH(N$5,0)&lt;'Tổng quan'!$B$11,"✖","○"),"")))</f>
        <v/>
      </c>
      <c r="O96" s="24" t="str">
        <f>IF($A96="","",IF(COUNTIFS('Nhật ký bảo trì'!$D$6:$D$405,$A96,'Nhật ký bảo trì'!$Q$6:$Q$405,"Hoàn thành",'Nhật ký bảo trì'!$B$6:$B$405,"&gt;="&amp;O$5,'Nhật ký bảo trì'!$B$6:$B$405,"&lt;="&amp;EOMONTH(O$5,0))&gt;0,"✔",IF(((EOMONTH(O$5,0)&gt;='Kế hoạch định kỳ'!$W96)*(INT((EOMONTH(O$5,0)-'Kế hoạch định kỳ'!$W96)/'Kế hoạch định kỳ'!$X96)+1)-(O$5-1&gt;='Kế hoạch định kỳ'!$W96)*(INT((O$5-1-'Kế hoạch định kỳ'!$W96)/'Kế hoạch định kỳ'!$X96)+1))&gt;0,IF(EOMONTH(O$5,0)&lt;'Tổng quan'!$B$11,"✖","○"),"")))</f>
        <v/>
      </c>
      <c r="P96" s="24" t="str">
        <f>IF($A96="","",IF(COUNTIFS('Nhật ký bảo trì'!$D$6:$D$405,$A96,'Nhật ký bảo trì'!$Q$6:$Q$405,"Hoàn thành",'Nhật ký bảo trì'!$B$6:$B$405,"&gt;="&amp;P$5,'Nhật ký bảo trì'!$B$6:$B$405,"&lt;="&amp;EOMONTH(P$5,0))&gt;0,"✔",IF(((EOMONTH(P$5,0)&gt;='Kế hoạch định kỳ'!$W96)*(INT((EOMONTH(P$5,0)-'Kế hoạch định kỳ'!$W96)/'Kế hoạch định kỳ'!$X96)+1)-(P$5-1&gt;='Kế hoạch định kỳ'!$W96)*(INT((P$5-1-'Kế hoạch định kỳ'!$W96)/'Kế hoạch định kỳ'!$X96)+1))&gt;0,IF(EOMONTH(P$5,0)&lt;'Tổng quan'!$B$11,"✖","○"),"")))</f>
        <v/>
      </c>
      <c r="Q96" s="16" t="str">
        <f>IF($A96="","",COUNTIFS('Nhật ký bảo trì'!$D$6:$D$405,$A96,'Nhật ký bảo trì'!$Q$6:$Q$405,"Hoàn thành",'Nhật ký bảo trì'!$B$6:$B$405,"&gt;="&amp;DATE('Tổng quan'!$B$6,1,1),'Nhật ký bảo trì'!$B$6:$B$405,"&lt;="&amp;DATE('Tổng quan'!$B$6,12,31)))</f>
        <v/>
      </c>
      <c r="R96" s="16" t="str">
        <f t="shared" si="1"/>
        <v/>
      </c>
    </row>
    <row r="97" ht="24.0" customHeight="1">
      <c r="A97" s="26" t="str">
        <f>IF('Kế hoạch định kỳ'!$B97="","",'Kế hoạch định kỳ'!$B97)</f>
        <v/>
      </c>
      <c r="B97" s="28" t="str">
        <f>IF('Kế hoạch định kỳ'!$B97="","",'Kế hoạch định kỳ'!$D97)</f>
        <v/>
      </c>
      <c r="C97" s="56" t="str">
        <f>IF('Kế hoạch định kỳ'!$B97="","",'Kế hoạch định kỳ'!$F97)</f>
        <v/>
      </c>
      <c r="D97" s="26" t="str">
        <f>IF('Kế hoạch định kỳ'!$B97="","",IF('Kế hoạch định kỳ'!$I97&lt;&gt;"",'Kế hoạch định kỳ'!$I97&amp;" ngày",'Kế hoạch định kỳ'!$H97))</f>
        <v/>
      </c>
      <c r="E97" s="61" t="str">
        <f>IF($A97="","",IF(COUNTIFS('Nhật ký bảo trì'!$D$6:$D$405,$A97,'Nhật ký bảo trì'!$Q$6:$Q$405,"Hoàn thành",'Nhật ký bảo trì'!$B$6:$B$405,"&gt;="&amp;E$5,'Nhật ký bảo trì'!$B$6:$B$405,"&lt;="&amp;EOMONTH(E$5,0))&gt;0,"✔",IF(((EOMONTH(E$5,0)&gt;='Kế hoạch định kỳ'!$W97)*(INT((EOMONTH(E$5,0)-'Kế hoạch định kỳ'!$W97)/'Kế hoạch định kỳ'!$X97)+1)-(E$5-1&gt;='Kế hoạch định kỳ'!$W97)*(INT((E$5-1-'Kế hoạch định kỳ'!$W97)/'Kế hoạch định kỳ'!$X97)+1))&gt;0,IF(EOMONTH(E$5,0)&lt;'Tổng quan'!$B$11,"✖","○"),"")))</f>
        <v/>
      </c>
      <c r="F97" s="61" t="str">
        <f>IF($A97="","",IF(COUNTIFS('Nhật ký bảo trì'!$D$6:$D$405,$A97,'Nhật ký bảo trì'!$Q$6:$Q$405,"Hoàn thành",'Nhật ký bảo trì'!$B$6:$B$405,"&gt;="&amp;F$5,'Nhật ký bảo trì'!$B$6:$B$405,"&lt;="&amp;EOMONTH(F$5,0))&gt;0,"✔",IF(((EOMONTH(F$5,0)&gt;='Kế hoạch định kỳ'!$W97)*(INT((EOMONTH(F$5,0)-'Kế hoạch định kỳ'!$W97)/'Kế hoạch định kỳ'!$X97)+1)-(F$5-1&gt;='Kế hoạch định kỳ'!$W97)*(INT((F$5-1-'Kế hoạch định kỳ'!$W97)/'Kế hoạch định kỳ'!$X97)+1))&gt;0,IF(EOMONTH(F$5,0)&lt;'Tổng quan'!$B$11,"✖","○"),"")))</f>
        <v/>
      </c>
      <c r="G97" s="61" t="str">
        <f>IF($A97="","",IF(COUNTIFS('Nhật ký bảo trì'!$D$6:$D$405,$A97,'Nhật ký bảo trì'!$Q$6:$Q$405,"Hoàn thành",'Nhật ký bảo trì'!$B$6:$B$405,"&gt;="&amp;G$5,'Nhật ký bảo trì'!$B$6:$B$405,"&lt;="&amp;EOMONTH(G$5,0))&gt;0,"✔",IF(((EOMONTH(G$5,0)&gt;='Kế hoạch định kỳ'!$W97)*(INT((EOMONTH(G$5,0)-'Kế hoạch định kỳ'!$W97)/'Kế hoạch định kỳ'!$X97)+1)-(G$5-1&gt;='Kế hoạch định kỳ'!$W97)*(INT((G$5-1-'Kế hoạch định kỳ'!$W97)/'Kế hoạch định kỳ'!$X97)+1))&gt;0,IF(EOMONTH(G$5,0)&lt;'Tổng quan'!$B$11,"✖","○"),"")))</f>
        <v/>
      </c>
      <c r="H97" s="61" t="str">
        <f>IF($A97="","",IF(COUNTIFS('Nhật ký bảo trì'!$D$6:$D$405,$A97,'Nhật ký bảo trì'!$Q$6:$Q$405,"Hoàn thành",'Nhật ký bảo trì'!$B$6:$B$405,"&gt;="&amp;H$5,'Nhật ký bảo trì'!$B$6:$B$405,"&lt;="&amp;EOMONTH(H$5,0))&gt;0,"✔",IF(((EOMONTH(H$5,0)&gt;='Kế hoạch định kỳ'!$W97)*(INT((EOMONTH(H$5,0)-'Kế hoạch định kỳ'!$W97)/'Kế hoạch định kỳ'!$X97)+1)-(H$5-1&gt;='Kế hoạch định kỳ'!$W97)*(INT((H$5-1-'Kế hoạch định kỳ'!$W97)/'Kế hoạch định kỳ'!$X97)+1))&gt;0,IF(EOMONTH(H$5,0)&lt;'Tổng quan'!$B$11,"✖","○"),"")))</f>
        <v/>
      </c>
      <c r="I97" s="61" t="str">
        <f>IF($A97="","",IF(COUNTIFS('Nhật ký bảo trì'!$D$6:$D$405,$A97,'Nhật ký bảo trì'!$Q$6:$Q$405,"Hoàn thành",'Nhật ký bảo trì'!$B$6:$B$405,"&gt;="&amp;I$5,'Nhật ký bảo trì'!$B$6:$B$405,"&lt;="&amp;EOMONTH(I$5,0))&gt;0,"✔",IF(((EOMONTH(I$5,0)&gt;='Kế hoạch định kỳ'!$W97)*(INT((EOMONTH(I$5,0)-'Kế hoạch định kỳ'!$W97)/'Kế hoạch định kỳ'!$X97)+1)-(I$5-1&gt;='Kế hoạch định kỳ'!$W97)*(INT((I$5-1-'Kế hoạch định kỳ'!$W97)/'Kế hoạch định kỳ'!$X97)+1))&gt;0,IF(EOMONTH(I$5,0)&lt;'Tổng quan'!$B$11,"✖","○"),"")))</f>
        <v/>
      </c>
      <c r="J97" s="61" t="str">
        <f>IF($A97="","",IF(COUNTIFS('Nhật ký bảo trì'!$D$6:$D$405,$A97,'Nhật ký bảo trì'!$Q$6:$Q$405,"Hoàn thành",'Nhật ký bảo trì'!$B$6:$B$405,"&gt;="&amp;J$5,'Nhật ký bảo trì'!$B$6:$B$405,"&lt;="&amp;EOMONTH(J$5,0))&gt;0,"✔",IF(((EOMONTH(J$5,0)&gt;='Kế hoạch định kỳ'!$W97)*(INT((EOMONTH(J$5,0)-'Kế hoạch định kỳ'!$W97)/'Kế hoạch định kỳ'!$X97)+1)-(J$5-1&gt;='Kế hoạch định kỳ'!$W97)*(INT((J$5-1-'Kế hoạch định kỳ'!$W97)/'Kế hoạch định kỳ'!$X97)+1))&gt;0,IF(EOMONTH(J$5,0)&lt;'Tổng quan'!$B$11,"✖","○"),"")))</f>
        <v/>
      </c>
      <c r="K97" s="61" t="str">
        <f>IF($A97="","",IF(COUNTIFS('Nhật ký bảo trì'!$D$6:$D$405,$A97,'Nhật ký bảo trì'!$Q$6:$Q$405,"Hoàn thành",'Nhật ký bảo trì'!$B$6:$B$405,"&gt;="&amp;K$5,'Nhật ký bảo trì'!$B$6:$B$405,"&lt;="&amp;EOMONTH(K$5,0))&gt;0,"✔",IF(((EOMONTH(K$5,0)&gt;='Kế hoạch định kỳ'!$W97)*(INT((EOMONTH(K$5,0)-'Kế hoạch định kỳ'!$W97)/'Kế hoạch định kỳ'!$X97)+1)-(K$5-1&gt;='Kế hoạch định kỳ'!$W97)*(INT((K$5-1-'Kế hoạch định kỳ'!$W97)/'Kế hoạch định kỳ'!$X97)+1))&gt;0,IF(EOMONTH(K$5,0)&lt;'Tổng quan'!$B$11,"✖","○"),"")))</f>
        <v/>
      </c>
      <c r="L97" s="61" t="str">
        <f>IF($A97="","",IF(COUNTIFS('Nhật ký bảo trì'!$D$6:$D$405,$A97,'Nhật ký bảo trì'!$Q$6:$Q$405,"Hoàn thành",'Nhật ký bảo trì'!$B$6:$B$405,"&gt;="&amp;L$5,'Nhật ký bảo trì'!$B$6:$B$405,"&lt;="&amp;EOMONTH(L$5,0))&gt;0,"✔",IF(((EOMONTH(L$5,0)&gt;='Kế hoạch định kỳ'!$W97)*(INT((EOMONTH(L$5,0)-'Kế hoạch định kỳ'!$W97)/'Kế hoạch định kỳ'!$X97)+1)-(L$5-1&gt;='Kế hoạch định kỳ'!$W97)*(INT((L$5-1-'Kế hoạch định kỳ'!$W97)/'Kế hoạch định kỳ'!$X97)+1))&gt;0,IF(EOMONTH(L$5,0)&lt;'Tổng quan'!$B$11,"✖","○"),"")))</f>
        <v/>
      </c>
      <c r="M97" s="61" t="str">
        <f>IF($A97="","",IF(COUNTIFS('Nhật ký bảo trì'!$D$6:$D$405,$A97,'Nhật ký bảo trì'!$Q$6:$Q$405,"Hoàn thành",'Nhật ký bảo trì'!$B$6:$B$405,"&gt;="&amp;M$5,'Nhật ký bảo trì'!$B$6:$B$405,"&lt;="&amp;EOMONTH(M$5,0))&gt;0,"✔",IF(((EOMONTH(M$5,0)&gt;='Kế hoạch định kỳ'!$W97)*(INT((EOMONTH(M$5,0)-'Kế hoạch định kỳ'!$W97)/'Kế hoạch định kỳ'!$X97)+1)-(M$5-1&gt;='Kế hoạch định kỳ'!$W97)*(INT((M$5-1-'Kế hoạch định kỳ'!$W97)/'Kế hoạch định kỳ'!$X97)+1))&gt;0,IF(EOMONTH(M$5,0)&lt;'Tổng quan'!$B$11,"✖","○"),"")))</f>
        <v/>
      </c>
      <c r="N97" s="61" t="str">
        <f>IF($A97="","",IF(COUNTIFS('Nhật ký bảo trì'!$D$6:$D$405,$A97,'Nhật ký bảo trì'!$Q$6:$Q$405,"Hoàn thành",'Nhật ký bảo trì'!$B$6:$B$405,"&gt;="&amp;N$5,'Nhật ký bảo trì'!$B$6:$B$405,"&lt;="&amp;EOMONTH(N$5,0))&gt;0,"✔",IF(((EOMONTH(N$5,0)&gt;='Kế hoạch định kỳ'!$W97)*(INT((EOMONTH(N$5,0)-'Kế hoạch định kỳ'!$W97)/'Kế hoạch định kỳ'!$X97)+1)-(N$5-1&gt;='Kế hoạch định kỳ'!$W97)*(INT((N$5-1-'Kế hoạch định kỳ'!$W97)/'Kế hoạch định kỳ'!$X97)+1))&gt;0,IF(EOMONTH(N$5,0)&lt;'Tổng quan'!$B$11,"✖","○"),"")))</f>
        <v/>
      </c>
      <c r="O97" s="61" t="str">
        <f>IF($A97="","",IF(COUNTIFS('Nhật ký bảo trì'!$D$6:$D$405,$A97,'Nhật ký bảo trì'!$Q$6:$Q$405,"Hoàn thành",'Nhật ký bảo trì'!$B$6:$B$405,"&gt;="&amp;O$5,'Nhật ký bảo trì'!$B$6:$B$405,"&lt;="&amp;EOMONTH(O$5,0))&gt;0,"✔",IF(((EOMONTH(O$5,0)&gt;='Kế hoạch định kỳ'!$W97)*(INT((EOMONTH(O$5,0)-'Kế hoạch định kỳ'!$W97)/'Kế hoạch định kỳ'!$X97)+1)-(O$5-1&gt;='Kế hoạch định kỳ'!$W97)*(INT((O$5-1-'Kế hoạch định kỳ'!$W97)/'Kế hoạch định kỳ'!$X97)+1))&gt;0,IF(EOMONTH(O$5,0)&lt;'Tổng quan'!$B$11,"✖","○"),"")))</f>
        <v/>
      </c>
      <c r="P97" s="61" t="str">
        <f>IF($A97="","",IF(COUNTIFS('Nhật ký bảo trì'!$D$6:$D$405,$A97,'Nhật ký bảo trì'!$Q$6:$Q$405,"Hoàn thành",'Nhật ký bảo trì'!$B$6:$B$405,"&gt;="&amp;P$5,'Nhật ký bảo trì'!$B$6:$B$405,"&lt;="&amp;EOMONTH(P$5,0))&gt;0,"✔",IF(((EOMONTH(P$5,0)&gt;='Kế hoạch định kỳ'!$W97)*(INT((EOMONTH(P$5,0)-'Kế hoạch định kỳ'!$W97)/'Kế hoạch định kỳ'!$X97)+1)-(P$5-1&gt;='Kế hoạch định kỳ'!$W97)*(INT((P$5-1-'Kế hoạch định kỳ'!$W97)/'Kế hoạch định kỳ'!$X97)+1))&gt;0,IF(EOMONTH(P$5,0)&lt;'Tổng quan'!$B$11,"✖","○"),"")))</f>
        <v/>
      </c>
      <c r="Q97" s="30" t="str">
        <f>IF($A97="","",COUNTIFS('Nhật ký bảo trì'!$D$6:$D$405,$A97,'Nhật ký bảo trì'!$Q$6:$Q$405,"Hoàn thành",'Nhật ký bảo trì'!$B$6:$B$405,"&gt;="&amp;DATE('Tổng quan'!$B$6,1,1),'Nhật ký bảo trì'!$B$6:$B$405,"&lt;="&amp;DATE('Tổng quan'!$B$6,12,31)))</f>
        <v/>
      </c>
      <c r="R97" s="30" t="str">
        <f t="shared" si="1"/>
        <v/>
      </c>
    </row>
    <row r="98" ht="24.0" customHeight="1">
      <c r="A98" s="10" t="str">
        <f>IF('Kế hoạch định kỳ'!$B98="","",'Kế hoạch định kỳ'!$B98)</f>
        <v/>
      </c>
      <c r="B98" s="14" t="str">
        <f>IF('Kế hoạch định kỳ'!$B98="","",'Kế hoạch định kỳ'!$D98)</f>
        <v/>
      </c>
      <c r="C98" s="18" t="str">
        <f>IF('Kế hoạch định kỳ'!$B98="","",'Kế hoạch định kỳ'!$F98)</f>
        <v/>
      </c>
      <c r="D98" s="10" t="str">
        <f>IF('Kế hoạch định kỳ'!$B98="","",IF('Kế hoạch định kỳ'!$I98&lt;&gt;"",'Kế hoạch định kỳ'!$I98&amp;" ngày",'Kế hoạch định kỳ'!$H98))</f>
        <v/>
      </c>
      <c r="E98" s="24" t="str">
        <f>IF($A98="","",IF(COUNTIFS('Nhật ký bảo trì'!$D$6:$D$405,$A98,'Nhật ký bảo trì'!$Q$6:$Q$405,"Hoàn thành",'Nhật ký bảo trì'!$B$6:$B$405,"&gt;="&amp;E$5,'Nhật ký bảo trì'!$B$6:$B$405,"&lt;="&amp;EOMONTH(E$5,0))&gt;0,"✔",IF(((EOMONTH(E$5,0)&gt;='Kế hoạch định kỳ'!$W98)*(INT((EOMONTH(E$5,0)-'Kế hoạch định kỳ'!$W98)/'Kế hoạch định kỳ'!$X98)+1)-(E$5-1&gt;='Kế hoạch định kỳ'!$W98)*(INT((E$5-1-'Kế hoạch định kỳ'!$W98)/'Kế hoạch định kỳ'!$X98)+1))&gt;0,IF(EOMONTH(E$5,0)&lt;'Tổng quan'!$B$11,"✖","○"),"")))</f>
        <v/>
      </c>
      <c r="F98" s="24" t="str">
        <f>IF($A98="","",IF(COUNTIFS('Nhật ký bảo trì'!$D$6:$D$405,$A98,'Nhật ký bảo trì'!$Q$6:$Q$405,"Hoàn thành",'Nhật ký bảo trì'!$B$6:$B$405,"&gt;="&amp;F$5,'Nhật ký bảo trì'!$B$6:$B$405,"&lt;="&amp;EOMONTH(F$5,0))&gt;0,"✔",IF(((EOMONTH(F$5,0)&gt;='Kế hoạch định kỳ'!$W98)*(INT((EOMONTH(F$5,0)-'Kế hoạch định kỳ'!$W98)/'Kế hoạch định kỳ'!$X98)+1)-(F$5-1&gt;='Kế hoạch định kỳ'!$W98)*(INT((F$5-1-'Kế hoạch định kỳ'!$W98)/'Kế hoạch định kỳ'!$X98)+1))&gt;0,IF(EOMONTH(F$5,0)&lt;'Tổng quan'!$B$11,"✖","○"),"")))</f>
        <v/>
      </c>
      <c r="G98" s="24" t="str">
        <f>IF($A98="","",IF(COUNTIFS('Nhật ký bảo trì'!$D$6:$D$405,$A98,'Nhật ký bảo trì'!$Q$6:$Q$405,"Hoàn thành",'Nhật ký bảo trì'!$B$6:$B$405,"&gt;="&amp;G$5,'Nhật ký bảo trì'!$B$6:$B$405,"&lt;="&amp;EOMONTH(G$5,0))&gt;0,"✔",IF(((EOMONTH(G$5,0)&gt;='Kế hoạch định kỳ'!$W98)*(INT((EOMONTH(G$5,0)-'Kế hoạch định kỳ'!$W98)/'Kế hoạch định kỳ'!$X98)+1)-(G$5-1&gt;='Kế hoạch định kỳ'!$W98)*(INT((G$5-1-'Kế hoạch định kỳ'!$W98)/'Kế hoạch định kỳ'!$X98)+1))&gt;0,IF(EOMONTH(G$5,0)&lt;'Tổng quan'!$B$11,"✖","○"),"")))</f>
        <v/>
      </c>
      <c r="H98" s="24" t="str">
        <f>IF($A98="","",IF(COUNTIFS('Nhật ký bảo trì'!$D$6:$D$405,$A98,'Nhật ký bảo trì'!$Q$6:$Q$405,"Hoàn thành",'Nhật ký bảo trì'!$B$6:$B$405,"&gt;="&amp;H$5,'Nhật ký bảo trì'!$B$6:$B$405,"&lt;="&amp;EOMONTH(H$5,0))&gt;0,"✔",IF(((EOMONTH(H$5,0)&gt;='Kế hoạch định kỳ'!$W98)*(INT((EOMONTH(H$5,0)-'Kế hoạch định kỳ'!$W98)/'Kế hoạch định kỳ'!$X98)+1)-(H$5-1&gt;='Kế hoạch định kỳ'!$W98)*(INT((H$5-1-'Kế hoạch định kỳ'!$W98)/'Kế hoạch định kỳ'!$X98)+1))&gt;0,IF(EOMONTH(H$5,0)&lt;'Tổng quan'!$B$11,"✖","○"),"")))</f>
        <v/>
      </c>
      <c r="I98" s="24" t="str">
        <f>IF($A98="","",IF(COUNTIFS('Nhật ký bảo trì'!$D$6:$D$405,$A98,'Nhật ký bảo trì'!$Q$6:$Q$405,"Hoàn thành",'Nhật ký bảo trì'!$B$6:$B$405,"&gt;="&amp;I$5,'Nhật ký bảo trì'!$B$6:$B$405,"&lt;="&amp;EOMONTH(I$5,0))&gt;0,"✔",IF(((EOMONTH(I$5,0)&gt;='Kế hoạch định kỳ'!$W98)*(INT((EOMONTH(I$5,0)-'Kế hoạch định kỳ'!$W98)/'Kế hoạch định kỳ'!$X98)+1)-(I$5-1&gt;='Kế hoạch định kỳ'!$W98)*(INT((I$5-1-'Kế hoạch định kỳ'!$W98)/'Kế hoạch định kỳ'!$X98)+1))&gt;0,IF(EOMONTH(I$5,0)&lt;'Tổng quan'!$B$11,"✖","○"),"")))</f>
        <v/>
      </c>
      <c r="J98" s="24" t="str">
        <f>IF($A98="","",IF(COUNTIFS('Nhật ký bảo trì'!$D$6:$D$405,$A98,'Nhật ký bảo trì'!$Q$6:$Q$405,"Hoàn thành",'Nhật ký bảo trì'!$B$6:$B$405,"&gt;="&amp;J$5,'Nhật ký bảo trì'!$B$6:$B$405,"&lt;="&amp;EOMONTH(J$5,0))&gt;0,"✔",IF(((EOMONTH(J$5,0)&gt;='Kế hoạch định kỳ'!$W98)*(INT((EOMONTH(J$5,0)-'Kế hoạch định kỳ'!$W98)/'Kế hoạch định kỳ'!$X98)+1)-(J$5-1&gt;='Kế hoạch định kỳ'!$W98)*(INT((J$5-1-'Kế hoạch định kỳ'!$W98)/'Kế hoạch định kỳ'!$X98)+1))&gt;0,IF(EOMONTH(J$5,0)&lt;'Tổng quan'!$B$11,"✖","○"),"")))</f>
        <v/>
      </c>
      <c r="K98" s="24" t="str">
        <f>IF($A98="","",IF(COUNTIFS('Nhật ký bảo trì'!$D$6:$D$405,$A98,'Nhật ký bảo trì'!$Q$6:$Q$405,"Hoàn thành",'Nhật ký bảo trì'!$B$6:$B$405,"&gt;="&amp;K$5,'Nhật ký bảo trì'!$B$6:$B$405,"&lt;="&amp;EOMONTH(K$5,0))&gt;0,"✔",IF(((EOMONTH(K$5,0)&gt;='Kế hoạch định kỳ'!$W98)*(INT((EOMONTH(K$5,0)-'Kế hoạch định kỳ'!$W98)/'Kế hoạch định kỳ'!$X98)+1)-(K$5-1&gt;='Kế hoạch định kỳ'!$W98)*(INT((K$5-1-'Kế hoạch định kỳ'!$W98)/'Kế hoạch định kỳ'!$X98)+1))&gt;0,IF(EOMONTH(K$5,0)&lt;'Tổng quan'!$B$11,"✖","○"),"")))</f>
        <v/>
      </c>
      <c r="L98" s="24" t="str">
        <f>IF($A98="","",IF(COUNTIFS('Nhật ký bảo trì'!$D$6:$D$405,$A98,'Nhật ký bảo trì'!$Q$6:$Q$405,"Hoàn thành",'Nhật ký bảo trì'!$B$6:$B$405,"&gt;="&amp;L$5,'Nhật ký bảo trì'!$B$6:$B$405,"&lt;="&amp;EOMONTH(L$5,0))&gt;0,"✔",IF(((EOMONTH(L$5,0)&gt;='Kế hoạch định kỳ'!$W98)*(INT((EOMONTH(L$5,0)-'Kế hoạch định kỳ'!$W98)/'Kế hoạch định kỳ'!$X98)+1)-(L$5-1&gt;='Kế hoạch định kỳ'!$W98)*(INT((L$5-1-'Kế hoạch định kỳ'!$W98)/'Kế hoạch định kỳ'!$X98)+1))&gt;0,IF(EOMONTH(L$5,0)&lt;'Tổng quan'!$B$11,"✖","○"),"")))</f>
        <v/>
      </c>
      <c r="M98" s="24" t="str">
        <f>IF($A98="","",IF(COUNTIFS('Nhật ký bảo trì'!$D$6:$D$405,$A98,'Nhật ký bảo trì'!$Q$6:$Q$405,"Hoàn thành",'Nhật ký bảo trì'!$B$6:$B$405,"&gt;="&amp;M$5,'Nhật ký bảo trì'!$B$6:$B$405,"&lt;="&amp;EOMONTH(M$5,0))&gt;0,"✔",IF(((EOMONTH(M$5,0)&gt;='Kế hoạch định kỳ'!$W98)*(INT((EOMONTH(M$5,0)-'Kế hoạch định kỳ'!$W98)/'Kế hoạch định kỳ'!$X98)+1)-(M$5-1&gt;='Kế hoạch định kỳ'!$W98)*(INT((M$5-1-'Kế hoạch định kỳ'!$W98)/'Kế hoạch định kỳ'!$X98)+1))&gt;0,IF(EOMONTH(M$5,0)&lt;'Tổng quan'!$B$11,"✖","○"),"")))</f>
        <v/>
      </c>
      <c r="N98" s="24" t="str">
        <f>IF($A98="","",IF(COUNTIFS('Nhật ký bảo trì'!$D$6:$D$405,$A98,'Nhật ký bảo trì'!$Q$6:$Q$405,"Hoàn thành",'Nhật ký bảo trì'!$B$6:$B$405,"&gt;="&amp;N$5,'Nhật ký bảo trì'!$B$6:$B$405,"&lt;="&amp;EOMONTH(N$5,0))&gt;0,"✔",IF(((EOMONTH(N$5,0)&gt;='Kế hoạch định kỳ'!$W98)*(INT((EOMONTH(N$5,0)-'Kế hoạch định kỳ'!$W98)/'Kế hoạch định kỳ'!$X98)+1)-(N$5-1&gt;='Kế hoạch định kỳ'!$W98)*(INT((N$5-1-'Kế hoạch định kỳ'!$W98)/'Kế hoạch định kỳ'!$X98)+1))&gt;0,IF(EOMONTH(N$5,0)&lt;'Tổng quan'!$B$11,"✖","○"),"")))</f>
        <v/>
      </c>
      <c r="O98" s="24" t="str">
        <f>IF($A98="","",IF(COUNTIFS('Nhật ký bảo trì'!$D$6:$D$405,$A98,'Nhật ký bảo trì'!$Q$6:$Q$405,"Hoàn thành",'Nhật ký bảo trì'!$B$6:$B$405,"&gt;="&amp;O$5,'Nhật ký bảo trì'!$B$6:$B$405,"&lt;="&amp;EOMONTH(O$5,0))&gt;0,"✔",IF(((EOMONTH(O$5,0)&gt;='Kế hoạch định kỳ'!$W98)*(INT((EOMONTH(O$5,0)-'Kế hoạch định kỳ'!$W98)/'Kế hoạch định kỳ'!$X98)+1)-(O$5-1&gt;='Kế hoạch định kỳ'!$W98)*(INT((O$5-1-'Kế hoạch định kỳ'!$W98)/'Kế hoạch định kỳ'!$X98)+1))&gt;0,IF(EOMONTH(O$5,0)&lt;'Tổng quan'!$B$11,"✖","○"),"")))</f>
        <v/>
      </c>
      <c r="P98" s="24" t="str">
        <f>IF($A98="","",IF(COUNTIFS('Nhật ký bảo trì'!$D$6:$D$405,$A98,'Nhật ký bảo trì'!$Q$6:$Q$405,"Hoàn thành",'Nhật ký bảo trì'!$B$6:$B$405,"&gt;="&amp;P$5,'Nhật ký bảo trì'!$B$6:$B$405,"&lt;="&amp;EOMONTH(P$5,0))&gt;0,"✔",IF(((EOMONTH(P$5,0)&gt;='Kế hoạch định kỳ'!$W98)*(INT((EOMONTH(P$5,0)-'Kế hoạch định kỳ'!$W98)/'Kế hoạch định kỳ'!$X98)+1)-(P$5-1&gt;='Kế hoạch định kỳ'!$W98)*(INT((P$5-1-'Kế hoạch định kỳ'!$W98)/'Kế hoạch định kỳ'!$X98)+1))&gt;0,IF(EOMONTH(P$5,0)&lt;'Tổng quan'!$B$11,"✖","○"),"")))</f>
        <v/>
      </c>
      <c r="Q98" s="16" t="str">
        <f>IF($A98="","",COUNTIFS('Nhật ký bảo trì'!$D$6:$D$405,$A98,'Nhật ký bảo trì'!$Q$6:$Q$405,"Hoàn thành",'Nhật ký bảo trì'!$B$6:$B$405,"&gt;="&amp;DATE('Tổng quan'!$B$6,1,1),'Nhật ký bảo trì'!$B$6:$B$405,"&lt;="&amp;DATE('Tổng quan'!$B$6,12,31)))</f>
        <v/>
      </c>
      <c r="R98" s="16" t="str">
        <f t="shared" si="1"/>
        <v/>
      </c>
    </row>
    <row r="99" ht="24.0" customHeight="1">
      <c r="A99" s="26" t="str">
        <f>IF('Kế hoạch định kỳ'!$B99="","",'Kế hoạch định kỳ'!$B99)</f>
        <v/>
      </c>
      <c r="B99" s="28" t="str">
        <f>IF('Kế hoạch định kỳ'!$B99="","",'Kế hoạch định kỳ'!$D99)</f>
        <v/>
      </c>
      <c r="C99" s="56" t="str">
        <f>IF('Kế hoạch định kỳ'!$B99="","",'Kế hoạch định kỳ'!$F99)</f>
        <v/>
      </c>
      <c r="D99" s="26" t="str">
        <f>IF('Kế hoạch định kỳ'!$B99="","",IF('Kế hoạch định kỳ'!$I99&lt;&gt;"",'Kế hoạch định kỳ'!$I99&amp;" ngày",'Kế hoạch định kỳ'!$H99))</f>
        <v/>
      </c>
      <c r="E99" s="61" t="str">
        <f>IF($A99="","",IF(COUNTIFS('Nhật ký bảo trì'!$D$6:$D$405,$A99,'Nhật ký bảo trì'!$Q$6:$Q$405,"Hoàn thành",'Nhật ký bảo trì'!$B$6:$B$405,"&gt;="&amp;E$5,'Nhật ký bảo trì'!$B$6:$B$405,"&lt;="&amp;EOMONTH(E$5,0))&gt;0,"✔",IF(((EOMONTH(E$5,0)&gt;='Kế hoạch định kỳ'!$W99)*(INT((EOMONTH(E$5,0)-'Kế hoạch định kỳ'!$W99)/'Kế hoạch định kỳ'!$X99)+1)-(E$5-1&gt;='Kế hoạch định kỳ'!$W99)*(INT((E$5-1-'Kế hoạch định kỳ'!$W99)/'Kế hoạch định kỳ'!$X99)+1))&gt;0,IF(EOMONTH(E$5,0)&lt;'Tổng quan'!$B$11,"✖","○"),"")))</f>
        <v/>
      </c>
      <c r="F99" s="61" t="str">
        <f>IF($A99="","",IF(COUNTIFS('Nhật ký bảo trì'!$D$6:$D$405,$A99,'Nhật ký bảo trì'!$Q$6:$Q$405,"Hoàn thành",'Nhật ký bảo trì'!$B$6:$B$405,"&gt;="&amp;F$5,'Nhật ký bảo trì'!$B$6:$B$405,"&lt;="&amp;EOMONTH(F$5,0))&gt;0,"✔",IF(((EOMONTH(F$5,0)&gt;='Kế hoạch định kỳ'!$W99)*(INT((EOMONTH(F$5,0)-'Kế hoạch định kỳ'!$W99)/'Kế hoạch định kỳ'!$X99)+1)-(F$5-1&gt;='Kế hoạch định kỳ'!$W99)*(INT((F$5-1-'Kế hoạch định kỳ'!$W99)/'Kế hoạch định kỳ'!$X99)+1))&gt;0,IF(EOMONTH(F$5,0)&lt;'Tổng quan'!$B$11,"✖","○"),"")))</f>
        <v/>
      </c>
      <c r="G99" s="61" t="str">
        <f>IF($A99="","",IF(COUNTIFS('Nhật ký bảo trì'!$D$6:$D$405,$A99,'Nhật ký bảo trì'!$Q$6:$Q$405,"Hoàn thành",'Nhật ký bảo trì'!$B$6:$B$405,"&gt;="&amp;G$5,'Nhật ký bảo trì'!$B$6:$B$405,"&lt;="&amp;EOMONTH(G$5,0))&gt;0,"✔",IF(((EOMONTH(G$5,0)&gt;='Kế hoạch định kỳ'!$W99)*(INT((EOMONTH(G$5,0)-'Kế hoạch định kỳ'!$W99)/'Kế hoạch định kỳ'!$X99)+1)-(G$5-1&gt;='Kế hoạch định kỳ'!$W99)*(INT((G$5-1-'Kế hoạch định kỳ'!$W99)/'Kế hoạch định kỳ'!$X99)+1))&gt;0,IF(EOMONTH(G$5,0)&lt;'Tổng quan'!$B$11,"✖","○"),"")))</f>
        <v/>
      </c>
      <c r="H99" s="61" t="str">
        <f>IF($A99="","",IF(COUNTIFS('Nhật ký bảo trì'!$D$6:$D$405,$A99,'Nhật ký bảo trì'!$Q$6:$Q$405,"Hoàn thành",'Nhật ký bảo trì'!$B$6:$B$405,"&gt;="&amp;H$5,'Nhật ký bảo trì'!$B$6:$B$405,"&lt;="&amp;EOMONTH(H$5,0))&gt;0,"✔",IF(((EOMONTH(H$5,0)&gt;='Kế hoạch định kỳ'!$W99)*(INT((EOMONTH(H$5,0)-'Kế hoạch định kỳ'!$W99)/'Kế hoạch định kỳ'!$X99)+1)-(H$5-1&gt;='Kế hoạch định kỳ'!$W99)*(INT((H$5-1-'Kế hoạch định kỳ'!$W99)/'Kế hoạch định kỳ'!$X99)+1))&gt;0,IF(EOMONTH(H$5,0)&lt;'Tổng quan'!$B$11,"✖","○"),"")))</f>
        <v/>
      </c>
      <c r="I99" s="61" t="str">
        <f>IF($A99="","",IF(COUNTIFS('Nhật ký bảo trì'!$D$6:$D$405,$A99,'Nhật ký bảo trì'!$Q$6:$Q$405,"Hoàn thành",'Nhật ký bảo trì'!$B$6:$B$405,"&gt;="&amp;I$5,'Nhật ký bảo trì'!$B$6:$B$405,"&lt;="&amp;EOMONTH(I$5,0))&gt;0,"✔",IF(((EOMONTH(I$5,0)&gt;='Kế hoạch định kỳ'!$W99)*(INT((EOMONTH(I$5,0)-'Kế hoạch định kỳ'!$W99)/'Kế hoạch định kỳ'!$X99)+1)-(I$5-1&gt;='Kế hoạch định kỳ'!$W99)*(INT((I$5-1-'Kế hoạch định kỳ'!$W99)/'Kế hoạch định kỳ'!$X99)+1))&gt;0,IF(EOMONTH(I$5,0)&lt;'Tổng quan'!$B$11,"✖","○"),"")))</f>
        <v/>
      </c>
      <c r="J99" s="61" t="str">
        <f>IF($A99="","",IF(COUNTIFS('Nhật ký bảo trì'!$D$6:$D$405,$A99,'Nhật ký bảo trì'!$Q$6:$Q$405,"Hoàn thành",'Nhật ký bảo trì'!$B$6:$B$405,"&gt;="&amp;J$5,'Nhật ký bảo trì'!$B$6:$B$405,"&lt;="&amp;EOMONTH(J$5,0))&gt;0,"✔",IF(((EOMONTH(J$5,0)&gt;='Kế hoạch định kỳ'!$W99)*(INT((EOMONTH(J$5,0)-'Kế hoạch định kỳ'!$W99)/'Kế hoạch định kỳ'!$X99)+1)-(J$5-1&gt;='Kế hoạch định kỳ'!$W99)*(INT((J$5-1-'Kế hoạch định kỳ'!$W99)/'Kế hoạch định kỳ'!$X99)+1))&gt;0,IF(EOMONTH(J$5,0)&lt;'Tổng quan'!$B$11,"✖","○"),"")))</f>
        <v/>
      </c>
      <c r="K99" s="61" t="str">
        <f>IF($A99="","",IF(COUNTIFS('Nhật ký bảo trì'!$D$6:$D$405,$A99,'Nhật ký bảo trì'!$Q$6:$Q$405,"Hoàn thành",'Nhật ký bảo trì'!$B$6:$B$405,"&gt;="&amp;K$5,'Nhật ký bảo trì'!$B$6:$B$405,"&lt;="&amp;EOMONTH(K$5,0))&gt;0,"✔",IF(((EOMONTH(K$5,0)&gt;='Kế hoạch định kỳ'!$W99)*(INT((EOMONTH(K$5,0)-'Kế hoạch định kỳ'!$W99)/'Kế hoạch định kỳ'!$X99)+1)-(K$5-1&gt;='Kế hoạch định kỳ'!$W99)*(INT((K$5-1-'Kế hoạch định kỳ'!$W99)/'Kế hoạch định kỳ'!$X99)+1))&gt;0,IF(EOMONTH(K$5,0)&lt;'Tổng quan'!$B$11,"✖","○"),"")))</f>
        <v/>
      </c>
      <c r="L99" s="61" t="str">
        <f>IF($A99="","",IF(COUNTIFS('Nhật ký bảo trì'!$D$6:$D$405,$A99,'Nhật ký bảo trì'!$Q$6:$Q$405,"Hoàn thành",'Nhật ký bảo trì'!$B$6:$B$405,"&gt;="&amp;L$5,'Nhật ký bảo trì'!$B$6:$B$405,"&lt;="&amp;EOMONTH(L$5,0))&gt;0,"✔",IF(((EOMONTH(L$5,0)&gt;='Kế hoạch định kỳ'!$W99)*(INT((EOMONTH(L$5,0)-'Kế hoạch định kỳ'!$W99)/'Kế hoạch định kỳ'!$X99)+1)-(L$5-1&gt;='Kế hoạch định kỳ'!$W99)*(INT((L$5-1-'Kế hoạch định kỳ'!$W99)/'Kế hoạch định kỳ'!$X99)+1))&gt;0,IF(EOMONTH(L$5,0)&lt;'Tổng quan'!$B$11,"✖","○"),"")))</f>
        <v/>
      </c>
      <c r="M99" s="61" t="str">
        <f>IF($A99="","",IF(COUNTIFS('Nhật ký bảo trì'!$D$6:$D$405,$A99,'Nhật ký bảo trì'!$Q$6:$Q$405,"Hoàn thành",'Nhật ký bảo trì'!$B$6:$B$405,"&gt;="&amp;M$5,'Nhật ký bảo trì'!$B$6:$B$405,"&lt;="&amp;EOMONTH(M$5,0))&gt;0,"✔",IF(((EOMONTH(M$5,0)&gt;='Kế hoạch định kỳ'!$W99)*(INT((EOMONTH(M$5,0)-'Kế hoạch định kỳ'!$W99)/'Kế hoạch định kỳ'!$X99)+1)-(M$5-1&gt;='Kế hoạch định kỳ'!$W99)*(INT((M$5-1-'Kế hoạch định kỳ'!$W99)/'Kế hoạch định kỳ'!$X99)+1))&gt;0,IF(EOMONTH(M$5,0)&lt;'Tổng quan'!$B$11,"✖","○"),"")))</f>
        <v/>
      </c>
      <c r="N99" s="61" t="str">
        <f>IF($A99="","",IF(COUNTIFS('Nhật ký bảo trì'!$D$6:$D$405,$A99,'Nhật ký bảo trì'!$Q$6:$Q$405,"Hoàn thành",'Nhật ký bảo trì'!$B$6:$B$405,"&gt;="&amp;N$5,'Nhật ký bảo trì'!$B$6:$B$405,"&lt;="&amp;EOMONTH(N$5,0))&gt;0,"✔",IF(((EOMONTH(N$5,0)&gt;='Kế hoạch định kỳ'!$W99)*(INT((EOMONTH(N$5,0)-'Kế hoạch định kỳ'!$W99)/'Kế hoạch định kỳ'!$X99)+1)-(N$5-1&gt;='Kế hoạch định kỳ'!$W99)*(INT((N$5-1-'Kế hoạch định kỳ'!$W99)/'Kế hoạch định kỳ'!$X99)+1))&gt;0,IF(EOMONTH(N$5,0)&lt;'Tổng quan'!$B$11,"✖","○"),"")))</f>
        <v/>
      </c>
      <c r="O99" s="61" t="str">
        <f>IF($A99="","",IF(COUNTIFS('Nhật ký bảo trì'!$D$6:$D$405,$A99,'Nhật ký bảo trì'!$Q$6:$Q$405,"Hoàn thành",'Nhật ký bảo trì'!$B$6:$B$405,"&gt;="&amp;O$5,'Nhật ký bảo trì'!$B$6:$B$405,"&lt;="&amp;EOMONTH(O$5,0))&gt;0,"✔",IF(((EOMONTH(O$5,0)&gt;='Kế hoạch định kỳ'!$W99)*(INT((EOMONTH(O$5,0)-'Kế hoạch định kỳ'!$W99)/'Kế hoạch định kỳ'!$X99)+1)-(O$5-1&gt;='Kế hoạch định kỳ'!$W99)*(INT((O$5-1-'Kế hoạch định kỳ'!$W99)/'Kế hoạch định kỳ'!$X99)+1))&gt;0,IF(EOMONTH(O$5,0)&lt;'Tổng quan'!$B$11,"✖","○"),"")))</f>
        <v/>
      </c>
      <c r="P99" s="61" t="str">
        <f>IF($A99="","",IF(COUNTIFS('Nhật ký bảo trì'!$D$6:$D$405,$A99,'Nhật ký bảo trì'!$Q$6:$Q$405,"Hoàn thành",'Nhật ký bảo trì'!$B$6:$B$405,"&gt;="&amp;P$5,'Nhật ký bảo trì'!$B$6:$B$405,"&lt;="&amp;EOMONTH(P$5,0))&gt;0,"✔",IF(((EOMONTH(P$5,0)&gt;='Kế hoạch định kỳ'!$W99)*(INT((EOMONTH(P$5,0)-'Kế hoạch định kỳ'!$W99)/'Kế hoạch định kỳ'!$X99)+1)-(P$5-1&gt;='Kế hoạch định kỳ'!$W99)*(INT((P$5-1-'Kế hoạch định kỳ'!$W99)/'Kế hoạch định kỳ'!$X99)+1))&gt;0,IF(EOMONTH(P$5,0)&lt;'Tổng quan'!$B$11,"✖","○"),"")))</f>
        <v/>
      </c>
      <c r="Q99" s="30" t="str">
        <f>IF($A99="","",COUNTIFS('Nhật ký bảo trì'!$D$6:$D$405,$A99,'Nhật ký bảo trì'!$Q$6:$Q$405,"Hoàn thành",'Nhật ký bảo trì'!$B$6:$B$405,"&gt;="&amp;DATE('Tổng quan'!$B$6,1,1),'Nhật ký bảo trì'!$B$6:$B$405,"&lt;="&amp;DATE('Tổng quan'!$B$6,12,31)))</f>
        <v/>
      </c>
      <c r="R99" s="30" t="str">
        <f t="shared" si="1"/>
        <v/>
      </c>
    </row>
    <row r="100" ht="24.0" customHeight="1">
      <c r="A100" s="10" t="str">
        <f>IF('Kế hoạch định kỳ'!$B100="","",'Kế hoạch định kỳ'!$B100)</f>
        <v/>
      </c>
      <c r="B100" s="14" t="str">
        <f>IF('Kế hoạch định kỳ'!$B100="","",'Kế hoạch định kỳ'!$D100)</f>
        <v/>
      </c>
      <c r="C100" s="18" t="str">
        <f>IF('Kế hoạch định kỳ'!$B100="","",'Kế hoạch định kỳ'!$F100)</f>
        <v/>
      </c>
      <c r="D100" s="10" t="str">
        <f>IF('Kế hoạch định kỳ'!$B100="","",IF('Kế hoạch định kỳ'!$I100&lt;&gt;"",'Kế hoạch định kỳ'!$I100&amp;" ngày",'Kế hoạch định kỳ'!$H100))</f>
        <v/>
      </c>
      <c r="E100" s="24" t="str">
        <f>IF($A100="","",IF(COUNTIFS('Nhật ký bảo trì'!$D$6:$D$405,$A100,'Nhật ký bảo trì'!$Q$6:$Q$405,"Hoàn thành",'Nhật ký bảo trì'!$B$6:$B$405,"&gt;="&amp;E$5,'Nhật ký bảo trì'!$B$6:$B$405,"&lt;="&amp;EOMONTH(E$5,0))&gt;0,"✔",IF(((EOMONTH(E$5,0)&gt;='Kế hoạch định kỳ'!$W100)*(INT((EOMONTH(E$5,0)-'Kế hoạch định kỳ'!$W100)/'Kế hoạch định kỳ'!$X100)+1)-(E$5-1&gt;='Kế hoạch định kỳ'!$W100)*(INT((E$5-1-'Kế hoạch định kỳ'!$W100)/'Kế hoạch định kỳ'!$X100)+1))&gt;0,IF(EOMONTH(E$5,0)&lt;'Tổng quan'!$B$11,"✖","○"),"")))</f>
        <v/>
      </c>
      <c r="F100" s="24" t="str">
        <f>IF($A100="","",IF(COUNTIFS('Nhật ký bảo trì'!$D$6:$D$405,$A100,'Nhật ký bảo trì'!$Q$6:$Q$405,"Hoàn thành",'Nhật ký bảo trì'!$B$6:$B$405,"&gt;="&amp;F$5,'Nhật ký bảo trì'!$B$6:$B$405,"&lt;="&amp;EOMONTH(F$5,0))&gt;0,"✔",IF(((EOMONTH(F$5,0)&gt;='Kế hoạch định kỳ'!$W100)*(INT((EOMONTH(F$5,0)-'Kế hoạch định kỳ'!$W100)/'Kế hoạch định kỳ'!$X100)+1)-(F$5-1&gt;='Kế hoạch định kỳ'!$W100)*(INT((F$5-1-'Kế hoạch định kỳ'!$W100)/'Kế hoạch định kỳ'!$X100)+1))&gt;0,IF(EOMONTH(F$5,0)&lt;'Tổng quan'!$B$11,"✖","○"),"")))</f>
        <v/>
      </c>
      <c r="G100" s="24" t="str">
        <f>IF($A100="","",IF(COUNTIFS('Nhật ký bảo trì'!$D$6:$D$405,$A100,'Nhật ký bảo trì'!$Q$6:$Q$405,"Hoàn thành",'Nhật ký bảo trì'!$B$6:$B$405,"&gt;="&amp;G$5,'Nhật ký bảo trì'!$B$6:$B$405,"&lt;="&amp;EOMONTH(G$5,0))&gt;0,"✔",IF(((EOMONTH(G$5,0)&gt;='Kế hoạch định kỳ'!$W100)*(INT((EOMONTH(G$5,0)-'Kế hoạch định kỳ'!$W100)/'Kế hoạch định kỳ'!$X100)+1)-(G$5-1&gt;='Kế hoạch định kỳ'!$W100)*(INT((G$5-1-'Kế hoạch định kỳ'!$W100)/'Kế hoạch định kỳ'!$X100)+1))&gt;0,IF(EOMONTH(G$5,0)&lt;'Tổng quan'!$B$11,"✖","○"),"")))</f>
        <v/>
      </c>
      <c r="H100" s="24" t="str">
        <f>IF($A100="","",IF(COUNTIFS('Nhật ký bảo trì'!$D$6:$D$405,$A100,'Nhật ký bảo trì'!$Q$6:$Q$405,"Hoàn thành",'Nhật ký bảo trì'!$B$6:$B$405,"&gt;="&amp;H$5,'Nhật ký bảo trì'!$B$6:$B$405,"&lt;="&amp;EOMONTH(H$5,0))&gt;0,"✔",IF(((EOMONTH(H$5,0)&gt;='Kế hoạch định kỳ'!$W100)*(INT((EOMONTH(H$5,0)-'Kế hoạch định kỳ'!$W100)/'Kế hoạch định kỳ'!$X100)+1)-(H$5-1&gt;='Kế hoạch định kỳ'!$W100)*(INT((H$5-1-'Kế hoạch định kỳ'!$W100)/'Kế hoạch định kỳ'!$X100)+1))&gt;0,IF(EOMONTH(H$5,0)&lt;'Tổng quan'!$B$11,"✖","○"),"")))</f>
        <v/>
      </c>
      <c r="I100" s="24" t="str">
        <f>IF($A100="","",IF(COUNTIFS('Nhật ký bảo trì'!$D$6:$D$405,$A100,'Nhật ký bảo trì'!$Q$6:$Q$405,"Hoàn thành",'Nhật ký bảo trì'!$B$6:$B$405,"&gt;="&amp;I$5,'Nhật ký bảo trì'!$B$6:$B$405,"&lt;="&amp;EOMONTH(I$5,0))&gt;0,"✔",IF(((EOMONTH(I$5,0)&gt;='Kế hoạch định kỳ'!$W100)*(INT((EOMONTH(I$5,0)-'Kế hoạch định kỳ'!$W100)/'Kế hoạch định kỳ'!$X100)+1)-(I$5-1&gt;='Kế hoạch định kỳ'!$W100)*(INT((I$5-1-'Kế hoạch định kỳ'!$W100)/'Kế hoạch định kỳ'!$X100)+1))&gt;0,IF(EOMONTH(I$5,0)&lt;'Tổng quan'!$B$11,"✖","○"),"")))</f>
        <v/>
      </c>
      <c r="J100" s="24" t="str">
        <f>IF($A100="","",IF(COUNTIFS('Nhật ký bảo trì'!$D$6:$D$405,$A100,'Nhật ký bảo trì'!$Q$6:$Q$405,"Hoàn thành",'Nhật ký bảo trì'!$B$6:$B$405,"&gt;="&amp;J$5,'Nhật ký bảo trì'!$B$6:$B$405,"&lt;="&amp;EOMONTH(J$5,0))&gt;0,"✔",IF(((EOMONTH(J$5,0)&gt;='Kế hoạch định kỳ'!$W100)*(INT((EOMONTH(J$5,0)-'Kế hoạch định kỳ'!$W100)/'Kế hoạch định kỳ'!$X100)+1)-(J$5-1&gt;='Kế hoạch định kỳ'!$W100)*(INT((J$5-1-'Kế hoạch định kỳ'!$W100)/'Kế hoạch định kỳ'!$X100)+1))&gt;0,IF(EOMONTH(J$5,0)&lt;'Tổng quan'!$B$11,"✖","○"),"")))</f>
        <v/>
      </c>
      <c r="K100" s="24" t="str">
        <f>IF($A100="","",IF(COUNTIFS('Nhật ký bảo trì'!$D$6:$D$405,$A100,'Nhật ký bảo trì'!$Q$6:$Q$405,"Hoàn thành",'Nhật ký bảo trì'!$B$6:$B$405,"&gt;="&amp;K$5,'Nhật ký bảo trì'!$B$6:$B$405,"&lt;="&amp;EOMONTH(K$5,0))&gt;0,"✔",IF(((EOMONTH(K$5,0)&gt;='Kế hoạch định kỳ'!$W100)*(INT((EOMONTH(K$5,0)-'Kế hoạch định kỳ'!$W100)/'Kế hoạch định kỳ'!$X100)+1)-(K$5-1&gt;='Kế hoạch định kỳ'!$W100)*(INT((K$5-1-'Kế hoạch định kỳ'!$W100)/'Kế hoạch định kỳ'!$X100)+1))&gt;0,IF(EOMONTH(K$5,0)&lt;'Tổng quan'!$B$11,"✖","○"),"")))</f>
        <v/>
      </c>
      <c r="L100" s="24" t="str">
        <f>IF($A100="","",IF(COUNTIFS('Nhật ký bảo trì'!$D$6:$D$405,$A100,'Nhật ký bảo trì'!$Q$6:$Q$405,"Hoàn thành",'Nhật ký bảo trì'!$B$6:$B$405,"&gt;="&amp;L$5,'Nhật ký bảo trì'!$B$6:$B$405,"&lt;="&amp;EOMONTH(L$5,0))&gt;0,"✔",IF(((EOMONTH(L$5,0)&gt;='Kế hoạch định kỳ'!$W100)*(INT((EOMONTH(L$5,0)-'Kế hoạch định kỳ'!$W100)/'Kế hoạch định kỳ'!$X100)+1)-(L$5-1&gt;='Kế hoạch định kỳ'!$W100)*(INT((L$5-1-'Kế hoạch định kỳ'!$W100)/'Kế hoạch định kỳ'!$X100)+1))&gt;0,IF(EOMONTH(L$5,0)&lt;'Tổng quan'!$B$11,"✖","○"),"")))</f>
        <v/>
      </c>
      <c r="M100" s="24" t="str">
        <f>IF($A100="","",IF(COUNTIFS('Nhật ký bảo trì'!$D$6:$D$405,$A100,'Nhật ký bảo trì'!$Q$6:$Q$405,"Hoàn thành",'Nhật ký bảo trì'!$B$6:$B$405,"&gt;="&amp;M$5,'Nhật ký bảo trì'!$B$6:$B$405,"&lt;="&amp;EOMONTH(M$5,0))&gt;0,"✔",IF(((EOMONTH(M$5,0)&gt;='Kế hoạch định kỳ'!$W100)*(INT((EOMONTH(M$5,0)-'Kế hoạch định kỳ'!$W100)/'Kế hoạch định kỳ'!$X100)+1)-(M$5-1&gt;='Kế hoạch định kỳ'!$W100)*(INT((M$5-1-'Kế hoạch định kỳ'!$W100)/'Kế hoạch định kỳ'!$X100)+1))&gt;0,IF(EOMONTH(M$5,0)&lt;'Tổng quan'!$B$11,"✖","○"),"")))</f>
        <v/>
      </c>
      <c r="N100" s="24" t="str">
        <f>IF($A100="","",IF(COUNTIFS('Nhật ký bảo trì'!$D$6:$D$405,$A100,'Nhật ký bảo trì'!$Q$6:$Q$405,"Hoàn thành",'Nhật ký bảo trì'!$B$6:$B$405,"&gt;="&amp;N$5,'Nhật ký bảo trì'!$B$6:$B$405,"&lt;="&amp;EOMONTH(N$5,0))&gt;0,"✔",IF(((EOMONTH(N$5,0)&gt;='Kế hoạch định kỳ'!$W100)*(INT((EOMONTH(N$5,0)-'Kế hoạch định kỳ'!$W100)/'Kế hoạch định kỳ'!$X100)+1)-(N$5-1&gt;='Kế hoạch định kỳ'!$W100)*(INT((N$5-1-'Kế hoạch định kỳ'!$W100)/'Kế hoạch định kỳ'!$X100)+1))&gt;0,IF(EOMONTH(N$5,0)&lt;'Tổng quan'!$B$11,"✖","○"),"")))</f>
        <v/>
      </c>
      <c r="O100" s="24" t="str">
        <f>IF($A100="","",IF(COUNTIFS('Nhật ký bảo trì'!$D$6:$D$405,$A100,'Nhật ký bảo trì'!$Q$6:$Q$405,"Hoàn thành",'Nhật ký bảo trì'!$B$6:$B$405,"&gt;="&amp;O$5,'Nhật ký bảo trì'!$B$6:$B$405,"&lt;="&amp;EOMONTH(O$5,0))&gt;0,"✔",IF(((EOMONTH(O$5,0)&gt;='Kế hoạch định kỳ'!$W100)*(INT((EOMONTH(O$5,0)-'Kế hoạch định kỳ'!$W100)/'Kế hoạch định kỳ'!$X100)+1)-(O$5-1&gt;='Kế hoạch định kỳ'!$W100)*(INT((O$5-1-'Kế hoạch định kỳ'!$W100)/'Kế hoạch định kỳ'!$X100)+1))&gt;0,IF(EOMONTH(O$5,0)&lt;'Tổng quan'!$B$11,"✖","○"),"")))</f>
        <v/>
      </c>
      <c r="P100" s="24" t="str">
        <f>IF($A100="","",IF(COUNTIFS('Nhật ký bảo trì'!$D$6:$D$405,$A100,'Nhật ký bảo trì'!$Q$6:$Q$405,"Hoàn thành",'Nhật ký bảo trì'!$B$6:$B$405,"&gt;="&amp;P$5,'Nhật ký bảo trì'!$B$6:$B$405,"&lt;="&amp;EOMONTH(P$5,0))&gt;0,"✔",IF(((EOMONTH(P$5,0)&gt;='Kế hoạch định kỳ'!$W100)*(INT((EOMONTH(P$5,0)-'Kế hoạch định kỳ'!$W100)/'Kế hoạch định kỳ'!$X100)+1)-(P$5-1&gt;='Kế hoạch định kỳ'!$W100)*(INT((P$5-1-'Kế hoạch định kỳ'!$W100)/'Kế hoạch định kỳ'!$X100)+1))&gt;0,IF(EOMONTH(P$5,0)&lt;'Tổng quan'!$B$11,"✖","○"),"")))</f>
        <v/>
      </c>
      <c r="Q100" s="16" t="str">
        <f>IF($A100="","",COUNTIFS('Nhật ký bảo trì'!$D$6:$D$405,$A100,'Nhật ký bảo trì'!$Q$6:$Q$405,"Hoàn thành",'Nhật ký bảo trì'!$B$6:$B$405,"&gt;="&amp;DATE('Tổng quan'!$B$6,1,1),'Nhật ký bảo trì'!$B$6:$B$405,"&lt;="&amp;DATE('Tổng quan'!$B$6,12,31)))</f>
        <v/>
      </c>
      <c r="R100" s="16" t="str">
        <f t="shared" si="1"/>
        <v/>
      </c>
    </row>
    <row r="101" ht="24.0" customHeight="1">
      <c r="A101" s="26" t="str">
        <f>IF('Kế hoạch định kỳ'!$B101="","",'Kế hoạch định kỳ'!$B101)</f>
        <v/>
      </c>
      <c r="B101" s="28" t="str">
        <f>IF('Kế hoạch định kỳ'!$B101="","",'Kế hoạch định kỳ'!$D101)</f>
        <v/>
      </c>
      <c r="C101" s="56" t="str">
        <f>IF('Kế hoạch định kỳ'!$B101="","",'Kế hoạch định kỳ'!$F101)</f>
        <v/>
      </c>
      <c r="D101" s="26" t="str">
        <f>IF('Kế hoạch định kỳ'!$B101="","",IF('Kế hoạch định kỳ'!$I101&lt;&gt;"",'Kế hoạch định kỳ'!$I101&amp;" ngày",'Kế hoạch định kỳ'!$H101))</f>
        <v/>
      </c>
      <c r="E101" s="61" t="str">
        <f>IF($A101="","",IF(COUNTIFS('Nhật ký bảo trì'!$D$6:$D$405,$A101,'Nhật ký bảo trì'!$Q$6:$Q$405,"Hoàn thành",'Nhật ký bảo trì'!$B$6:$B$405,"&gt;="&amp;E$5,'Nhật ký bảo trì'!$B$6:$B$405,"&lt;="&amp;EOMONTH(E$5,0))&gt;0,"✔",IF(((EOMONTH(E$5,0)&gt;='Kế hoạch định kỳ'!$W101)*(INT((EOMONTH(E$5,0)-'Kế hoạch định kỳ'!$W101)/'Kế hoạch định kỳ'!$X101)+1)-(E$5-1&gt;='Kế hoạch định kỳ'!$W101)*(INT((E$5-1-'Kế hoạch định kỳ'!$W101)/'Kế hoạch định kỳ'!$X101)+1))&gt;0,IF(EOMONTH(E$5,0)&lt;'Tổng quan'!$B$11,"✖","○"),"")))</f>
        <v/>
      </c>
      <c r="F101" s="61" t="str">
        <f>IF($A101="","",IF(COUNTIFS('Nhật ký bảo trì'!$D$6:$D$405,$A101,'Nhật ký bảo trì'!$Q$6:$Q$405,"Hoàn thành",'Nhật ký bảo trì'!$B$6:$B$405,"&gt;="&amp;F$5,'Nhật ký bảo trì'!$B$6:$B$405,"&lt;="&amp;EOMONTH(F$5,0))&gt;0,"✔",IF(((EOMONTH(F$5,0)&gt;='Kế hoạch định kỳ'!$W101)*(INT((EOMONTH(F$5,0)-'Kế hoạch định kỳ'!$W101)/'Kế hoạch định kỳ'!$X101)+1)-(F$5-1&gt;='Kế hoạch định kỳ'!$W101)*(INT((F$5-1-'Kế hoạch định kỳ'!$W101)/'Kế hoạch định kỳ'!$X101)+1))&gt;0,IF(EOMONTH(F$5,0)&lt;'Tổng quan'!$B$11,"✖","○"),"")))</f>
        <v/>
      </c>
      <c r="G101" s="61" t="str">
        <f>IF($A101="","",IF(COUNTIFS('Nhật ký bảo trì'!$D$6:$D$405,$A101,'Nhật ký bảo trì'!$Q$6:$Q$405,"Hoàn thành",'Nhật ký bảo trì'!$B$6:$B$405,"&gt;="&amp;G$5,'Nhật ký bảo trì'!$B$6:$B$405,"&lt;="&amp;EOMONTH(G$5,0))&gt;0,"✔",IF(((EOMONTH(G$5,0)&gt;='Kế hoạch định kỳ'!$W101)*(INT((EOMONTH(G$5,0)-'Kế hoạch định kỳ'!$W101)/'Kế hoạch định kỳ'!$X101)+1)-(G$5-1&gt;='Kế hoạch định kỳ'!$W101)*(INT((G$5-1-'Kế hoạch định kỳ'!$W101)/'Kế hoạch định kỳ'!$X101)+1))&gt;0,IF(EOMONTH(G$5,0)&lt;'Tổng quan'!$B$11,"✖","○"),"")))</f>
        <v/>
      </c>
      <c r="H101" s="61" t="str">
        <f>IF($A101="","",IF(COUNTIFS('Nhật ký bảo trì'!$D$6:$D$405,$A101,'Nhật ký bảo trì'!$Q$6:$Q$405,"Hoàn thành",'Nhật ký bảo trì'!$B$6:$B$405,"&gt;="&amp;H$5,'Nhật ký bảo trì'!$B$6:$B$405,"&lt;="&amp;EOMONTH(H$5,0))&gt;0,"✔",IF(((EOMONTH(H$5,0)&gt;='Kế hoạch định kỳ'!$W101)*(INT((EOMONTH(H$5,0)-'Kế hoạch định kỳ'!$W101)/'Kế hoạch định kỳ'!$X101)+1)-(H$5-1&gt;='Kế hoạch định kỳ'!$W101)*(INT((H$5-1-'Kế hoạch định kỳ'!$W101)/'Kế hoạch định kỳ'!$X101)+1))&gt;0,IF(EOMONTH(H$5,0)&lt;'Tổng quan'!$B$11,"✖","○"),"")))</f>
        <v/>
      </c>
      <c r="I101" s="61" t="str">
        <f>IF($A101="","",IF(COUNTIFS('Nhật ký bảo trì'!$D$6:$D$405,$A101,'Nhật ký bảo trì'!$Q$6:$Q$405,"Hoàn thành",'Nhật ký bảo trì'!$B$6:$B$405,"&gt;="&amp;I$5,'Nhật ký bảo trì'!$B$6:$B$405,"&lt;="&amp;EOMONTH(I$5,0))&gt;0,"✔",IF(((EOMONTH(I$5,0)&gt;='Kế hoạch định kỳ'!$W101)*(INT((EOMONTH(I$5,0)-'Kế hoạch định kỳ'!$W101)/'Kế hoạch định kỳ'!$X101)+1)-(I$5-1&gt;='Kế hoạch định kỳ'!$W101)*(INT((I$5-1-'Kế hoạch định kỳ'!$W101)/'Kế hoạch định kỳ'!$X101)+1))&gt;0,IF(EOMONTH(I$5,0)&lt;'Tổng quan'!$B$11,"✖","○"),"")))</f>
        <v/>
      </c>
      <c r="J101" s="61" t="str">
        <f>IF($A101="","",IF(COUNTIFS('Nhật ký bảo trì'!$D$6:$D$405,$A101,'Nhật ký bảo trì'!$Q$6:$Q$405,"Hoàn thành",'Nhật ký bảo trì'!$B$6:$B$405,"&gt;="&amp;J$5,'Nhật ký bảo trì'!$B$6:$B$405,"&lt;="&amp;EOMONTH(J$5,0))&gt;0,"✔",IF(((EOMONTH(J$5,0)&gt;='Kế hoạch định kỳ'!$W101)*(INT((EOMONTH(J$5,0)-'Kế hoạch định kỳ'!$W101)/'Kế hoạch định kỳ'!$X101)+1)-(J$5-1&gt;='Kế hoạch định kỳ'!$W101)*(INT((J$5-1-'Kế hoạch định kỳ'!$W101)/'Kế hoạch định kỳ'!$X101)+1))&gt;0,IF(EOMONTH(J$5,0)&lt;'Tổng quan'!$B$11,"✖","○"),"")))</f>
        <v/>
      </c>
      <c r="K101" s="61" t="str">
        <f>IF($A101="","",IF(COUNTIFS('Nhật ký bảo trì'!$D$6:$D$405,$A101,'Nhật ký bảo trì'!$Q$6:$Q$405,"Hoàn thành",'Nhật ký bảo trì'!$B$6:$B$405,"&gt;="&amp;K$5,'Nhật ký bảo trì'!$B$6:$B$405,"&lt;="&amp;EOMONTH(K$5,0))&gt;0,"✔",IF(((EOMONTH(K$5,0)&gt;='Kế hoạch định kỳ'!$W101)*(INT((EOMONTH(K$5,0)-'Kế hoạch định kỳ'!$W101)/'Kế hoạch định kỳ'!$X101)+1)-(K$5-1&gt;='Kế hoạch định kỳ'!$W101)*(INT((K$5-1-'Kế hoạch định kỳ'!$W101)/'Kế hoạch định kỳ'!$X101)+1))&gt;0,IF(EOMONTH(K$5,0)&lt;'Tổng quan'!$B$11,"✖","○"),"")))</f>
        <v/>
      </c>
      <c r="L101" s="61" t="str">
        <f>IF($A101="","",IF(COUNTIFS('Nhật ký bảo trì'!$D$6:$D$405,$A101,'Nhật ký bảo trì'!$Q$6:$Q$405,"Hoàn thành",'Nhật ký bảo trì'!$B$6:$B$405,"&gt;="&amp;L$5,'Nhật ký bảo trì'!$B$6:$B$405,"&lt;="&amp;EOMONTH(L$5,0))&gt;0,"✔",IF(((EOMONTH(L$5,0)&gt;='Kế hoạch định kỳ'!$W101)*(INT((EOMONTH(L$5,0)-'Kế hoạch định kỳ'!$W101)/'Kế hoạch định kỳ'!$X101)+1)-(L$5-1&gt;='Kế hoạch định kỳ'!$W101)*(INT((L$5-1-'Kế hoạch định kỳ'!$W101)/'Kế hoạch định kỳ'!$X101)+1))&gt;0,IF(EOMONTH(L$5,0)&lt;'Tổng quan'!$B$11,"✖","○"),"")))</f>
        <v/>
      </c>
      <c r="M101" s="61" t="str">
        <f>IF($A101="","",IF(COUNTIFS('Nhật ký bảo trì'!$D$6:$D$405,$A101,'Nhật ký bảo trì'!$Q$6:$Q$405,"Hoàn thành",'Nhật ký bảo trì'!$B$6:$B$405,"&gt;="&amp;M$5,'Nhật ký bảo trì'!$B$6:$B$405,"&lt;="&amp;EOMONTH(M$5,0))&gt;0,"✔",IF(((EOMONTH(M$5,0)&gt;='Kế hoạch định kỳ'!$W101)*(INT((EOMONTH(M$5,0)-'Kế hoạch định kỳ'!$W101)/'Kế hoạch định kỳ'!$X101)+1)-(M$5-1&gt;='Kế hoạch định kỳ'!$W101)*(INT((M$5-1-'Kế hoạch định kỳ'!$W101)/'Kế hoạch định kỳ'!$X101)+1))&gt;0,IF(EOMONTH(M$5,0)&lt;'Tổng quan'!$B$11,"✖","○"),"")))</f>
        <v/>
      </c>
      <c r="N101" s="61" t="str">
        <f>IF($A101="","",IF(COUNTIFS('Nhật ký bảo trì'!$D$6:$D$405,$A101,'Nhật ký bảo trì'!$Q$6:$Q$405,"Hoàn thành",'Nhật ký bảo trì'!$B$6:$B$405,"&gt;="&amp;N$5,'Nhật ký bảo trì'!$B$6:$B$405,"&lt;="&amp;EOMONTH(N$5,0))&gt;0,"✔",IF(((EOMONTH(N$5,0)&gt;='Kế hoạch định kỳ'!$W101)*(INT((EOMONTH(N$5,0)-'Kế hoạch định kỳ'!$W101)/'Kế hoạch định kỳ'!$X101)+1)-(N$5-1&gt;='Kế hoạch định kỳ'!$W101)*(INT((N$5-1-'Kế hoạch định kỳ'!$W101)/'Kế hoạch định kỳ'!$X101)+1))&gt;0,IF(EOMONTH(N$5,0)&lt;'Tổng quan'!$B$11,"✖","○"),"")))</f>
        <v/>
      </c>
      <c r="O101" s="61" t="str">
        <f>IF($A101="","",IF(COUNTIFS('Nhật ký bảo trì'!$D$6:$D$405,$A101,'Nhật ký bảo trì'!$Q$6:$Q$405,"Hoàn thành",'Nhật ký bảo trì'!$B$6:$B$405,"&gt;="&amp;O$5,'Nhật ký bảo trì'!$B$6:$B$405,"&lt;="&amp;EOMONTH(O$5,0))&gt;0,"✔",IF(((EOMONTH(O$5,0)&gt;='Kế hoạch định kỳ'!$W101)*(INT((EOMONTH(O$5,0)-'Kế hoạch định kỳ'!$W101)/'Kế hoạch định kỳ'!$X101)+1)-(O$5-1&gt;='Kế hoạch định kỳ'!$W101)*(INT((O$5-1-'Kế hoạch định kỳ'!$W101)/'Kế hoạch định kỳ'!$X101)+1))&gt;0,IF(EOMONTH(O$5,0)&lt;'Tổng quan'!$B$11,"✖","○"),"")))</f>
        <v/>
      </c>
      <c r="P101" s="61" t="str">
        <f>IF($A101="","",IF(COUNTIFS('Nhật ký bảo trì'!$D$6:$D$405,$A101,'Nhật ký bảo trì'!$Q$6:$Q$405,"Hoàn thành",'Nhật ký bảo trì'!$B$6:$B$405,"&gt;="&amp;P$5,'Nhật ký bảo trì'!$B$6:$B$405,"&lt;="&amp;EOMONTH(P$5,0))&gt;0,"✔",IF(((EOMONTH(P$5,0)&gt;='Kế hoạch định kỳ'!$W101)*(INT((EOMONTH(P$5,0)-'Kế hoạch định kỳ'!$W101)/'Kế hoạch định kỳ'!$X101)+1)-(P$5-1&gt;='Kế hoạch định kỳ'!$W101)*(INT((P$5-1-'Kế hoạch định kỳ'!$W101)/'Kế hoạch định kỳ'!$X101)+1))&gt;0,IF(EOMONTH(P$5,0)&lt;'Tổng quan'!$B$11,"✖","○"),"")))</f>
        <v/>
      </c>
      <c r="Q101" s="30" t="str">
        <f>IF($A101="","",COUNTIFS('Nhật ký bảo trì'!$D$6:$D$405,$A101,'Nhật ký bảo trì'!$Q$6:$Q$405,"Hoàn thành",'Nhật ký bảo trì'!$B$6:$B$405,"&gt;="&amp;DATE('Tổng quan'!$B$6,1,1),'Nhật ký bảo trì'!$B$6:$B$405,"&lt;="&amp;DATE('Tổng quan'!$B$6,12,31)))</f>
        <v/>
      </c>
      <c r="R101" s="30" t="str">
        <f t="shared" si="1"/>
        <v/>
      </c>
    </row>
    <row r="102" ht="24.0" customHeight="1">
      <c r="A102" s="10" t="str">
        <f>IF('Kế hoạch định kỳ'!$B102="","",'Kế hoạch định kỳ'!$B102)</f>
        <v/>
      </c>
      <c r="B102" s="14" t="str">
        <f>IF('Kế hoạch định kỳ'!$B102="","",'Kế hoạch định kỳ'!$D102)</f>
        <v/>
      </c>
      <c r="C102" s="18" t="str">
        <f>IF('Kế hoạch định kỳ'!$B102="","",'Kế hoạch định kỳ'!$F102)</f>
        <v/>
      </c>
      <c r="D102" s="10" t="str">
        <f>IF('Kế hoạch định kỳ'!$B102="","",IF('Kế hoạch định kỳ'!$I102&lt;&gt;"",'Kế hoạch định kỳ'!$I102&amp;" ngày",'Kế hoạch định kỳ'!$H102))</f>
        <v/>
      </c>
      <c r="E102" s="24" t="str">
        <f>IF($A102="","",IF(COUNTIFS('Nhật ký bảo trì'!$D$6:$D$405,$A102,'Nhật ký bảo trì'!$Q$6:$Q$405,"Hoàn thành",'Nhật ký bảo trì'!$B$6:$B$405,"&gt;="&amp;E$5,'Nhật ký bảo trì'!$B$6:$B$405,"&lt;="&amp;EOMONTH(E$5,0))&gt;0,"✔",IF(((EOMONTH(E$5,0)&gt;='Kế hoạch định kỳ'!$W102)*(INT((EOMONTH(E$5,0)-'Kế hoạch định kỳ'!$W102)/'Kế hoạch định kỳ'!$X102)+1)-(E$5-1&gt;='Kế hoạch định kỳ'!$W102)*(INT((E$5-1-'Kế hoạch định kỳ'!$W102)/'Kế hoạch định kỳ'!$X102)+1))&gt;0,IF(EOMONTH(E$5,0)&lt;'Tổng quan'!$B$11,"✖","○"),"")))</f>
        <v/>
      </c>
      <c r="F102" s="24" t="str">
        <f>IF($A102="","",IF(COUNTIFS('Nhật ký bảo trì'!$D$6:$D$405,$A102,'Nhật ký bảo trì'!$Q$6:$Q$405,"Hoàn thành",'Nhật ký bảo trì'!$B$6:$B$405,"&gt;="&amp;F$5,'Nhật ký bảo trì'!$B$6:$B$405,"&lt;="&amp;EOMONTH(F$5,0))&gt;0,"✔",IF(((EOMONTH(F$5,0)&gt;='Kế hoạch định kỳ'!$W102)*(INT((EOMONTH(F$5,0)-'Kế hoạch định kỳ'!$W102)/'Kế hoạch định kỳ'!$X102)+1)-(F$5-1&gt;='Kế hoạch định kỳ'!$W102)*(INT((F$5-1-'Kế hoạch định kỳ'!$W102)/'Kế hoạch định kỳ'!$X102)+1))&gt;0,IF(EOMONTH(F$5,0)&lt;'Tổng quan'!$B$11,"✖","○"),"")))</f>
        <v/>
      </c>
      <c r="G102" s="24" t="str">
        <f>IF($A102="","",IF(COUNTIFS('Nhật ký bảo trì'!$D$6:$D$405,$A102,'Nhật ký bảo trì'!$Q$6:$Q$405,"Hoàn thành",'Nhật ký bảo trì'!$B$6:$B$405,"&gt;="&amp;G$5,'Nhật ký bảo trì'!$B$6:$B$405,"&lt;="&amp;EOMONTH(G$5,0))&gt;0,"✔",IF(((EOMONTH(G$5,0)&gt;='Kế hoạch định kỳ'!$W102)*(INT((EOMONTH(G$5,0)-'Kế hoạch định kỳ'!$W102)/'Kế hoạch định kỳ'!$X102)+1)-(G$5-1&gt;='Kế hoạch định kỳ'!$W102)*(INT((G$5-1-'Kế hoạch định kỳ'!$W102)/'Kế hoạch định kỳ'!$X102)+1))&gt;0,IF(EOMONTH(G$5,0)&lt;'Tổng quan'!$B$11,"✖","○"),"")))</f>
        <v/>
      </c>
      <c r="H102" s="24" t="str">
        <f>IF($A102="","",IF(COUNTIFS('Nhật ký bảo trì'!$D$6:$D$405,$A102,'Nhật ký bảo trì'!$Q$6:$Q$405,"Hoàn thành",'Nhật ký bảo trì'!$B$6:$B$405,"&gt;="&amp;H$5,'Nhật ký bảo trì'!$B$6:$B$405,"&lt;="&amp;EOMONTH(H$5,0))&gt;0,"✔",IF(((EOMONTH(H$5,0)&gt;='Kế hoạch định kỳ'!$W102)*(INT((EOMONTH(H$5,0)-'Kế hoạch định kỳ'!$W102)/'Kế hoạch định kỳ'!$X102)+1)-(H$5-1&gt;='Kế hoạch định kỳ'!$W102)*(INT((H$5-1-'Kế hoạch định kỳ'!$W102)/'Kế hoạch định kỳ'!$X102)+1))&gt;0,IF(EOMONTH(H$5,0)&lt;'Tổng quan'!$B$11,"✖","○"),"")))</f>
        <v/>
      </c>
      <c r="I102" s="24" t="str">
        <f>IF($A102="","",IF(COUNTIFS('Nhật ký bảo trì'!$D$6:$D$405,$A102,'Nhật ký bảo trì'!$Q$6:$Q$405,"Hoàn thành",'Nhật ký bảo trì'!$B$6:$B$405,"&gt;="&amp;I$5,'Nhật ký bảo trì'!$B$6:$B$405,"&lt;="&amp;EOMONTH(I$5,0))&gt;0,"✔",IF(((EOMONTH(I$5,0)&gt;='Kế hoạch định kỳ'!$W102)*(INT((EOMONTH(I$5,0)-'Kế hoạch định kỳ'!$W102)/'Kế hoạch định kỳ'!$X102)+1)-(I$5-1&gt;='Kế hoạch định kỳ'!$W102)*(INT((I$5-1-'Kế hoạch định kỳ'!$W102)/'Kế hoạch định kỳ'!$X102)+1))&gt;0,IF(EOMONTH(I$5,0)&lt;'Tổng quan'!$B$11,"✖","○"),"")))</f>
        <v/>
      </c>
      <c r="J102" s="24" t="str">
        <f>IF($A102="","",IF(COUNTIFS('Nhật ký bảo trì'!$D$6:$D$405,$A102,'Nhật ký bảo trì'!$Q$6:$Q$405,"Hoàn thành",'Nhật ký bảo trì'!$B$6:$B$405,"&gt;="&amp;J$5,'Nhật ký bảo trì'!$B$6:$B$405,"&lt;="&amp;EOMONTH(J$5,0))&gt;0,"✔",IF(((EOMONTH(J$5,0)&gt;='Kế hoạch định kỳ'!$W102)*(INT((EOMONTH(J$5,0)-'Kế hoạch định kỳ'!$W102)/'Kế hoạch định kỳ'!$X102)+1)-(J$5-1&gt;='Kế hoạch định kỳ'!$W102)*(INT((J$5-1-'Kế hoạch định kỳ'!$W102)/'Kế hoạch định kỳ'!$X102)+1))&gt;0,IF(EOMONTH(J$5,0)&lt;'Tổng quan'!$B$11,"✖","○"),"")))</f>
        <v/>
      </c>
      <c r="K102" s="24" t="str">
        <f>IF($A102="","",IF(COUNTIFS('Nhật ký bảo trì'!$D$6:$D$405,$A102,'Nhật ký bảo trì'!$Q$6:$Q$405,"Hoàn thành",'Nhật ký bảo trì'!$B$6:$B$405,"&gt;="&amp;K$5,'Nhật ký bảo trì'!$B$6:$B$405,"&lt;="&amp;EOMONTH(K$5,0))&gt;0,"✔",IF(((EOMONTH(K$5,0)&gt;='Kế hoạch định kỳ'!$W102)*(INT((EOMONTH(K$5,0)-'Kế hoạch định kỳ'!$W102)/'Kế hoạch định kỳ'!$X102)+1)-(K$5-1&gt;='Kế hoạch định kỳ'!$W102)*(INT((K$5-1-'Kế hoạch định kỳ'!$W102)/'Kế hoạch định kỳ'!$X102)+1))&gt;0,IF(EOMONTH(K$5,0)&lt;'Tổng quan'!$B$11,"✖","○"),"")))</f>
        <v/>
      </c>
      <c r="L102" s="24" t="str">
        <f>IF($A102="","",IF(COUNTIFS('Nhật ký bảo trì'!$D$6:$D$405,$A102,'Nhật ký bảo trì'!$Q$6:$Q$405,"Hoàn thành",'Nhật ký bảo trì'!$B$6:$B$405,"&gt;="&amp;L$5,'Nhật ký bảo trì'!$B$6:$B$405,"&lt;="&amp;EOMONTH(L$5,0))&gt;0,"✔",IF(((EOMONTH(L$5,0)&gt;='Kế hoạch định kỳ'!$W102)*(INT((EOMONTH(L$5,0)-'Kế hoạch định kỳ'!$W102)/'Kế hoạch định kỳ'!$X102)+1)-(L$5-1&gt;='Kế hoạch định kỳ'!$W102)*(INT((L$5-1-'Kế hoạch định kỳ'!$W102)/'Kế hoạch định kỳ'!$X102)+1))&gt;0,IF(EOMONTH(L$5,0)&lt;'Tổng quan'!$B$11,"✖","○"),"")))</f>
        <v/>
      </c>
      <c r="M102" s="24" t="str">
        <f>IF($A102="","",IF(COUNTIFS('Nhật ký bảo trì'!$D$6:$D$405,$A102,'Nhật ký bảo trì'!$Q$6:$Q$405,"Hoàn thành",'Nhật ký bảo trì'!$B$6:$B$405,"&gt;="&amp;M$5,'Nhật ký bảo trì'!$B$6:$B$405,"&lt;="&amp;EOMONTH(M$5,0))&gt;0,"✔",IF(((EOMONTH(M$5,0)&gt;='Kế hoạch định kỳ'!$W102)*(INT((EOMONTH(M$5,0)-'Kế hoạch định kỳ'!$W102)/'Kế hoạch định kỳ'!$X102)+1)-(M$5-1&gt;='Kế hoạch định kỳ'!$W102)*(INT((M$5-1-'Kế hoạch định kỳ'!$W102)/'Kế hoạch định kỳ'!$X102)+1))&gt;0,IF(EOMONTH(M$5,0)&lt;'Tổng quan'!$B$11,"✖","○"),"")))</f>
        <v/>
      </c>
      <c r="N102" s="24" t="str">
        <f>IF($A102="","",IF(COUNTIFS('Nhật ký bảo trì'!$D$6:$D$405,$A102,'Nhật ký bảo trì'!$Q$6:$Q$405,"Hoàn thành",'Nhật ký bảo trì'!$B$6:$B$405,"&gt;="&amp;N$5,'Nhật ký bảo trì'!$B$6:$B$405,"&lt;="&amp;EOMONTH(N$5,0))&gt;0,"✔",IF(((EOMONTH(N$5,0)&gt;='Kế hoạch định kỳ'!$W102)*(INT((EOMONTH(N$5,0)-'Kế hoạch định kỳ'!$W102)/'Kế hoạch định kỳ'!$X102)+1)-(N$5-1&gt;='Kế hoạch định kỳ'!$W102)*(INT((N$5-1-'Kế hoạch định kỳ'!$W102)/'Kế hoạch định kỳ'!$X102)+1))&gt;0,IF(EOMONTH(N$5,0)&lt;'Tổng quan'!$B$11,"✖","○"),"")))</f>
        <v/>
      </c>
      <c r="O102" s="24" t="str">
        <f>IF($A102="","",IF(COUNTIFS('Nhật ký bảo trì'!$D$6:$D$405,$A102,'Nhật ký bảo trì'!$Q$6:$Q$405,"Hoàn thành",'Nhật ký bảo trì'!$B$6:$B$405,"&gt;="&amp;O$5,'Nhật ký bảo trì'!$B$6:$B$405,"&lt;="&amp;EOMONTH(O$5,0))&gt;0,"✔",IF(((EOMONTH(O$5,0)&gt;='Kế hoạch định kỳ'!$W102)*(INT((EOMONTH(O$5,0)-'Kế hoạch định kỳ'!$W102)/'Kế hoạch định kỳ'!$X102)+1)-(O$5-1&gt;='Kế hoạch định kỳ'!$W102)*(INT((O$5-1-'Kế hoạch định kỳ'!$W102)/'Kế hoạch định kỳ'!$X102)+1))&gt;0,IF(EOMONTH(O$5,0)&lt;'Tổng quan'!$B$11,"✖","○"),"")))</f>
        <v/>
      </c>
      <c r="P102" s="24" t="str">
        <f>IF($A102="","",IF(COUNTIFS('Nhật ký bảo trì'!$D$6:$D$405,$A102,'Nhật ký bảo trì'!$Q$6:$Q$405,"Hoàn thành",'Nhật ký bảo trì'!$B$6:$B$405,"&gt;="&amp;P$5,'Nhật ký bảo trì'!$B$6:$B$405,"&lt;="&amp;EOMONTH(P$5,0))&gt;0,"✔",IF(((EOMONTH(P$5,0)&gt;='Kế hoạch định kỳ'!$W102)*(INT((EOMONTH(P$5,0)-'Kế hoạch định kỳ'!$W102)/'Kế hoạch định kỳ'!$X102)+1)-(P$5-1&gt;='Kế hoạch định kỳ'!$W102)*(INT((P$5-1-'Kế hoạch định kỳ'!$W102)/'Kế hoạch định kỳ'!$X102)+1))&gt;0,IF(EOMONTH(P$5,0)&lt;'Tổng quan'!$B$11,"✖","○"),"")))</f>
        <v/>
      </c>
      <c r="Q102" s="16" t="str">
        <f>IF($A102="","",COUNTIFS('Nhật ký bảo trì'!$D$6:$D$405,$A102,'Nhật ký bảo trì'!$Q$6:$Q$405,"Hoàn thành",'Nhật ký bảo trì'!$B$6:$B$405,"&gt;="&amp;DATE('Tổng quan'!$B$6,1,1),'Nhật ký bảo trì'!$B$6:$B$405,"&lt;="&amp;DATE('Tổng quan'!$B$6,12,31)))</f>
        <v/>
      </c>
      <c r="R102" s="16" t="str">
        <f t="shared" si="1"/>
        <v/>
      </c>
    </row>
    <row r="103" ht="24.0" customHeight="1">
      <c r="A103" s="26" t="str">
        <f>IF('Kế hoạch định kỳ'!$B103="","",'Kế hoạch định kỳ'!$B103)</f>
        <v/>
      </c>
      <c r="B103" s="28" t="str">
        <f>IF('Kế hoạch định kỳ'!$B103="","",'Kế hoạch định kỳ'!$D103)</f>
        <v/>
      </c>
      <c r="C103" s="56" t="str">
        <f>IF('Kế hoạch định kỳ'!$B103="","",'Kế hoạch định kỳ'!$F103)</f>
        <v/>
      </c>
      <c r="D103" s="26" t="str">
        <f>IF('Kế hoạch định kỳ'!$B103="","",IF('Kế hoạch định kỳ'!$I103&lt;&gt;"",'Kế hoạch định kỳ'!$I103&amp;" ngày",'Kế hoạch định kỳ'!$H103))</f>
        <v/>
      </c>
      <c r="E103" s="61" t="str">
        <f>IF($A103="","",IF(COUNTIFS('Nhật ký bảo trì'!$D$6:$D$405,$A103,'Nhật ký bảo trì'!$Q$6:$Q$405,"Hoàn thành",'Nhật ký bảo trì'!$B$6:$B$405,"&gt;="&amp;E$5,'Nhật ký bảo trì'!$B$6:$B$405,"&lt;="&amp;EOMONTH(E$5,0))&gt;0,"✔",IF(((EOMONTH(E$5,0)&gt;='Kế hoạch định kỳ'!$W103)*(INT((EOMONTH(E$5,0)-'Kế hoạch định kỳ'!$W103)/'Kế hoạch định kỳ'!$X103)+1)-(E$5-1&gt;='Kế hoạch định kỳ'!$W103)*(INT((E$5-1-'Kế hoạch định kỳ'!$W103)/'Kế hoạch định kỳ'!$X103)+1))&gt;0,IF(EOMONTH(E$5,0)&lt;'Tổng quan'!$B$11,"✖","○"),"")))</f>
        <v/>
      </c>
      <c r="F103" s="61" t="str">
        <f>IF($A103="","",IF(COUNTIFS('Nhật ký bảo trì'!$D$6:$D$405,$A103,'Nhật ký bảo trì'!$Q$6:$Q$405,"Hoàn thành",'Nhật ký bảo trì'!$B$6:$B$405,"&gt;="&amp;F$5,'Nhật ký bảo trì'!$B$6:$B$405,"&lt;="&amp;EOMONTH(F$5,0))&gt;0,"✔",IF(((EOMONTH(F$5,0)&gt;='Kế hoạch định kỳ'!$W103)*(INT((EOMONTH(F$5,0)-'Kế hoạch định kỳ'!$W103)/'Kế hoạch định kỳ'!$X103)+1)-(F$5-1&gt;='Kế hoạch định kỳ'!$W103)*(INT((F$5-1-'Kế hoạch định kỳ'!$W103)/'Kế hoạch định kỳ'!$X103)+1))&gt;0,IF(EOMONTH(F$5,0)&lt;'Tổng quan'!$B$11,"✖","○"),"")))</f>
        <v/>
      </c>
      <c r="G103" s="61" t="str">
        <f>IF($A103="","",IF(COUNTIFS('Nhật ký bảo trì'!$D$6:$D$405,$A103,'Nhật ký bảo trì'!$Q$6:$Q$405,"Hoàn thành",'Nhật ký bảo trì'!$B$6:$B$405,"&gt;="&amp;G$5,'Nhật ký bảo trì'!$B$6:$B$405,"&lt;="&amp;EOMONTH(G$5,0))&gt;0,"✔",IF(((EOMONTH(G$5,0)&gt;='Kế hoạch định kỳ'!$W103)*(INT((EOMONTH(G$5,0)-'Kế hoạch định kỳ'!$W103)/'Kế hoạch định kỳ'!$X103)+1)-(G$5-1&gt;='Kế hoạch định kỳ'!$W103)*(INT((G$5-1-'Kế hoạch định kỳ'!$W103)/'Kế hoạch định kỳ'!$X103)+1))&gt;0,IF(EOMONTH(G$5,0)&lt;'Tổng quan'!$B$11,"✖","○"),"")))</f>
        <v/>
      </c>
      <c r="H103" s="61" t="str">
        <f>IF($A103="","",IF(COUNTIFS('Nhật ký bảo trì'!$D$6:$D$405,$A103,'Nhật ký bảo trì'!$Q$6:$Q$405,"Hoàn thành",'Nhật ký bảo trì'!$B$6:$B$405,"&gt;="&amp;H$5,'Nhật ký bảo trì'!$B$6:$B$405,"&lt;="&amp;EOMONTH(H$5,0))&gt;0,"✔",IF(((EOMONTH(H$5,0)&gt;='Kế hoạch định kỳ'!$W103)*(INT((EOMONTH(H$5,0)-'Kế hoạch định kỳ'!$W103)/'Kế hoạch định kỳ'!$X103)+1)-(H$5-1&gt;='Kế hoạch định kỳ'!$W103)*(INT((H$5-1-'Kế hoạch định kỳ'!$W103)/'Kế hoạch định kỳ'!$X103)+1))&gt;0,IF(EOMONTH(H$5,0)&lt;'Tổng quan'!$B$11,"✖","○"),"")))</f>
        <v/>
      </c>
      <c r="I103" s="61" t="str">
        <f>IF($A103="","",IF(COUNTIFS('Nhật ký bảo trì'!$D$6:$D$405,$A103,'Nhật ký bảo trì'!$Q$6:$Q$405,"Hoàn thành",'Nhật ký bảo trì'!$B$6:$B$405,"&gt;="&amp;I$5,'Nhật ký bảo trì'!$B$6:$B$405,"&lt;="&amp;EOMONTH(I$5,0))&gt;0,"✔",IF(((EOMONTH(I$5,0)&gt;='Kế hoạch định kỳ'!$W103)*(INT((EOMONTH(I$5,0)-'Kế hoạch định kỳ'!$W103)/'Kế hoạch định kỳ'!$X103)+1)-(I$5-1&gt;='Kế hoạch định kỳ'!$W103)*(INT((I$5-1-'Kế hoạch định kỳ'!$W103)/'Kế hoạch định kỳ'!$X103)+1))&gt;0,IF(EOMONTH(I$5,0)&lt;'Tổng quan'!$B$11,"✖","○"),"")))</f>
        <v/>
      </c>
      <c r="J103" s="61" t="str">
        <f>IF($A103="","",IF(COUNTIFS('Nhật ký bảo trì'!$D$6:$D$405,$A103,'Nhật ký bảo trì'!$Q$6:$Q$405,"Hoàn thành",'Nhật ký bảo trì'!$B$6:$B$405,"&gt;="&amp;J$5,'Nhật ký bảo trì'!$B$6:$B$405,"&lt;="&amp;EOMONTH(J$5,0))&gt;0,"✔",IF(((EOMONTH(J$5,0)&gt;='Kế hoạch định kỳ'!$W103)*(INT((EOMONTH(J$5,0)-'Kế hoạch định kỳ'!$W103)/'Kế hoạch định kỳ'!$X103)+1)-(J$5-1&gt;='Kế hoạch định kỳ'!$W103)*(INT((J$5-1-'Kế hoạch định kỳ'!$W103)/'Kế hoạch định kỳ'!$X103)+1))&gt;0,IF(EOMONTH(J$5,0)&lt;'Tổng quan'!$B$11,"✖","○"),"")))</f>
        <v/>
      </c>
      <c r="K103" s="61" t="str">
        <f>IF($A103="","",IF(COUNTIFS('Nhật ký bảo trì'!$D$6:$D$405,$A103,'Nhật ký bảo trì'!$Q$6:$Q$405,"Hoàn thành",'Nhật ký bảo trì'!$B$6:$B$405,"&gt;="&amp;K$5,'Nhật ký bảo trì'!$B$6:$B$405,"&lt;="&amp;EOMONTH(K$5,0))&gt;0,"✔",IF(((EOMONTH(K$5,0)&gt;='Kế hoạch định kỳ'!$W103)*(INT((EOMONTH(K$5,0)-'Kế hoạch định kỳ'!$W103)/'Kế hoạch định kỳ'!$X103)+1)-(K$5-1&gt;='Kế hoạch định kỳ'!$W103)*(INT((K$5-1-'Kế hoạch định kỳ'!$W103)/'Kế hoạch định kỳ'!$X103)+1))&gt;0,IF(EOMONTH(K$5,0)&lt;'Tổng quan'!$B$11,"✖","○"),"")))</f>
        <v/>
      </c>
      <c r="L103" s="61" t="str">
        <f>IF($A103="","",IF(COUNTIFS('Nhật ký bảo trì'!$D$6:$D$405,$A103,'Nhật ký bảo trì'!$Q$6:$Q$405,"Hoàn thành",'Nhật ký bảo trì'!$B$6:$B$405,"&gt;="&amp;L$5,'Nhật ký bảo trì'!$B$6:$B$405,"&lt;="&amp;EOMONTH(L$5,0))&gt;0,"✔",IF(((EOMONTH(L$5,0)&gt;='Kế hoạch định kỳ'!$W103)*(INT((EOMONTH(L$5,0)-'Kế hoạch định kỳ'!$W103)/'Kế hoạch định kỳ'!$X103)+1)-(L$5-1&gt;='Kế hoạch định kỳ'!$W103)*(INT((L$5-1-'Kế hoạch định kỳ'!$W103)/'Kế hoạch định kỳ'!$X103)+1))&gt;0,IF(EOMONTH(L$5,0)&lt;'Tổng quan'!$B$11,"✖","○"),"")))</f>
        <v/>
      </c>
      <c r="M103" s="61" t="str">
        <f>IF($A103="","",IF(COUNTIFS('Nhật ký bảo trì'!$D$6:$D$405,$A103,'Nhật ký bảo trì'!$Q$6:$Q$405,"Hoàn thành",'Nhật ký bảo trì'!$B$6:$B$405,"&gt;="&amp;M$5,'Nhật ký bảo trì'!$B$6:$B$405,"&lt;="&amp;EOMONTH(M$5,0))&gt;0,"✔",IF(((EOMONTH(M$5,0)&gt;='Kế hoạch định kỳ'!$W103)*(INT((EOMONTH(M$5,0)-'Kế hoạch định kỳ'!$W103)/'Kế hoạch định kỳ'!$X103)+1)-(M$5-1&gt;='Kế hoạch định kỳ'!$W103)*(INT((M$5-1-'Kế hoạch định kỳ'!$W103)/'Kế hoạch định kỳ'!$X103)+1))&gt;0,IF(EOMONTH(M$5,0)&lt;'Tổng quan'!$B$11,"✖","○"),"")))</f>
        <v/>
      </c>
      <c r="N103" s="61" t="str">
        <f>IF($A103="","",IF(COUNTIFS('Nhật ký bảo trì'!$D$6:$D$405,$A103,'Nhật ký bảo trì'!$Q$6:$Q$405,"Hoàn thành",'Nhật ký bảo trì'!$B$6:$B$405,"&gt;="&amp;N$5,'Nhật ký bảo trì'!$B$6:$B$405,"&lt;="&amp;EOMONTH(N$5,0))&gt;0,"✔",IF(((EOMONTH(N$5,0)&gt;='Kế hoạch định kỳ'!$W103)*(INT((EOMONTH(N$5,0)-'Kế hoạch định kỳ'!$W103)/'Kế hoạch định kỳ'!$X103)+1)-(N$5-1&gt;='Kế hoạch định kỳ'!$W103)*(INT((N$5-1-'Kế hoạch định kỳ'!$W103)/'Kế hoạch định kỳ'!$X103)+1))&gt;0,IF(EOMONTH(N$5,0)&lt;'Tổng quan'!$B$11,"✖","○"),"")))</f>
        <v/>
      </c>
      <c r="O103" s="61" t="str">
        <f>IF($A103="","",IF(COUNTIFS('Nhật ký bảo trì'!$D$6:$D$405,$A103,'Nhật ký bảo trì'!$Q$6:$Q$405,"Hoàn thành",'Nhật ký bảo trì'!$B$6:$B$405,"&gt;="&amp;O$5,'Nhật ký bảo trì'!$B$6:$B$405,"&lt;="&amp;EOMONTH(O$5,0))&gt;0,"✔",IF(((EOMONTH(O$5,0)&gt;='Kế hoạch định kỳ'!$W103)*(INT((EOMONTH(O$5,0)-'Kế hoạch định kỳ'!$W103)/'Kế hoạch định kỳ'!$X103)+1)-(O$5-1&gt;='Kế hoạch định kỳ'!$W103)*(INT((O$5-1-'Kế hoạch định kỳ'!$W103)/'Kế hoạch định kỳ'!$X103)+1))&gt;0,IF(EOMONTH(O$5,0)&lt;'Tổng quan'!$B$11,"✖","○"),"")))</f>
        <v/>
      </c>
      <c r="P103" s="61" t="str">
        <f>IF($A103="","",IF(COUNTIFS('Nhật ký bảo trì'!$D$6:$D$405,$A103,'Nhật ký bảo trì'!$Q$6:$Q$405,"Hoàn thành",'Nhật ký bảo trì'!$B$6:$B$405,"&gt;="&amp;P$5,'Nhật ký bảo trì'!$B$6:$B$405,"&lt;="&amp;EOMONTH(P$5,0))&gt;0,"✔",IF(((EOMONTH(P$5,0)&gt;='Kế hoạch định kỳ'!$W103)*(INT((EOMONTH(P$5,0)-'Kế hoạch định kỳ'!$W103)/'Kế hoạch định kỳ'!$X103)+1)-(P$5-1&gt;='Kế hoạch định kỳ'!$W103)*(INT((P$5-1-'Kế hoạch định kỳ'!$W103)/'Kế hoạch định kỳ'!$X103)+1))&gt;0,IF(EOMONTH(P$5,0)&lt;'Tổng quan'!$B$11,"✖","○"),"")))</f>
        <v/>
      </c>
      <c r="Q103" s="30" t="str">
        <f>IF($A103="","",COUNTIFS('Nhật ký bảo trì'!$D$6:$D$405,$A103,'Nhật ký bảo trì'!$Q$6:$Q$405,"Hoàn thành",'Nhật ký bảo trì'!$B$6:$B$405,"&gt;="&amp;DATE('Tổng quan'!$B$6,1,1),'Nhật ký bảo trì'!$B$6:$B$405,"&lt;="&amp;DATE('Tổng quan'!$B$6,12,31)))</f>
        <v/>
      </c>
      <c r="R103" s="30" t="str">
        <f t="shared" si="1"/>
        <v/>
      </c>
    </row>
    <row r="104" ht="24.0" customHeight="1">
      <c r="A104" s="10" t="str">
        <f>IF('Kế hoạch định kỳ'!$B104="","",'Kế hoạch định kỳ'!$B104)</f>
        <v/>
      </c>
      <c r="B104" s="14" t="str">
        <f>IF('Kế hoạch định kỳ'!$B104="","",'Kế hoạch định kỳ'!$D104)</f>
        <v/>
      </c>
      <c r="C104" s="18" t="str">
        <f>IF('Kế hoạch định kỳ'!$B104="","",'Kế hoạch định kỳ'!$F104)</f>
        <v/>
      </c>
      <c r="D104" s="10" t="str">
        <f>IF('Kế hoạch định kỳ'!$B104="","",IF('Kế hoạch định kỳ'!$I104&lt;&gt;"",'Kế hoạch định kỳ'!$I104&amp;" ngày",'Kế hoạch định kỳ'!$H104))</f>
        <v/>
      </c>
      <c r="E104" s="24" t="str">
        <f>IF($A104="","",IF(COUNTIFS('Nhật ký bảo trì'!$D$6:$D$405,$A104,'Nhật ký bảo trì'!$Q$6:$Q$405,"Hoàn thành",'Nhật ký bảo trì'!$B$6:$B$405,"&gt;="&amp;E$5,'Nhật ký bảo trì'!$B$6:$B$405,"&lt;="&amp;EOMONTH(E$5,0))&gt;0,"✔",IF(((EOMONTH(E$5,0)&gt;='Kế hoạch định kỳ'!$W104)*(INT((EOMONTH(E$5,0)-'Kế hoạch định kỳ'!$W104)/'Kế hoạch định kỳ'!$X104)+1)-(E$5-1&gt;='Kế hoạch định kỳ'!$W104)*(INT((E$5-1-'Kế hoạch định kỳ'!$W104)/'Kế hoạch định kỳ'!$X104)+1))&gt;0,IF(EOMONTH(E$5,0)&lt;'Tổng quan'!$B$11,"✖","○"),"")))</f>
        <v/>
      </c>
      <c r="F104" s="24" t="str">
        <f>IF($A104="","",IF(COUNTIFS('Nhật ký bảo trì'!$D$6:$D$405,$A104,'Nhật ký bảo trì'!$Q$6:$Q$405,"Hoàn thành",'Nhật ký bảo trì'!$B$6:$B$405,"&gt;="&amp;F$5,'Nhật ký bảo trì'!$B$6:$B$405,"&lt;="&amp;EOMONTH(F$5,0))&gt;0,"✔",IF(((EOMONTH(F$5,0)&gt;='Kế hoạch định kỳ'!$W104)*(INT((EOMONTH(F$5,0)-'Kế hoạch định kỳ'!$W104)/'Kế hoạch định kỳ'!$X104)+1)-(F$5-1&gt;='Kế hoạch định kỳ'!$W104)*(INT((F$5-1-'Kế hoạch định kỳ'!$W104)/'Kế hoạch định kỳ'!$X104)+1))&gt;0,IF(EOMONTH(F$5,0)&lt;'Tổng quan'!$B$11,"✖","○"),"")))</f>
        <v/>
      </c>
      <c r="G104" s="24" t="str">
        <f>IF($A104="","",IF(COUNTIFS('Nhật ký bảo trì'!$D$6:$D$405,$A104,'Nhật ký bảo trì'!$Q$6:$Q$405,"Hoàn thành",'Nhật ký bảo trì'!$B$6:$B$405,"&gt;="&amp;G$5,'Nhật ký bảo trì'!$B$6:$B$405,"&lt;="&amp;EOMONTH(G$5,0))&gt;0,"✔",IF(((EOMONTH(G$5,0)&gt;='Kế hoạch định kỳ'!$W104)*(INT((EOMONTH(G$5,0)-'Kế hoạch định kỳ'!$W104)/'Kế hoạch định kỳ'!$X104)+1)-(G$5-1&gt;='Kế hoạch định kỳ'!$W104)*(INT((G$5-1-'Kế hoạch định kỳ'!$W104)/'Kế hoạch định kỳ'!$X104)+1))&gt;0,IF(EOMONTH(G$5,0)&lt;'Tổng quan'!$B$11,"✖","○"),"")))</f>
        <v/>
      </c>
      <c r="H104" s="24" t="str">
        <f>IF($A104="","",IF(COUNTIFS('Nhật ký bảo trì'!$D$6:$D$405,$A104,'Nhật ký bảo trì'!$Q$6:$Q$405,"Hoàn thành",'Nhật ký bảo trì'!$B$6:$B$405,"&gt;="&amp;H$5,'Nhật ký bảo trì'!$B$6:$B$405,"&lt;="&amp;EOMONTH(H$5,0))&gt;0,"✔",IF(((EOMONTH(H$5,0)&gt;='Kế hoạch định kỳ'!$W104)*(INT((EOMONTH(H$5,0)-'Kế hoạch định kỳ'!$W104)/'Kế hoạch định kỳ'!$X104)+1)-(H$5-1&gt;='Kế hoạch định kỳ'!$W104)*(INT((H$5-1-'Kế hoạch định kỳ'!$W104)/'Kế hoạch định kỳ'!$X104)+1))&gt;0,IF(EOMONTH(H$5,0)&lt;'Tổng quan'!$B$11,"✖","○"),"")))</f>
        <v/>
      </c>
      <c r="I104" s="24" t="str">
        <f>IF($A104="","",IF(COUNTIFS('Nhật ký bảo trì'!$D$6:$D$405,$A104,'Nhật ký bảo trì'!$Q$6:$Q$405,"Hoàn thành",'Nhật ký bảo trì'!$B$6:$B$405,"&gt;="&amp;I$5,'Nhật ký bảo trì'!$B$6:$B$405,"&lt;="&amp;EOMONTH(I$5,0))&gt;0,"✔",IF(((EOMONTH(I$5,0)&gt;='Kế hoạch định kỳ'!$W104)*(INT((EOMONTH(I$5,0)-'Kế hoạch định kỳ'!$W104)/'Kế hoạch định kỳ'!$X104)+1)-(I$5-1&gt;='Kế hoạch định kỳ'!$W104)*(INT((I$5-1-'Kế hoạch định kỳ'!$W104)/'Kế hoạch định kỳ'!$X104)+1))&gt;0,IF(EOMONTH(I$5,0)&lt;'Tổng quan'!$B$11,"✖","○"),"")))</f>
        <v/>
      </c>
      <c r="J104" s="24" t="str">
        <f>IF($A104="","",IF(COUNTIFS('Nhật ký bảo trì'!$D$6:$D$405,$A104,'Nhật ký bảo trì'!$Q$6:$Q$405,"Hoàn thành",'Nhật ký bảo trì'!$B$6:$B$405,"&gt;="&amp;J$5,'Nhật ký bảo trì'!$B$6:$B$405,"&lt;="&amp;EOMONTH(J$5,0))&gt;0,"✔",IF(((EOMONTH(J$5,0)&gt;='Kế hoạch định kỳ'!$W104)*(INT((EOMONTH(J$5,0)-'Kế hoạch định kỳ'!$W104)/'Kế hoạch định kỳ'!$X104)+1)-(J$5-1&gt;='Kế hoạch định kỳ'!$W104)*(INT((J$5-1-'Kế hoạch định kỳ'!$W104)/'Kế hoạch định kỳ'!$X104)+1))&gt;0,IF(EOMONTH(J$5,0)&lt;'Tổng quan'!$B$11,"✖","○"),"")))</f>
        <v/>
      </c>
      <c r="K104" s="24" t="str">
        <f>IF($A104="","",IF(COUNTIFS('Nhật ký bảo trì'!$D$6:$D$405,$A104,'Nhật ký bảo trì'!$Q$6:$Q$405,"Hoàn thành",'Nhật ký bảo trì'!$B$6:$B$405,"&gt;="&amp;K$5,'Nhật ký bảo trì'!$B$6:$B$405,"&lt;="&amp;EOMONTH(K$5,0))&gt;0,"✔",IF(((EOMONTH(K$5,0)&gt;='Kế hoạch định kỳ'!$W104)*(INT((EOMONTH(K$5,0)-'Kế hoạch định kỳ'!$W104)/'Kế hoạch định kỳ'!$X104)+1)-(K$5-1&gt;='Kế hoạch định kỳ'!$W104)*(INT((K$5-1-'Kế hoạch định kỳ'!$W104)/'Kế hoạch định kỳ'!$X104)+1))&gt;0,IF(EOMONTH(K$5,0)&lt;'Tổng quan'!$B$11,"✖","○"),"")))</f>
        <v/>
      </c>
      <c r="L104" s="24" t="str">
        <f>IF($A104="","",IF(COUNTIFS('Nhật ký bảo trì'!$D$6:$D$405,$A104,'Nhật ký bảo trì'!$Q$6:$Q$405,"Hoàn thành",'Nhật ký bảo trì'!$B$6:$B$405,"&gt;="&amp;L$5,'Nhật ký bảo trì'!$B$6:$B$405,"&lt;="&amp;EOMONTH(L$5,0))&gt;0,"✔",IF(((EOMONTH(L$5,0)&gt;='Kế hoạch định kỳ'!$W104)*(INT((EOMONTH(L$5,0)-'Kế hoạch định kỳ'!$W104)/'Kế hoạch định kỳ'!$X104)+1)-(L$5-1&gt;='Kế hoạch định kỳ'!$W104)*(INT((L$5-1-'Kế hoạch định kỳ'!$W104)/'Kế hoạch định kỳ'!$X104)+1))&gt;0,IF(EOMONTH(L$5,0)&lt;'Tổng quan'!$B$11,"✖","○"),"")))</f>
        <v/>
      </c>
      <c r="M104" s="24" t="str">
        <f>IF($A104="","",IF(COUNTIFS('Nhật ký bảo trì'!$D$6:$D$405,$A104,'Nhật ký bảo trì'!$Q$6:$Q$405,"Hoàn thành",'Nhật ký bảo trì'!$B$6:$B$405,"&gt;="&amp;M$5,'Nhật ký bảo trì'!$B$6:$B$405,"&lt;="&amp;EOMONTH(M$5,0))&gt;0,"✔",IF(((EOMONTH(M$5,0)&gt;='Kế hoạch định kỳ'!$W104)*(INT((EOMONTH(M$5,0)-'Kế hoạch định kỳ'!$W104)/'Kế hoạch định kỳ'!$X104)+1)-(M$5-1&gt;='Kế hoạch định kỳ'!$W104)*(INT((M$5-1-'Kế hoạch định kỳ'!$W104)/'Kế hoạch định kỳ'!$X104)+1))&gt;0,IF(EOMONTH(M$5,0)&lt;'Tổng quan'!$B$11,"✖","○"),"")))</f>
        <v/>
      </c>
      <c r="N104" s="24" t="str">
        <f>IF($A104="","",IF(COUNTIFS('Nhật ký bảo trì'!$D$6:$D$405,$A104,'Nhật ký bảo trì'!$Q$6:$Q$405,"Hoàn thành",'Nhật ký bảo trì'!$B$6:$B$405,"&gt;="&amp;N$5,'Nhật ký bảo trì'!$B$6:$B$405,"&lt;="&amp;EOMONTH(N$5,0))&gt;0,"✔",IF(((EOMONTH(N$5,0)&gt;='Kế hoạch định kỳ'!$W104)*(INT((EOMONTH(N$5,0)-'Kế hoạch định kỳ'!$W104)/'Kế hoạch định kỳ'!$X104)+1)-(N$5-1&gt;='Kế hoạch định kỳ'!$W104)*(INT((N$5-1-'Kế hoạch định kỳ'!$W104)/'Kế hoạch định kỳ'!$X104)+1))&gt;0,IF(EOMONTH(N$5,0)&lt;'Tổng quan'!$B$11,"✖","○"),"")))</f>
        <v/>
      </c>
      <c r="O104" s="24" t="str">
        <f>IF($A104="","",IF(COUNTIFS('Nhật ký bảo trì'!$D$6:$D$405,$A104,'Nhật ký bảo trì'!$Q$6:$Q$405,"Hoàn thành",'Nhật ký bảo trì'!$B$6:$B$405,"&gt;="&amp;O$5,'Nhật ký bảo trì'!$B$6:$B$405,"&lt;="&amp;EOMONTH(O$5,0))&gt;0,"✔",IF(((EOMONTH(O$5,0)&gt;='Kế hoạch định kỳ'!$W104)*(INT((EOMONTH(O$5,0)-'Kế hoạch định kỳ'!$W104)/'Kế hoạch định kỳ'!$X104)+1)-(O$5-1&gt;='Kế hoạch định kỳ'!$W104)*(INT((O$5-1-'Kế hoạch định kỳ'!$W104)/'Kế hoạch định kỳ'!$X104)+1))&gt;0,IF(EOMONTH(O$5,0)&lt;'Tổng quan'!$B$11,"✖","○"),"")))</f>
        <v/>
      </c>
      <c r="P104" s="24" t="str">
        <f>IF($A104="","",IF(COUNTIFS('Nhật ký bảo trì'!$D$6:$D$405,$A104,'Nhật ký bảo trì'!$Q$6:$Q$405,"Hoàn thành",'Nhật ký bảo trì'!$B$6:$B$405,"&gt;="&amp;P$5,'Nhật ký bảo trì'!$B$6:$B$405,"&lt;="&amp;EOMONTH(P$5,0))&gt;0,"✔",IF(((EOMONTH(P$5,0)&gt;='Kế hoạch định kỳ'!$W104)*(INT((EOMONTH(P$5,0)-'Kế hoạch định kỳ'!$W104)/'Kế hoạch định kỳ'!$X104)+1)-(P$5-1&gt;='Kế hoạch định kỳ'!$W104)*(INT((P$5-1-'Kế hoạch định kỳ'!$W104)/'Kế hoạch định kỳ'!$X104)+1))&gt;0,IF(EOMONTH(P$5,0)&lt;'Tổng quan'!$B$11,"✖","○"),"")))</f>
        <v/>
      </c>
      <c r="Q104" s="16" t="str">
        <f>IF($A104="","",COUNTIFS('Nhật ký bảo trì'!$D$6:$D$405,$A104,'Nhật ký bảo trì'!$Q$6:$Q$405,"Hoàn thành",'Nhật ký bảo trì'!$B$6:$B$405,"&gt;="&amp;DATE('Tổng quan'!$B$6,1,1),'Nhật ký bảo trì'!$B$6:$B$405,"&lt;="&amp;DATE('Tổng quan'!$B$6,12,31)))</f>
        <v/>
      </c>
      <c r="R104" s="16" t="str">
        <f t="shared" si="1"/>
        <v/>
      </c>
    </row>
    <row r="105" ht="24.0" customHeight="1">
      <c r="A105" s="26" t="str">
        <f>IF('Kế hoạch định kỳ'!$B105="","",'Kế hoạch định kỳ'!$B105)</f>
        <v/>
      </c>
      <c r="B105" s="28" t="str">
        <f>IF('Kế hoạch định kỳ'!$B105="","",'Kế hoạch định kỳ'!$D105)</f>
        <v/>
      </c>
      <c r="C105" s="56" t="str">
        <f>IF('Kế hoạch định kỳ'!$B105="","",'Kế hoạch định kỳ'!$F105)</f>
        <v/>
      </c>
      <c r="D105" s="26" t="str">
        <f>IF('Kế hoạch định kỳ'!$B105="","",IF('Kế hoạch định kỳ'!$I105&lt;&gt;"",'Kế hoạch định kỳ'!$I105&amp;" ngày",'Kế hoạch định kỳ'!$H105))</f>
        <v/>
      </c>
      <c r="E105" s="61" t="str">
        <f>IF($A105="","",IF(COUNTIFS('Nhật ký bảo trì'!$D$6:$D$405,$A105,'Nhật ký bảo trì'!$Q$6:$Q$405,"Hoàn thành",'Nhật ký bảo trì'!$B$6:$B$405,"&gt;="&amp;E$5,'Nhật ký bảo trì'!$B$6:$B$405,"&lt;="&amp;EOMONTH(E$5,0))&gt;0,"✔",IF(((EOMONTH(E$5,0)&gt;='Kế hoạch định kỳ'!$W105)*(INT((EOMONTH(E$5,0)-'Kế hoạch định kỳ'!$W105)/'Kế hoạch định kỳ'!$X105)+1)-(E$5-1&gt;='Kế hoạch định kỳ'!$W105)*(INT((E$5-1-'Kế hoạch định kỳ'!$W105)/'Kế hoạch định kỳ'!$X105)+1))&gt;0,IF(EOMONTH(E$5,0)&lt;'Tổng quan'!$B$11,"✖","○"),"")))</f>
        <v/>
      </c>
      <c r="F105" s="61" t="str">
        <f>IF($A105="","",IF(COUNTIFS('Nhật ký bảo trì'!$D$6:$D$405,$A105,'Nhật ký bảo trì'!$Q$6:$Q$405,"Hoàn thành",'Nhật ký bảo trì'!$B$6:$B$405,"&gt;="&amp;F$5,'Nhật ký bảo trì'!$B$6:$B$405,"&lt;="&amp;EOMONTH(F$5,0))&gt;0,"✔",IF(((EOMONTH(F$5,0)&gt;='Kế hoạch định kỳ'!$W105)*(INT((EOMONTH(F$5,0)-'Kế hoạch định kỳ'!$W105)/'Kế hoạch định kỳ'!$X105)+1)-(F$5-1&gt;='Kế hoạch định kỳ'!$W105)*(INT((F$5-1-'Kế hoạch định kỳ'!$W105)/'Kế hoạch định kỳ'!$X105)+1))&gt;0,IF(EOMONTH(F$5,0)&lt;'Tổng quan'!$B$11,"✖","○"),"")))</f>
        <v/>
      </c>
      <c r="G105" s="61" t="str">
        <f>IF($A105="","",IF(COUNTIFS('Nhật ký bảo trì'!$D$6:$D$405,$A105,'Nhật ký bảo trì'!$Q$6:$Q$405,"Hoàn thành",'Nhật ký bảo trì'!$B$6:$B$405,"&gt;="&amp;G$5,'Nhật ký bảo trì'!$B$6:$B$405,"&lt;="&amp;EOMONTH(G$5,0))&gt;0,"✔",IF(((EOMONTH(G$5,0)&gt;='Kế hoạch định kỳ'!$W105)*(INT((EOMONTH(G$5,0)-'Kế hoạch định kỳ'!$W105)/'Kế hoạch định kỳ'!$X105)+1)-(G$5-1&gt;='Kế hoạch định kỳ'!$W105)*(INT((G$5-1-'Kế hoạch định kỳ'!$W105)/'Kế hoạch định kỳ'!$X105)+1))&gt;0,IF(EOMONTH(G$5,0)&lt;'Tổng quan'!$B$11,"✖","○"),"")))</f>
        <v/>
      </c>
      <c r="H105" s="61" t="str">
        <f>IF($A105="","",IF(COUNTIFS('Nhật ký bảo trì'!$D$6:$D$405,$A105,'Nhật ký bảo trì'!$Q$6:$Q$405,"Hoàn thành",'Nhật ký bảo trì'!$B$6:$B$405,"&gt;="&amp;H$5,'Nhật ký bảo trì'!$B$6:$B$405,"&lt;="&amp;EOMONTH(H$5,0))&gt;0,"✔",IF(((EOMONTH(H$5,0)&gt;='Kế hoạch định kỳ'!$W105)*(INT((EOMONTH(H$5,0)-'Kế hoạch định kỳ'!$W105)/'Kế hoạch định kỳ'!$X105)+1)-(H$5-1&gt;='Kế hoạch định kỳ'!$W105)*(INT((H$5-1-'Kế hoạch định kỳ'!$W105)/'Kế hoạch định kỳ'!$X105)+1))&gt;0,IF(EOMONTH(H$5,0)&lt;'Tổng quan'!$B$11,"✖","○"),"")))</f>
        <v/>
      </c>
      <c r="I105" s="61" t="str">
        <f>IF($A105="","",IF(COUNTIFS('Nhật ký bảo trì'!$D$6:$D$405,$A105,'Nhật ký bảo trì'!$Q$6:$Q$405,"Hoàn thành",'Nhật ký bảo trì'!$B$6:$B$405,"&gt;="&amp;I$5,'Nhật ký bảo trì'!$B$6:$B$405,"&lt;="&amp;EOMONTH(I$5,0))&gt;0,"✔",IF(((EOMONTH(I$5,0)&gt;='Kế hoạch định kỳ'!$W105)*(INT((EOMONTH(I$5,0)-'Kế hoạch định kỳ'!$W105)/'Kế hoạch định kỳ'!$X105)+1)-(I$5-1&gt;='Kế hoạch định kỳ'!$W105)*(INT((I$5-1-'Kế hoạch định kỳ'!$W105)/'Kế hoạch định kỳ'!$X105)+1))&gt;0,IF(EOMONTH(I$5,0)&lt;'Tổng quan'!$B$11,"✖","○"),"")))</f>
        <v/>
      </c>
      <c r="J105" s="61" t="str">
        <f>IF($A105="","",IF(COUNTIFS('Nhật ký bảo trì'!$D$6:$D$405,$A105,'Nhật ký bảo trì'!$Q$6:$Q$405,"Hoàn thành",'Nhật ký bảo trì'!$B$6:$B$405,"&gt;="&amp;J$5,'Nhật ký bảo trì'!$B$6:$B$405,"&lt;="&amp;EOMONTH(J$5,0))&gt;0,"✔",IF(((EOMONTH(J$5,0)&gt;='Kế hoạch định kỳ'!$W105)*(INT((EOMONTH(J$5,0)-'Kế hoạch định kỳ'!$W105)/'Kế hoạch định kỳ'!$X105)+1)-(J$5-1&gt;='Kế hoạch định kỳ'!$W105)*(INT((J$5-1-'Kế hoạch định kỳ'!$W105)/'Kế hoạch định kỳ'!$X105)+1))&gt;0,IF(EOMONTH(J$5,0)&lt;'Tổng quan'!$B$11,"✖","○"),"")))</f>
        <v/>
      </c>
      <c r="K105" s="61" t="str">
        <f>IF($A105="","",IF(COUNTIFS('Nhật ký bảo trì'!$D$6:$D$405,$A105,'Nhật ký bảo trì'!$Q$6:$Q$405,"Hoàn thành",'Nhật ký bảo trì'!$B$6:$B$405,"&gt;="&amp;K$5,'Nhật ký bảo trì'!$B$6:$B$405,"&lt;="&amp;EOMONTH(K$5,0))&gt;0,"✔",IF(((EOMONTH(K$5,0)&gt;='Kế hoạch định kỳ'!$W105)*(INT((EOMONTH(K$5,0)-'Kế hoạch định kỳ'!$W105)/'Kế hoạch định kỳ'!$X105)+1)-(K$5-1&gt;='Kế hoạch định kỳ'!$W105)*(INT((K$5-1-'Kế hoạch định kỳ'!$W105)/'Kế hoạch định kỳ'!$X105)+1))&gt;0,IF(EOMONTH(K$5,0)&lt;'Tổng quan'!$B$11,"✖","○"),"")))</f>
        <v/>
      </c>
      <c r="L105" s="61" t="str">
        <f>IF($A105="","",IF(COUNTIFS('Nhật ký bảo trì'!$D$6:$D$405,$A105,'Nhật ký bảo trì'!$Q$6:$Q$405,"Hoàn thành",'Nhật ký bảo trì'!$B$6:$B$405,"&gt;="&amp;L$5,'Nhật ký bảo trì'!$B$6:$B$405,"&lt;="&amp;EOMONTH(L$5,0))&gt;0,"✔",IF(((EOMONTH(L$5,0)&gt;='Kế hoạch định kỳ'!$W105)*(INT((EOMONTH(L$5,0)-'Kế hoạch định kỳ'!$W105)/'Kế hoạch định kỳ'!$X105)+1)-(L$5-1&gt;='Kế hoạch định kỳ'!$W105)*(INT((L$5-1-'Kế hoạch định kỳ'!$W105)/'Kế hoạch định kỳ'!$X105)+1))&gt;0,IF(EOMONTH(L$5,0)&lt;'Tổng quan'!$B$11,"✖","○"),"")))</f>
        <v/>
      </c>
      <c r="M105" s="61" t="str">
        <f>IF($A105="","",IF(COUNTIFS('Nhật ký bảo trì'!$D$6:$D$405,$A105,'Nhật ký bảo trì'!$Q$6:$Q$405,"Hoàn thành",'Nhật ký bảo trì'!$B$6:$B$405,"&gt;="&amp;M$5,'Nhật ký bảo trì'!$B$6:$B$405,"&lt;="&amp;EOMONTH(M$5,0))&gt;0,"✔",IF(((EOMONTH(M$5,0)&gt;='Kế hoạch định kỳ'!$W105)*(INT((EOMONTH(M$5,0)-'Kế hoạch định kỳ'!$W105)/'Kế hoạch định kỳ'!$X105)+1)-(M$5-1&gt;='Kế hoạch định kỳ'!$W105)*(INT((M$5-1-'Kế hoạch định kỳ'!$W105)/'Kế hoạch định kỳ'!$X105)+1))&gt;0,IF(EOMONTH(M$5,0)&lt;'Tổng quan'!$B$11,"✖","○"),"")))</f>
        <v/>
      </c>
      <c r="N105" s="61" t="str">
        <f>IF($A105="","",IF(COUNTIFS('Nhật ký bảo trì'!$D$6:$D$405,$A105,'Nhật ký bảo trì'!$Q$6:$Q$405,"Hoàn thành",'Nhật ký bảo trì'!$B$6:$B$405,"&gt;="&amp;N$5,'Nhật ký bảo trì'!$B$6:$B$405,"&lt;="&amp;EOMONTH(N$5,0))&gt;0,"✔",IF(((EOMONTH(N$5,0)&gt;='Kế hoạch định kỳ'!$W105)*(INT((EOMONTH(N$5,0)-'Kế hoạch định kỳ'!$W105)/'Kế hoạch định kỳ'!$X105)+1)-(N$5-1&gt;='Kế hoạch định kỳ'!$W105)*(INT((N$5-1-'Kế hoạch định kỳ'!$W105)/'Kế hoạch định kỳ'!$X105)+1))&gt;0,IF(EOMONTH(N$5,0)&lt;'Tổng quan'!$B$11,"✖","○"),"")))</f>
        <v/>
      </c>
      <c r="O105" s="61" t="str">
        <f>IF($A105="","",IF(COUNTIFS('Nhật ký bảo trì'!$D$6:$D$405,$A105,'Nhật ký bảo trì'!$Q$6:$Q$405,"Hoàn thành",'Nhật ký bảo trì'!$B$6:$B$405,"&gt;="&amp;O$5,'Nhật ký bảo trì'!$B$6:$B$405,"&lt;="&amp;EOMONTH(O$5,0))&gt;0,"✔",IF(((EOMONTH(O$5,0)&gt;='Kế hoạch định kỳ'!$W105)*(INT((EOMONTH(O$5,0)-'Kế hoạch định kỳ'!$W105)/'Kế hoạch định kỳ'!$X105)+1)-(O$5-1&gt;='Kế hoạch định kỳ'!$W105)*(INT((O$5-1-'Kế hoạch định kỳ'!$W105)/'Kế hoạch định kỳ'!$X105)+1))&gt;0,IF(EOMONTH(O$5,0)&lt;'Tổng quan'!$B$11,"✖","○"),"")))</f>
        <v/>
      </c>
      <c r="P105" s="61" t="str">
        <f>IF($A105="","",IF(COUNTIFS('Nhật ký bảo trì'!$D$6:$D$405,$A105,'Nhật ký bảo trì'!$Q$6:$Q$405,"Hoàn thành",'Nhật ký bảo trì'!$B$6:$B$405,"&gt;="&amp;P$5,'Nhật ký bảo trì'!$B$6:$B$405,"&lt;="&amp;EOMONTH(P$5,0))&gt;0,"✔",IF(((EOMONTH(P$5,0)&gt;='Kế hoạch định kỳ'!$W105)*(INT((EOMONTH(P$5,0)-'Kế hoạch định kỳ'!$W105)/'Kế hoạch định kỳ'!$X105)+1)-(P$5-1&gt;='Kế hoạch định kỳ'!$W105)*(INT((P$5-1-'Kế hoạch định kỳ'!$W105)/'Kế hoạch định kỳ'!$X105)+1))&gt;0,IF(EOMONTH(P$5,0)&lt;'Tổng quan'!$B$11,"✖","○"),"")))</f>
        <v/>
      </c>
      <c r="Q105" s="30" t="str">
        <f>IF($A105="","",COUNTIFS('Nhật ký bảo trì'!$D$6:$D$405,$A105,'Nhật ký bảo trì'!$Q$6:$Q$405,"Hoàn thành",'Nhật ký bảo trì'!$B$6:$B$405,"&gt;="&amp;DATE('Tổng quan'!$B$6,1,1),'Nhật ký bảo trì'!$B$6:$B$405,"&lt;="&amp;DATE('Tổng quan'!$B$6,12,31)))</f>
        <v/>
      </c>
      <c r="R105" s="30" t="str">
        <f t="shared" si="1"/>
        <v/>
      </c>
    </row>
    <row r="106" ht="24.0" customHeight="1">
      <c r="A106" s="10" t="str">
        <f>IF('Kế hoạch định kỳ'!$B106="","",'Kế hoạch định kỳ'!$B106)</f>
        <v/>
      </c>
      <c r="B106" s="14" t="str">
        <f>IF('Kế hoạch định kỳ'!$B106="","",'Kế hoạch định kỳ'!$D106)</f>
        <v/>
      </c>
      <c r="C106" s="18" t="str">
        <f>IF('Kế hoạch định kỳ'!$B106="","",'Kế hoạch định kỳ'!$F106)</f>
        <v/>
      </c>
      <c r="D106" s="10" t="str">
        <f>IF('Kế hoạch định kỳ'!$B106="","",IF('Kế hoạch định kỳ'!$I106&lt;&gt;"",'Kế hoạch định kỳ'!$I106&amp;" ngày",'Kế hoạch định kỳ'!$H106))</f>
        <v/>
      </c>
      <c r="E106" s="24" t="str">
        <f>IF($A106="","",IF(COUNTIFS('Nhật ký bảo trì'!$D$6:$D$405,$A106,'Nhật ký bảo trì'!$Q$6:$Q$405,"Hoàn thành",'Nhật ký bảo trì'!$B$6:$B$405,"&gt;="&amp;E$5,'Nhật ký bảo trì'!$B$6:$B$405,"&lt;="&amp;EOMONTH(E$5,0))&gt;0,"✔",IF(((EOMONTH(E$5,0)&gt;='Kế hoạch định kỳ'!$W106)*(INT((EOMONTH(E$5,0)-'Kế hoạch định kỳ'!$W106)/'Kế hoạch định kỳ'!$X106)+1)-(E$5-1&gt;='Kế hoạch định kỳ'!$W106)*(INT((E$5-1-'Kế hoạch định kỳ'!$W106)/'Kế hoạch định kỳ'!$X106)+1))&gt;0,IF(EOMONTH(E$5,0)&lt;'Tổng quan'!$B$11,"✖","○"),"")))</f>
        <v/>
      </c>
      <c r="F106" s="24" t="str">
        <f>IF($A106="","",IF(COUNTIFS('Nhật ký bảo trì'!$D$6:$D$405,$A106,'Nhật ký bảo trì'!$Q$6:$Q$405,"Hoàn thành",'Nhật ký bảo trì'!$B$6:$B$405,"&gt;="&amp;F$5,'Nhật ký bảo trì'!$B$6:$B$405,"&lt;="&amp;EOMONTH(F$5,0))&gt;0,"✔",IF(((EOMONTH(F$5,0)&gt;='Kế hoạch định kỳ'!$W106)*(INT((EOMONTH(F$5,0)-'Kế hoạch định kỳ'!$W106)/'Kế hoạch định kỳ'!$X106)+1)-(F$5-1&gt;='Kế hoạch định kỳ'!$W106)*(INT((F$5-1-'Kế hoạch định kỳ'!$W106)/'Kế hoạch định kỳ'!$X106)+1))&gt;0,IF(EOMONTH(F$5,0)&lt;'Tổng quan'!$B$11,"✖","○"),"")))</f>
        <v/>
      </c>
      <c r="G106" s="24" t="str">
        <f>IF($A106="","",IF(COUNTIFS('Nhật ký bảo trì'!$D$6:$D$405,$A106,'Nhật ký bảo trì'!$Q$6:$Q$405,"Hoàn thành",'Nhật ký bảo trì'!$B$6:$B$405,"&gt;="&amp;G$5,'Nhật ký bảo trì'!$B$6:$B$405,"&lt;="&amp;EOMONTH(G$5,0))&gt;0,"✔",IF(((EOMONTH(G$5,0)&gt;='Kế hoạch định kỳ'!$W106)*(INT((EOMONTH(G$5,0)-'Kế hoạch định kỳ'!$W106)/'Kế hoạch định kỳ'!$X106)+1)-(G$5-1&gt;='Kế hoạch định kỳ'!$W106)*(INT((G$5-1-'Kế hoạch định kỳ'!$W106)/'Kế hoạch định kỳ'!$X106)+1))&gt;0,IF(EOMONTH(G$5,0)&lt;'Tổng quan'!$B$11,"✖","○"),"")))</f>
        <v/>
      </c>
      <c r="H106" s="24" t="str">
        <f>IF($A106="","",IF(COUNTIFS('Nhật ký bảo trì'!$D$6:$D$405,$A106,'Nhật ký bảo trì'!$Q$6:$Q$405,"Hoàn thành",'Nhật ký bảo trì'!$B$6:$B$405,"&gt;="&amp;H$5,'Nhật ký bảo trì'!$B$6:$B$405,"&lt;="&amp;EOMONTH(H$5,0))&gt;0,"✔",IF(((EOMONTH(H$5,0)&gt;='Kế hoạch định kỳ'!$W106)*(INT((EOMONTH(H$5,0)-'Kế hoạch định kỳ'!$W106)/'Kế hoạch định kỳ'!$X106)+1)-(H$5-1&gt;='Kế hoạch định kỳ'!$W106)*(INT((H$5-1-'Kế hoạch định kỳ'!$W106)/'Kế hoạch định kỳ'!$X106)+1))&gt;0,IF(EOMONTH(H$5,0)&lt;'Tổng quan'!$B$11,"✖","○"),"")))</f>
        <v/>
      </c>
      <c r="I106" s="24" t="str">
        <f>IF($A106="","",IF(COUNTIFS('Nhật ký bảo trì'!$D$6:$D$405,$A106,'Nhật ký bảo trì'!$Q$6:$Q$405,"Hoàn thành",'Nhật ký bảo trì'!$B$6:$B$405,"&gt;="&amp;I$5,'Nhật ký bảo trì'!$B$6:$B$405,"&lt;="&amp;EOMONTH(I$5,0))&gt;0,"✔",IF(((EOMONTH(I$5,0)&gt;='Kế hoạch định kỳ'!$W106)*(INT((EOMONTH(I$5,0)-'Kế hoạch định kỳ'!$W106)/'Kế hoạch định kỳ'!$X106)+1)-(I$5-1&gt;='Kế hoạch định kỳ'!$W106)*(INT((I$5-1-'Kế hoạch định kỳ'!$W106)/'Kế hoạch định kỳ'!$X106)+1))&gt;0,IF(EOMONTH(I$5,0)&lt;'Tổng quan'!$B$11,"✖","○"),"")))</f>
        <v/>
      </c>
      <c r="J106" s="24" t="str">
        <f>IF($A106="","",IF(COUNTIFS('Nhật ký bảo trì'!$D$6:$D$405,$A106,'Nhật ký bảo trì'!$Q$6:$Q$405,"Hoàn thành",'Nhật ký bảo trì'!$B$6:$B$405,"&gt;="&amp;J$5,'Nhật ký bảo trì'!$B$6:$B$405,"&lt;="&amp;EOMONTH(J$5,0))&gt;0,"✔",IF(((EOMONTH(J$5,0)&gt;='Kế hoạch định kỳ'!$W106)*(INT((EOMONTH(J$5,0)-'Kế hoạch định kỳ'!$W106)/'Kế hoạch định kỳ'!$X106)+1)-(J$5-1&gt;='Kế hoạch định kỳ'!$W106)*(INT((J$5-1-'Kế hoạch định kỳ'!$W106)/'Kế hoạch định kỳ'!$X106)+1))&gt;0,IF(EOMONTH(J$5,0)&lt;'Tổng quan'!$B$11,"✖","○"),"")))</f>
        <v/>
      </c>
      <c r="K106" s="24" t="str">
        <f>IF($A106="","",IF(COUNTIFS('Nhật ký bảo trì'!$D$6:$D$405,$A106,'Nhật ký bảo trì'!$Q$6:$Q$405,"Hoàn thành",'Nhật ký bảo trì'!$B$6:$B$405,"&gt;="&amp;K$5,'Nhật ký bảo trì'!$B$6:$B$405,"&lt;="&amp;EOMONTH(K$5,0))&gt;0,"✔",IF(((EOMONTH(K$5,0)&gt;='Kế hoạch định kỳ'!$W106)*(INT((EOMONTH(K$5,0)-'Kế hoạch định kỳ'!$W106)/'Kế hoạch định kỳ'!$X106)+1)-(K$5-1&gt;='Kế hoạch định kỳ'!$W106)*(INT((K$5-1-'Kế hoạch định kỳ'!$W106)/'Kế hoạch định kỳ'!$X106)+1))&gt;0,IF(EOMONTH(K$5,0)&lt;'Tổng quan'!$B$11,"✖","○"),"")))</f>
        <v/>
      </c>
      <c r="L106" s="24" t="str">
        <f>IF($A106="","",IF(COUNTIFS('Nhật ký bảo trì'!$D$6:$D$405,$A106,'Nhật ký bảo trì'!$Q$6:$Q$405,"Hoàn thành",'Nhật ký bảo trì'!$B$6:$B$405,"&gt;="&amp;L$5,'Nhật ký bảo trì'!$B$6:$B$405,"&lt;="&amp;EOMONTH(L$5,0))&gt;0,"✔",IF(((EOMONTH(L$5,0)&gt;='Kế hoạch định kỳ'!$W106)*(INT((EOMONTH(L$5,0)-'Kế hoạch định kỳ'!$W106)/'Kế hoạch định kỳ'!$X106)+1)-(L$5-1&gt;='Kế hoạch định kỳ'!$W106)*(INT((L$5-1-'Kế hoạch định kỳ'!$W106)/'Kế hoạch định kỳ'!$X106)+1))&gt;0,IF(EOMONTH(L$5,0)&lt;'Tổng quan'!$B$11,"✖","○"),"")))</f>
        <v/>
      </c>
      <c r="M106" s="24" t="str">
        <f>IF($A106="","",IF(COUNTIFS('Nhật ký bảo trì'!$D$6:$D$405,$A106,'Nhật ký bảo trì'!$Q$6:$Q$405,"Hoàn thành",'Nhật ký bảo trì'!$B$6:$B$405,"&gt;="&amp;M$5,'Nhật ký bảo trì'!$B$6:$B$405,"&lt;="&amp;EOMONTH(M$5,0))&gt;0,"✔",IF(((EOMONTH(M$5,0)&gt;='Kế hoạch định kỳ'!$W106)*(INT((EOMONTH(M$5,0)-'Kế hoạch định kỳ'!$W106)/'Kế hoạch định kỳ'!$X106)+1)-(M$5-1&gt;='Kế hoạch định kỳ'!$W106)*(INT((M$5-1-'Kế hoạch định kỳ'!$W106)/'Kế hoạch định kỳ'!$X106)+1))&gt;0,IF(EOMONTH(M$5,0)&lt;'Tổng quan'!$B$11,"✖","○"),"")))</f>
        <v/>
      </c>
      <c r="N106" s="24" t="str">
        <f>IF($A106="","",IF(COUNTIFS('Nhật ký bảo trì'!$D$6:$D$405,$A106,'Nhật ký bảo trì'!$Q$6:$Q$405,"Hoàn thành",'Nhật ký bảo trì'!$B$6:$B$405,"&gt;="&amp;N$5,'Nhật ký bảo trì'!$B$6:$B$405,"&lt;="&amp;EOMONTH(N$5,0))&gt;0,"✔",IF(((EOMONTH(N$5,0)&gt;='Kế hoạch định kỳ'!$W106)*(INT((EOMONTH(N$5,0)-'Kế hoạch định kỳ'!$W106)/'Kế hoạch định kỳ'!$X106)+1)-(N$5-1&gt;='Kế hoạch định kỳ'!$W106)*(INT((N$5-1-'Kế hoạch định kỳ'!$W106)/'Kế hoạch định kỳ'!$X106)+1))&gt;0,IF(EOMONTH(N$5,0)&lt;'Tổng quan'!$B$11,"✖","○"),"")))</f>
        <v/>
      </c>
      <c r="O106" s="24" t="str">
        <f>IF($A106="","",IF(COUNTIFS('Nhật ký bảo trì'!$D$6:$D$405,$A106,'Nhật ký bảo trì'!$Q$6:$Q$405,"Hoàn thành",'Nhật ký bảo trì'!$B$6:$B$405,"&gt;="&amp;O$5,'Nhật ký bảo trì'!$B$6:$B$405,"&lt;="&amp;EOMONTH(O$5,0))&gt;0,"✔",IF(((EOMONTH(O$5,0)&gt;='Kế hoạch định kỳ'!$W106)*(INT((EOMONTH(O$5,0)-'Kế hoạch định kỳ'!$W106)/'Kế hoạch định kỳ'!$X106)+1)-(O$5-1&gt;='Kế hoạch định kỳ'!$W106)*(INT((O$5-1-'Kế hoạch định kỳ'!$W106)/'Kế hoạch định kỳ'!$X106)+1))&gt;0,IF(EOMONTH(O$5,0)&lt;'Tổng quan'!$B$11,"✖","○"),"")))</f>
        <v/>
      </c>
      <c r="P106" s="24" t="str">
        <f>IF($A106="","",IF(COUNTIFS('Nhật ký bảo trì'!$D$6:$D$405,$A106,'Nhật ký bảo trì'!$Q$6:$Q$405,"Hoàn thành",'Nhật ký bảo trì'!$B$6:$B$405,"&gt;="&amp;P$5,'Nhật ký bảo trì'!$B$6:$B$405,"&lt;="&amp;EOMONTH(P$5,0))&gt;0,"✔",IF(((EOMONTH(P$5,0)&gt;='Kế hoạch định kỳ'!$W106)*(INT((EOMONTH(P$5,0)-'Kế hoạch định kỳ'!$W106)/'Kế hoạch định kỳ'!$X106)+1)-(P$5-1&gt;='Kế hoạch định kỳ'!$W106)*(INT((P$5-1-'Kế hoạch định kỳ'!$W106)/'Kế hoạch định kỳ'!$X106)+1))&gt;0,IF(EOMONTH(P$5,0)&lt;'Tổng quan'!$B$11,"✖","○"),"")))</f>
        <v/>
      </c>
      <c r="Q106" s="16" t="str">
        <f>IF($A106="","",COUNTIFS('Nhật ký bảo trì'!$D$6:$D$405,$A106,'Nhật ký bảo trì'!$Q$6:$Q$405,"Hoàn thành",'Nhật ký bảo trì'!$B$6:$B$405,"&gt;="&amp;DATE('Tổng quan'!$B$6,1,1),'Nhật ký bảo trì'!$B$6:$B$405,"&lt;="&amp;DATE('Tổng quan'!$B$6,12,31)))</f>
        <v/>
      </c>
      <c r="R106" s="16" t="str">
        <f t="shared" si="1"/>
        <v/>
      </c>
    </row>
    <row r="107" ht="24.0" customHeight="1">
      <c r="A107" s="26" t="str">
        <f>IF('Kế hoạch định kỳ'!$B107="","",'Kế hoạch định kỳ'!$B107)</f>
        <v/>
      </c>
      <c r="B107" s="28" t="str">
        <f>IF('Kế hoạch định kỳ'!$B107="","",'Kế hoạch định kỳ'!$D107)</f>
        <v/>
      </c>
      <c r="C107" s="56" t="str">
        <f>IF('Kế hoạch định kỳ'!$B107="","",'Kế hoạch định kỳ'!$F107)</f>
        <v/>
      </c>
      <c r="D107" s="26" t="str">
        <f>IF('Kế hoạch định kỳ'!$B107="","",IF('Kế hoạch định kỳ'!$I107&lt;&gt;"",'Kế hoạch định kỳ'!$I107&amp;" ngày",'Kế hoạch định kỳ'!$H107))</f>
        <v/>
      </c>
      <c r="E107" s="61" t="str">
        <f>IF($A107="","",IF(COUNTIFS('Nhật ký bảo trì'!$D$6:$D$405,$A107,'Nhật ký bảo trì'!$Q$6:$Q$405,"Hoàn thành",'Nhật ký bảo trì'!$B$6:$B$405,"&gt;="&amp;E$5,'Nhật ký bảo trì'!$B$6:$B$405,"&lt;="&amp;EOMONTH(E$5,0))&gt;0,"✔",IF(((EOMONTH(E$5,0)&gt;='Kế hoạch định kỳ'!$W107)*(INT((EOMONTH(E$5,0)-'Kế hoạch định kỳ'!$W107)/'Kế hoạch định kỳ'!$X107)+1)-(E$5-1&gt;='Kế hoạch định kỳ'!$W107)*(INT((E$5-1-'Kế hoạch định kỳ'!$W107)/'Kế hoạch định kỳ'!$X107)+1))&gt;0,IF(EOMONTH(E$5,0)&lt;'Tổng quan'!$B$11,"✖","○"),"")))</f>
        <v/>
      </c>
      <c r="F107" s="61" t="str">
        <f>IF($A107="","",IF(COUNTIFS('Nhật ký bảo trì'!$D$6:$D$405,$A107,'Nhật ký bảo trì'!$Q$6:$Q$405,"Hoàn thành",'Nhật ký bảo trì'!$B$6:$B$405,"&gt;="&amp;F$5,'Nhật ký bảo trì'!$B$6:$B$405,"&lt;="&amp;EOMONTH(F$5,0))&gt;0,"✔",IF(((EOMONTH(F$5,0)&gt;='Kế hoạch định kỳ'!$W107)*(INT((EOMONTH(F$5,0)-'Kế hoạch định kỳ'!$W107)/'Kế hoạch định kỳ'!$X107)+1)-(F$5-1&gt;='Kế hoạch định kỳ'!$W107)*(INT((F$5-1-'Kế hoạch định kỳ'!$W107)/'Kế hoạch định kỳ'!$X107)+1))&gt;0,IF(EOMONTH(F$5,0)&lt;'Tổng quan'!$B$11,"✖","○"),"")))</f>
        <v/>
      </c>
      <c r="G107" s="61" t="str">
        <f>IF($A107="","",IF(COUNTIFS('Nhật ký bảo trì'!$D$6:$D$405,$A107,'Nhật ký bảo trì'!$Q$6:$Q$405,"Hoàn thành",'Nhật ký bảo trì'!$B$6:$B$405,"&gt;="&amp;G$5,'Nhật ký bảo trì'!$B$6:$B$405,"&lt;="&amp;EOMONTH(G$5,0))&gt;0,"✔",IF(((EOMONTH(G$5,0)&gt;='Kế hoạch định kỳ'!$W107)*(INT((EOMONTH(G$5,0)-'Kế hoạch định kỳ'!$W107)/'Kế hoạch định kỳ'!$X107)+1)-(G$5-1&gt;='Kế hoạch định kỳ'!$W107)*(INT((G$5-1-'Kế hoạch định kỳ'!$W107)/'Kế hoạch định kỳ'!$X107)+1))&gt;0,IF(EOMONTH(G$5,0)&lt;'Tổng quan'!$B$11,"✖","○"),"")))</f>
        <v/>
      </c>
      <c r="H107" s="61" t="str">
        <f>IF($A107="","",IF(COUNTIFS('Nhật ký bảo trì'!$D$6:$D$405,$A107,'Nhật ký bảo trì'!$Q$6:$Q$405,"Hoàn thành",'Nhật ký bảo trì'!$B$6:$B$405,"&gt;="&amp;H$5,'Nhật ký bảo trì'!$B$6:$B$405,"&lt;="&amp;EOMONTH(H$5,0))&gt;0,"✔",IF(((EOMONTH(H$5,0)&gt;='Kế hoạch định kỳ'!$W107)*(INT((EOMONTH(H$5,0)-'Kế hoạch định kỳ'!$W107)/'Kế hoạch định kỳ'!$X107)+1)-(H$5-1&gt;='Kế hoạch định kỳ'!$W107)*(INT((H$5-1-'Kế hoạch định kỳ'!$W107)/'Kế hoạch định kỳ'!$X107)+1))&gt;0,IF(EOMONTH(H$5,0)&lt;'Tổng quan'!$B$11,"✖","○"),"")))</f>
        <v/>
      </c>
      <c r="I107" s="61" t="str">
        <f>IF($A107="","",IF(COUNTIFS('Nhật ký bảo trì'!$D$6:$D$405,$A107,'Nhật ký bảo trì'!$Q$6:$Q$405,"Hoàn thành",'Nhật ký bảo trì'!$B$6:$B$405,"&gt;="&amp;I$5,'Nhật ký bảo trì'!$B$6:$B$405,"&lt;="&amp;EOMONTH(I$5,0))&gt;0,"✔",IF(((EOMONTH(I$5,0)&gt;='Kế hoạch định kỳ'!$W107)*(INT((EOMONTH(I$5,0)-'Kế hoạch định kỳ'!$W107)/'Kế hoạch định kỳ'!$X107)+1)-(I$5-1&gt;='Kế hoạch định kỳ'!$W107)*(INT((I$5-1-'Kế hoạch định kỳ'!$W107)/'Kế hoạch định kỳ'!$X107)+1))&gt;0,IF(EOMONTH(I$5,0)&lt;'Tổng quan'!$B$11,"✖","○"),"")))</f>
        <v/>
      </c>
      <c r="J107" s="61" t="str">
        <f>IF($A107="","",IF(COUNTIFS('Nhật ký bảo trì'!$D$6:$D$405,$A107,'Nhật ký bảo trì'!$Q$6:$Q$405,"Hoàn thành",'Nhật ký bảo trì'!$B$6:$B$405,"&gt;="&amp;J$5,'Nhật ký bảo trì'!$B$6:$B$405,"&lt;="&amp;EOMONTH(J$5,0))&gt;0,"✔",IF(((EOMONTH(J$5,0)&gt;='Kế hoạch định kỳ'!$W107)*(INT((EOMONTH(J$5,0)-'Kế hoạch định kỳ'!$W107)/'Kế hoạch định kỳ'!$X107)+1)-(J$5-1&gt;='Kế hoạch định kỳ'!$W107)*(INT((J$5-1-'Kế hoạch định kỳ'!$W107)/'Kế hoạch định kỳ'!$X107)+1))&gt;0,IF(EOMONTH(J$5,0)&lt;'Tổng quan'!$B$11,"✖","○"),"")))</f>
        <v/>
      </c>
      <c r="K107" s="61" t="str">
        <f>IF($A107="","",IF(COUNTIFS('Nhật ký bảo trì'!$D$6:$D$405,$A107,'Nhật ký bảo trì'!$Q$6:$Q$405,"Hoàn thành",'Nhật ký bảo trì'!$B$6:$B$405,"&gt;="&amp;K$5,'Nhật ký bảo trì'!$B$6:$B$405,"&lt;="&amp;EOMONTH(K$5,0))&gt;0,"✔",IF(((EOMONTH(K$5,0)&gt;='Kế hoạch định kỳ'!$W107)*(INT((EOMONTH(K$5,0)-'Kế hoạch định kỳ'!$W107)/'Kế hoạch định kỳ'!$X107)+1)-(K$5-1&gt;='Kế hoạch định kỳ'!$W107)*(INT((K$5-1-'Kế hoạch định kỳ'!$W107)/'Kế hoạch định kỳ'!$X107)+1))&gt;0,IF(EOMONTH(K$5,0)&lt;'Tổng quan'!$B$11,"✖","○"),"")))</f>
        <v/>
      </c>
      <c r="L107" s="61" t="str">
        <f>IF($A107="","",IF(COUNTIFS('Nhật ký bảo trì'!$D$6:$D$405,$A107,'Nhật ký bảo trì'!$Q$6:$Q$405,"Hoàn thành",'Nhật ký bảo trì'!$B$6:$B$405,"&gt;="&amp;L$5,'Nhật ký bảo trì'!$B$6:$B$405,"&lt;="&amp;EOMONTH(L$5,0))&gt;0,"✔",IF(((EOMONTH(L$5,0)&gt;='Kế hoạch định kỳ'!$W107)*(INT((EOMONTH(L$5,0)-'Kế hoạch định kỳ'!$W107)/'Kế hoạch định kỳ'!$X107)+1)-(L$5-1&gt;='Kế hoạch định kỳ'!$W107)*(INT((L$5-1-'Kế hoạch định kỳ'!$W107)/'Kế hoạch định kỳ'!$X107)+1))&gt;0,IF(EOMONTH(L$5,0)&lt;'Tổng quan'!$B$11,"✖","○"),"")))</f>
        <v/>
      </c>
      <c r="M107" s="61" t="str">
        <f>IF($A107="","",IF(COUNTIFS('Nhật ký bảo trì'!$D$6:$D$405,$A107,'Nhật ký bảo trì'!$Q$6:$Q$405,"Hoàn thành",'Nhật ký bảo trì'!$B$6:$B$405,"&gt;="&amp;M$5,'Nhật ký bảo trì'!$B$6:$B$405,"&lt;="&amp;EOMONTH(M$5,0))&gt;0,"✔",IF(((EOMONTH(M$5,0)&gt;='Kế hoạch định kỳ'!$W107)*(INT((EOMONTH(M$5,0)-'Kế hoạch định kỳ'!$W107)/'Kế hoạch định kỳ'!$X107)+1)-(M$5-1&gt;='Kế hoạch định kỳ'!$W107)*(INT((M$5-1-'Kế hoạch định kỳ'!$W107)/'Kế hoạch định kỳ'!$X107)+1))&gt;0,IF(EOMONTH(M$5,0)&lt;'Tổng quan'!$B$11,"✖","○"),"")))</f>
        <v/>
      </c>
      <c r="N107" s="61" t="str">
        <f>IF($A107="","",IF(COUNTIFS('Nhật ký bảo trì'!$D$6:$D$405,$A107,'Nhật ký bảo trì'!$Q$6:$Q$405,"Hoàn thành",'Nhật ký bảo trì'!$B$6:$B$405,"&gt;="&amp;N$5,'Nhật ký bảo trì'!$B$6:$B$405,"&lt;="&amp;EOMONTH(N$5,0))&gt;0,"✔",IF(((EOMONTH(N$5,0)&gt;='Kế hoạch định kỳ'!$W107)*(INT((EOMONTH(N$5,0)-'Kế hoạch định kỳ'!$W107)/'Kế hoạch định kỳ'!$X107)+1)-(N$5-1&gt;='Kế hoạch định kỳ'!$W107)*(INT((N$5-1-'Kế hoạch định kỳ'!$W107)/'Kế hoạch định kỳ'!$X107)+1))&gt;0,IF(EOMONTH(N$5,0)&lt;'Tổng quan'!$B$11,"✖","○"),"")))</f>
        <v/>
      </c>
      <c r="O107" s="61" t="str">
        <f>IF($A107="","",IF(COUNTIFS('Nhật ký bảo trì'!$D$6:$D$405,$A107,'Nhật ký bảo trì'!$Q$6:$Q$405,"Hoàn thành",'Nhật ký bảo trì'!$B$6:$B$405,"&gt;="&amp;O$5,'Nhật ký bảo trì'!$B$6:$B$405,"&lt;="&amp;EOMONTH(O$5,0))&gt;0,"✔",IF(((EOMONTH(O$5,0)&gt;='Kế hoạch định kỳ'!$W107)*(INT((EOMONTH(O$5,0)-'Kế hoạch định kỳ'!$W107)/'Kế hoạch định kỳ'!$X107)+1)-(O$5-1&gt;='Kế hoạch định kỳ'!$W107)*(INT((O$5-1-'Kế hoạch định kỳ'!$W107)/'Kế hoạch định kỳ'!$X107)+1))&gt;0,IF(EOMONTH(O$5,0)&lt;'Tổng quan'!$B$11,"✖","○"),"")))</f>
        <v/>
      </c>
      <c r="P107" s="61" t="str">
        <f>IF($A107="","",IF(COUNTIFS('Nhật ký bảo trì'!$D$6:$D$405,$A107,'Nhật ký bảo trì'!$Q$6:$Q$405,"Hoàn thành",'Nhật ký bảo trì'!$B$6:$B$405,"&gt;="&amp;P$5,'Nhật ký bảo trì'!$B$6:$B$405,"&lt;="&amp;EOMONTH(P$5,0))&gt;0,"✔",IF(((EOMONTH(P$5,0)&gt;='Kế hoạch định kỳ'!$W107)*(INT((EOMONTH(P$5,0)-'Kế hoạch định kỳ'!$W107)/'Kế hoạch định kỳ'!$X107)+1)-(P$5-1&gt;='Kế hoạch định kỳ'!$W107)*(INT((P$5-1-'Kế hoạch định kỳ'!$W107)/'Kế hoạch định kỳ'!$X107)+1))&gt;0,IF(EOMONTH(P$5,0)&lt;'Tổng quan'!$B$11,"✖","○"),"")))</f>
        <v/>
      </c>
      <c r="Q107" s="30" t="str">
        <f>IF($A107="","",COUNTIFS('Nhật ký bảo trì'!$D$6:$D$405,$A107,'Nhật ký bảo trì'!$Q$6:$Q$405,"Hoàn thành",'Nhật ký bảo trì'!$B$6:$B$405,"&gt;="&amp;DATE('Tổng quan'!$B$6,1,1),'Nhật ký bảo trì'!$B$6:$B$405,"&lt;="&amp;DATE('Tổng quan'!$B$6,12,31)))</f>
        <v/>
      </c>
      <c r="R107" s="30" t="str">
        <f t="shared" si="1"/>
        <v/>
      </c>
    </row>
    <row r="108" ht="24.0" customHeight="1">
      <c r="A108" s="10" t="str">
        <f>IF('Kế hoạch định kỳ'!$B108="","",'Kế hoạch định kỳ'!$B108)</f>
        <v/>
      </c>
      <c r="B108" s="14" t="str">
        <f>IF('Kế hoạch định kỳ'!$B108="","",'Kế hoạch định kỳ'!$D108)</f>
        <v/>
      </c>
      <c r="C108" s="18" t="str">
        <f>IF('Kế hoạch định kỳ'!$B108="","",'Kế hoạch định kỳ'!$F108)</f>
        <v/>
      </c>
      <c r="D108" s="10" t="str">
        <f>IF('Kế hoạch định kỳ'!$B108="","",IF('Kế hoạch định kỳ'!$I108&lt;&gt;"",'Kế hoạch định kỳ'!$I108&amp;" ngày",'Kế hoạch định kỳ'!$H108))</f>
        <v/>
      </c>
      <c r="E108" s="24" t="str">
        <f>IF($A108="","",IF(COUNTIFS('Nhật ký bảo trì'!$D$6:$D$405,$A108,'Nhật ký bảo trì'!$Q$6:$Q$405,"Hoàn thành",'Nhật ký bảo trì'!$B$6:$B$405,"&gt;="&amp;E$5,'Nhật ký bảo trì'!$B$6:$B$405,"&lt;="&amp;EOMONTH(E$5,0))&gt;0,"✔",IF(((EOMONTH(E$5,0)&gt;='Kế hoạch định kỳ'!$W108)*(INT((EOMONTH(E$5,0)-'Kế hoạch định kỳ'!$W108)/'Kế hoạch định kỳ'!$X108)+1)-(E$5-1&gt;='Kế hoạch định kỳ'!$W108)*(INT((E$5-1-'Kế hoạch định kỳ'!$W108)/'Kế hoạch định kỳ'!$X108)+1))&gt;0,IF(EOMONTH(E$5,0)&lt;'Tổng quan'!$B$11,"✖","○"),"")))</f>
        <v/>
      </c>
      <c r="F108" s="24" t="str">
        <f>IF($A108="","",IF(COUNTIFS('Nhật ký bảo trì'!$D$6:$D$405,$A108,'Nhật ký bảo trì'!$Q$6:$Q$405,"Hoàn thành",'Nhật ký bảo trì'!$B$6:$B$405,"&gt;="&amp;F$5,'Nhật ký bảo trì'!$B$6:$B$405,"&lt;="&amp;EOMONTH(F$5,0))&gt;0,"✔",IF(((EOMONTH(F$5,0)&gt;='Kế hoạch định kỳ'!$W108)*(INT((EOMONTH(F$5,0)-'Kế hoạch định kỳ'!$W108)/'Kế hoạch định kỳ'!$X108)+1)-(F$5-1&gt;='Kế hoạch định kỳ'!$W108)*(INT((F$5-1-'Kế hoạch định kỳ'!$W108)/'Kế hoạch định kỳ'!$X108)+1))&gt;0,IF(EOMONTH(F$5,0)&lt;'Tổng quan'!$B$11,"✖","○"),"")))</f>
        <v/>
      </c>
      <c r="G108" s="24" t="str">
        <f>IF($A108="","",IF(COUNTIFS('Nhật ký bảo trì'!$D$6:$D$405,$A108,'Nhật ký bảo trì'!$Q$6:$Q$405,"Hoàn thành",'Nhật ký bảo trì'!$B$6:$B$405,"&gt;="&amp;G$5,'Nhật ký bảo trì'!$B$6:$B$405,"&lt;="&amp;EOMONTH(G$5,0))&gt;0,"✔",IF(((EOMONTH(G$5,0)&gt;='Kế hoạch định kỳ'!$W108)*(INT((EOMONTH(G$5,0)-'Kế hoạch định kỳ'!$W108)/'Kế hoạch định kỳ'!$X108)+1)-(G$5-1&gt;='Kế hoạch định kỳ'!$W108)*(INT((G$5-1-'Kế hoạch định kỳ'!$W108)/'Kế hoạch định kỳ'!$X108)+1))&gt;0,IF(EOMONTH(G$5,0)&lt;'Tổng quan'!$B$11,"✖","○"),"")))</f>
        <v/>
      </c>
      <c r="H108" s="24" t="str">
        <f>IF($A108="","",IF(COUNTIFS('Nhật ký bảo trì'!$D$6:$D$405,$A108,'Nhật ký bảo trì'!$Q$6:$Q$405,"Hoàn thành",'Nhật ký bảo trì'!$B$6:$B$405,"&gt;="&amp;H$5,'Nhật ký bảo trì'!$B$6:$B$405,"&lt;="&amp;EOMONTH(H$5,0))&gt;0,"✔",IF(((EOMONTH(H$5,0)&gt;='Kế hoạch định kỳ'!$W108)*(INT((EOMONTH(H$5,0)-'Kế hoạch định kỳ'!$W108)/'Kế hoạch định kỳ'!$X108)+1)-(H$5-1&gt;='Kế hoạch định kỳ'!$W108)*(INT((H$5-1-'Kế hoạch định kỳ'!$W108)/'Kế hoạch định kỳ'!$X108)+1))&gt;0,IF(EOMONTH(H$5,0)&lt;'Tổng quan'!$B$11,"✖","○"),"")))</f>
        <v/>
      </c>
      <c r="I108" s="24" t="str">
        <f>IF($A108="","",IF(COUNTIFS('Nhật ký bảo trì'!$D$6:$D$405,$A108,'Nhật ký bảo trì'!$Q$6:$Q$405,"Hoàn thành",'Nhật ký bảo trì'!$B$6:$B$405,"&gt;="&amp;I$5,'Nhật ký bảo trì'!$B$6:$B$405,"&lt;="&amp;EOMONTH(I$5,0))&gt;0,"✔",IF(((EOMONTH(I$5,0)&gt;='Kế hoạch định kỳ'!$W108)*(INT((EOMONTH(I$5,0)-'Kế hoạch định kỳ'!$W108)/'Kế hoạch định kỳ'!$X108)+1)-(I$5-1&gt;='Kế hoạch định kỳ'!$W108)*(INT((I$5-1-'Kế hoạch định kỳ'!$W108)/'Kế hoạch định kỳ'!$X108)+1))&gt;0,IF(EOMONTH(I$5,0)&lt;'Tổng quan'!$B$11,"✖","○"),"")))</f>
        <v/>
      </c>
      <c r="J108" s="24" t="str">
        <f>IF($A108="","",IF(COUNTIFS('Nhật ký bảo trì'!$D$6:$D$405,$A108,'Nhật ký bảo trì'!$Q$6:$Q$405,"Hoàn thành",'Nhật ký bảo trì'!$B$6:$B$405,"&gt;="&amp;J$5,'Nhật ký bảo trì'!$B$6:$B$405,"&lt;="&amp;EOMONTH(J$5,0))&gt;0,"✔",IF(((EOMONTH(J$5,0)&gt;='Kế hoạch định kỳ'!$W108)*(INT((EOMONTH(J$5,0)-'Kế hoạch định kỳ'!$W108)/'Kế hoạch định kỳ'!$X108)+1)-(J$5-1&gt;='Kế hoạch định kỳ'!$W108)*(INT((J$5-1-'Kế hoạch định kỳ'!$W108)/'Kế hoạch định kỳ'!$X108)+1))&gt;0,IF(EOMONTH(J$5,0)&lt;'Tổng quan'!$B$11,"✖","○"),"")))</f>
        <v/>
      </c>
      <c r="K108" s="24" t="str">
        <f>IF($A108="","",IF(COUNTIFS('Nhật ký bảo trì'!$D$6:$D$405,$A108,'Nhật ký bảo trì'!$Q$6:$Q$405,"Hoàn thành",'Nhật ký bảo trì'!$B$6:$B$405,"&gt;="&amp;K$5,'Nhật ký bảo trì'!$B$6:$B$405,"&lt;="&amp;EOMONTH(K$5,0))&gt;0,"✔",IF(((EOMONTH(K$5,0)&gt;='Kế hoạch định kỳ'!$W108)*(INT((EOMONTH(K$5,0)-'Kế hoạch định kỳ'!$W108)/'Kế hoạch định kỳ'!$X108)+1)-(K$5-1&gt;='Kế hoạch định kỳ'!$W108)*(INT((K$5-1-'Kế hoạch định kỳ'!$W108)/'Kế hoạch định kỳ'!$X108)+1))&gt;0,IF(EOMONTH(K$5,0)&lt;'Tổng quan'!$B$11,"✖","○"),"")))</f>
        <v/>
      </c>
      <c r="L108" s="24" t="str">
        <f>IF($A108="","",IF(COUNTIFS('Nhật ký bảo trì'!$D$6:$D$405,$A108,'Nhật ký bảo trì'!$Q$6:$Q$405,"Hoàn thành",'Nhật ký bảo trì'!$B$6:$B$405,"&gt;="&amp;L$5,'Nhật ký bảo trì'!$B$6:$B$405,"&lt;="&amp;EOMONTH(L$5,0))&gt;0,"✔",IF(((EOMONTH(L$5,0)&gt;='Kế hoạch định kỳ'!$W108)*(INT((EOMONTH(L$5,0)-'Kế hoạch định kỳ'!$W108)/'Kế hoạch định kỳ'!$X108)+1)-(L$5-1&gt;='Kế hoạch định kỳ'!$W108)*(INT((L$5-1-'Kế hoạch định kỳ'!$W108)/'Kế hoạch định kỳ'!$X108)+1))&gt;0,IF(EOMONTH(L$5,0)&lt;'Tổng quan'!$B$11,"✖","○"),"")))</f>
        <v/>
      </c>
      <c r="M108" s="24" t="str">
        <f>IF($A108="","",IF(COUNTIFS('Nhật ký bảo trì'!$D$6:$D$405,$A108,'Nhật ký bảo trì'!$Q$6:$Q$405,"Hoàn thành",'Nhật ký bảo trì'!$B$6:$B$405,"&gt;="&amp;M$5,'Nhật ký bảo trì'!$B$6:$B$405,"&lt;="&amp;EOMONTH(M$5,0))&gt;0,"✔",IF(((EOMONTH(M$5,0)&gt;='Kế hoạch định kỳ'!$W108)*(INT((EOMONTH(M$5,0)-'Kế hoạch định kỳ'!$W108)/'Kế hoạch định kỳ'!$X108)+1)-(M$5-1&gt;='Kế hoạch định kỳ'!$W108)*(INT((M$5-1-'Kế hoạch định kỳ'!$W108)/'Kế hoạch định kỳ'!$X108)+1))&gt;0,IF(EOMONTH(M$5,0)&lt;'Tổng quan'!$B$11,"✖","○"),"")))</f>
        <v/>
      </c>
      <c r="N108" s="24" t="str">
        <f>IF($A108="","",IF(COUNTIFS('Nhật ký bảo trì'!$D$6:$D$405,$A108,'Nhật ký bảo trì'!$Q$6:$Q$405,"Hoàn thành",'Nhật ký bảo trì'!$B$6:$B$405,"&gt;="&amp;N$5,'Nhật ký bảo trì'!$B$6:$B$405,"&lt;="&amp;EOMONTH(N$5,0))&gt;0,"✔",IF(((EOMONTH(N$5,0)&gt;='Kế hoạch định kỳ'!$W108)*(INT((EOMONTH(N$5,0)-'Kế hoạch định kỳ'!$W108)/'Kế hoạch định kỳ'!$X108)+1)-(N$5-1&gt;='Kế hoạch định kỳ'!$W108)*(INT((N$5-1-'Kế hoạch định kỳ'!$W108)/'Kế hoạch định kỳ'!$X108)+1))&gt;0,IF(EOMONTH(N$5,0)&lt;'Tổng quan'!$B$11,"✖","○"),"")))</f>
        <v/>
      </c>
      <c r="O108" s="24" t="str">
        <f>IF($A108="","",IF(COUNTIFS('Nhật ký bảo trì'!$D$6:$D$405,$A108,'Nhật ký bảo trì'!$Q$6:$Q$405,"Hoàn thành",'Nhật ký bảo trì'!$B$6:$B$405,"&gt;="&amp;O$5,'Nhật ký bảo trì'!$B$6:$B$405,"&lt;="&amp;EOMONTH(O$5,0))&gt;0,"✔",IF(((EOMONTH(O$5,0)&gt;='Kế hoạch định kỳ'!$W108)*(INT((EOMONTH(O$5,0)-'Kế hoạch định kỳ'!$W108)/'Kế hoạch định kỳ'!$X108)+1)-(O$5-1&gt;='Kế hoạch định kỳ'!$W108)*(INT((O$5-1-'Kế hoạch định kỳ'!$W108)/'Kế hoạch định kỳ'!$X108)+1))&gt;0,IF(EOMONTH(O$5,0)&lt;'Tổng quan'!$B$11,"✖","○"),"")))</f>
        <v/>
      </c>
      <c r="P108" s="24" t="str">
        <f>IF($A108="","",IF(COUNTIFS('Nhật ký bảo trì'!$D$6:$D$405,$A108,'Nhật ký bảo trì'!$Q$6:$Q$405,"Hoàn thành",'Nhật ký bảo trì'!$B$6:$B$405,"&gt;="&amp;P$5,'Nhật ký bảo trì'!$B$6:$B$405,"&lt;="&amp;EOMONTH(P$5,0))&gt;0,"✔",IF(((EOMONTH(P$5,0)&gt;='Kế hoạch định kỳ'!$W108)*(INT((EOMONTH(P$5,0)-'Kế hoạch định kỳ'!$W108)/'Kế hoạch định kỳ'!$X108)+1)-(P$5-1&gt;='Kế hoạch định kỳ'!$W108)*(INT((P$5-1-'Kế hoạch định kỳ'!$W108)/'Kế hoạch định kỳ'!$X108)+1))&gt;0,IF(EOMONTH(P$5,0)&lt;'Tổng quan'!$B$11,"✖","○"),"")))</f>
        <v/>
      </c>
      <c r="Q108" s="16" t="str">
        <f>IF($A108="","",COUNTIFS('Nhật ký bảo trì'!$D$6:$D$405,$A108,'Nhật ký bảo trì'!$Q$6:$Q$405,"Hoàn thành",'Nhật ký bảo trì'!$B$6:$B$405,"&gt;="&amp;DATE('Tổng quan'!$B$6,1,1),'Nhật ký bảo trì'!$B$6:$B$405,"&lt;="&amp;DATE('Tổng quan'!$B$6,12,31)))</f>
        <v/>
      </c>
      <c r="R108" s="16" t="str">
        <f t="shared" si="1"/>
        <v/>
      </c>
    </row>
    <row r="109" ht="24.0" customHeight="1">
      <c r="A109" s="26" t="str">
        <f>IF('Kế hoạch định kỳ'!$B109="","",'Kế hoạch định kỳ'!$B109)</f>
        <v/>
      </c>
      <c r="B109" s="28" t="str">
        <f>IF('Kế hoạch định kỳ'!$B109="","",'Kế hoạch định kỳ'!$D109)</f>
        <v/>
      </c>
      <c r="C109" s="56" t="str">
        <f>IF('Kế hoạch định kỳ'!$B109="","",'Kế hoạch định kỳ'!$F109)</f>
        <v/>
      </c>
      <c r="D109" s="26" t="str">
        <f>IF('Kế hoạch định kỳ'!$B109="","",IF('Kế hoạch định kỳ'!$I109&lt;&gt;"",'Kế hoạch định kỳ'!$I109&amp;" ngày",'Kế hoạch định kỳ'!$H109))</f>
        <v/>
      </c>
      <c r="E109" s="61" t="str">
        <f>IF($A109="","",IF(COUNTIFS('Nhật ký bảo trì'!$D$6:$D$405,$A109,'Nhật ký bảo trì'!$Q$6:$Q$405,"Hoàn thành",'Nhật ký bảo trì'!$B$6:$B$405,"&gt;="&amp;E$5,'Nhật ký bảo trì'!$B$6:$B$405,"&lt;="&amp;EOMONTH(E$5,0))&gt;0,"✔",IF(((EOMONTH(E$5,0)&gt;='Kế hoạch định kỳ'!$W109)*(INT((EOMONTH(E$5,0)-'Kế hoạch định kỳ'!$W109)/'Kế hoạch định kỳ'!$X109)+1)-(E$5-1&gt;='Kế hoạch định kỳ'!$W109)*(INT((E$5-1-'Kế hoạch định kỳ'!$W109)/'Kế hoạch định kỳ'!$X109)+1))&gt;0,IF(EOMONTH(E$5,0)&lt;'Tổng quan'!$B$11,"✖","○"),"")))</f>
        <v/>
      </c>
      <c r="F109" s="61" t="str">
        <f>IF($A109="","",IF(COUNTIFS('Nhật ký bảo trì'!$D$6:$D$405,$A109,'Nhật ký bảo trì'!$Q$6:$Q$405,"Hoàn thành",'Nhật ký bảo trì'!$B$6:$B$405,"&gt;="&amp;F$5,'Nhật ký bảo trì'!$B$6:$B$405,"&lt;="&amp;EOMONTH(F$5,0))&gt;0,"✔",IF(((EOMONTH(F$5,0)&gt;='Kế hoạch định kỳ'!$W109)*(INT((EOMONTH(F$5,0)-'Kế hoạch định kỳ'!$W109)/'Kế hoạch định kỳ'!$X109)+1)-(F$5-1&gt;='Kế hoạch định kỳ'!$W109)*(INT((F$5-1-'Kế hoạch định kỳ'!$W109)/'Kế hoạch định kỳ'!$X109)+1))&gt;0,IF(EOMONTH(F$5,0)&lt;'Tổng quan'!$B$11,"✖","○"),"")))</f>
        <v/>
      </c>
      <c r="G109" s="61" t="str">
        <f>IF($A109="","",IF(COUNTIFS('Nhật ký bảo trì'!$D$6:$D$405,$A109,'Nhật ký bảo trì'!$Q$6:$Q$405,"Hoàn thành",'Nhật ký bảo trì'!$B$6:$B$405,"&gt;="&amp;G$5,'Nhật ký bảo trì'!$B$6:$B$405,"&lt;="&amp;EOMONTH(G$5,0))&gt;0,"✔",IF(((EOMONTH(G$5,0)&gt;='Kế hoạch định kỳ'!$W109)*(INT((EOMONTH(G$5,0)-'Kế hoạch định kỳ'!$W109)/'Kế hoạch định kỳ'!$X109)+1)-(G$5-1&gt;='Kế hoạch định kỳ'!$W109)*(INT((G$5-1-'Kế hoạch định kỳ'!$W109)/'Kế hoạch định kỳ'!$X109)+1))&gt;0,IF(EOMONTH(G$5,0)&lt;'Tổng quan'!$B$11,"✖","○"),"")))</f>
        <v/>
      </c>
      <c r="H109" s="61" t="str">
        <f>IF($A109="","",IF(COUNTIFS('Nhật ký bảo trì'!$D$6:$D$405,$A109,'Nhật ký bảo trì'!$Q$6:$Q$405,"Hoàn thành",'Nhật ký bảo trì'!$B$6:$B$405,"&gt;="&amp;H$5,'Nhật ký bảo trì'!$B$6:$B$405,"&lt;="&amp;EOMONTH(H$5,0))&gt;0,"✔",IF(((EOMONTH(H$5,0)&gt;='Kế hoạch định kỳ'!$W109)*(INT((EOMONTH(H$5,0)-'Kế hoạch định kỳ'!$W109)/'Kế hoạch định kỳ'!$X109)+1)-(H$5-1&gt;='Kế hoạch định kỳ'!$W109)*(INT((H$5-1-'Kế hoạch định kỳ'!$W109)/'Kế hoạch định kỳ'!$X109)+1))&gt;0,IF(EOMONTH(H$5,0)&lt;'Tổng quan'!$B$11,"✖","○"),"")))</f>
        <v/>
      </c>
      <c r="I109" s="61" t="str">
        <f>IF($A109="","",IF(COUNTIFS('Nhật ký bảo trì'!$D$6:$D$405,$A109,'Nhật ký bảo trì'!$Q$6:$Q$405,"Hoàn thành",'Nhật ký bảo trì'!$B$6:$B$405,"&gt;="&amp;I$5,'Nhật ký bảo trì'!$B$6:$B$405,"&lt;="&amp;EOMONTH(I$5,0))&gt;0,"✔",IF(((EOMONTH(I$5,0)&gt;='Kế hoạch định kỳ'!$W109)*(INT((EOMONTH(I$5,0)-'Kế hoạch định kỳ'!$W109)/'Kế hoạch định kỳ'!$X109)+1)-(I$5-1&gt;='Kế hoạch định kỳ'!$W109)*(INT((I$5-1-'Kế hoạch định kỳ'!$W109)/'Kế hoạch định kỳ'!$X109)+1))&gt;0,IF(EOMONTH(I$5,0)&lt;'Tổng quan'!$B$11,"✖","○"),"")))</f>
        <v/>
      </c>
      <c r="J109" s="61" t="str">
        <f>IF($A109="","",IF(COUNTIFS('Nhật ký bảo trì'!$D$6:$D$405,$A109,'Nhật ký bảo trì'!$Q$6:$Q$405,"Hoàn thành",'Nhật ký bảo trì'!$B$6:$B$405,"&gt;="&amp;J$5,'Nhật ký bảo trì'!$B$6:$B$405,"&lt;="&amp;EOMONTH(J$5,0))&gt;0,"✔",IF(((EOMONTH(J$5,0)&gt;='Kế hoạch định kỳ'!$W109)*(INT((EOMONTH(J$5,0)-'Kế hoạch định kỳ'!$W109)/'Kế hoạch định kỳ'!$X109)+1)-(J$5-1&gt;='Kế hoạch định kỳ'!$W109)*(INT((J$5-1-'Kế hoạch định kỳ'!$W109)/'Kế hoạch định kỳ'!$X109)+1))&gt;0,IF(EOMONTH(J$5,0)&lt;'Tổng quan'!$B$11,"✖","○"),"")))</f>
        <v/>
      </c>
      <c r="K109" s="61" t="str">
        <f>IF($A109="","",IF(COUNTIFS('Nhật ký bảo trì'!$D$6:$D$405,$A109,'Nhật ký bảo trì'!$Q$6:$Q$405,"Hoàn thành",'Nhật ký bảo trì'!$B$6:$B$405,"&gt;="&amp;K$5,'Nhật ký bảo trì'!$B$6:$B$405,"&lt;="&amp;EOMONTH(K$5,0))&gt;0,"✔",IF(((EOMONTH(K$5,0)&gt;='Kế hoạch định kỳ'!$W109)*(INT((EOMONTH(K$5,0)-'Kế hoạch định kỳ'!$W109)/'Kế hoạch định kỳ'!$X109)+1)-(K$5-1&gt;='Kế hoạch định kỳ'!$W109)*(INT((K$5-1-'Kế hoạch định kỳ'!$W109)/'Kế hoạch định kỳ'!$X109)+1))&gt;0,IF(EOMONTH(K$5,0)&lt;'Tổng quan'!$B$11,"✖","○"),"")))</f>
        <v/>
      </c>
      <c r="L109" s="61" t="str">
        <f>IF($A109="","",IF(COUNTIFS('Nhật ký bảo trì'!$D$6:$D$405,$A109,'Nhật ký bảo trì'!$Q$6:$Q$405,"Hoàn thành",'Nhật ký bảo trì'!$B$6:$B$405,"&gt;="&amp;L$5,'Nhật ký bảo trì'!$B$6:$B$405,"&lt;="&amp;EOMONTH(L$5,0))&gt;0,"✔",IF(((EOMONTH(L$5,0)&gt;='Kế hoạch định kỳ'!$W109)*(INT((EOMONTH(L$5,0)-'Kế hoạch định kỳ'!$W109)/'Kế hoạch định kỳ'!$X109)+1)-(L$5-1&gt;='Kế hoạch định kỳ'!$W109)*(INT((L$5-1-'Kế hoạch định kỳ'!$W109)/'Kế hoạch định kỳ'!$X109)+1))&gt;0,IF(EOMONTH(L$5,0)&lt;'Tổng quan'!$B$11,"✖","○"),"")))</f>
        <v/>
      </c>
      <c r="M109" s="61" t="str">
        <f>IF($A109="","",IF(COUNTIFS('Nhật ký bảo trì'!$D$6:$D$405,$A109,'Nhật ký bảo trì'!$Q$6:$Q$405,"Hoàn thành",'Nhật ký bảo trì'!$B$6:$B$405,"&gt;="&amp;M$5,'Nhật ký bảo trì'!$B$6:$B$405,"&lt;="&amp;EOMONTH(M$5,0))&gt;0,"✔",IF(((EOMONTH(M$5,0)&gt;='Kế hoạch định kỳ'!$W109)*(INT((EOMONTH(M$5,0)-'Kế hoạch định kỳ'!$W109)/'Kế hoạch định kỳ'!$X109)+1)-(M$5-1&gt;='Kế hoạch định kỳ'!$W109)*(INT((M$5-1-'Kế hoạch định kỳ'!$W109)/'Kế hoạch định kỳ'!$X109)+1))&gt;0,IF(EOMONTH(M$5,0)&lt;'Tổng quan'!$B$11,"✖","○"),"")))</f>
        <v/>
      </c>
      <c r="N109" s="61" t="str">
        <f>IF($A109="","",IF(COUNTIFS('Nhật ký bảo trì'!$D$6:$D$405,$A109,'Nhật ký bảo trì'!$Q$6:$Q$405,"Hoàn thành",'Nhật ký bảo trì'!$B$6:$B$405,"&gt;="&amp;N$5,'Nhật ký bảo trì'!$B$6:$B$405,"&lt;="&amp;EOMONTH(N$5,0))&gt;0,"✔",IF(((EOMONTH(N$5,0)&gt;='Kế hoạch định kỳ'!$W109)*(INT((EOMONTH(N$5,0)-'Kế hoạch định kỳ'!$W109)/'Kế hoạch định kỳ'!$X109)+1)-(N$5-1&gt;='Kế hoạch định kỳ'!$W109)*(INT((N$5-1-'Kế hoạch định kỳ'!$W109)/'Kế hoạch định kỳ'!$X109)+1))&gt;0,IF(EOMONTH(N$5,0)&lt;'Tổng quan'!$B$11,"✖","○"),"")))</f>
        <v/>
      </c>
      <c r="O109" s="61" t="str">
        <f>IF($A109="","",IF(COUNTIFS('Nhật ký bảo trì'!$D$6:$D$405,$A109,'Nhật ký bảo trì'!$Q$6:$Q$405,"Hoàn thành",'Nhật ký bảo trì'!$B$6:$B$405,"&gt;="&amp;O$5,'Nhật ký bảo trì'!$B$6:$B$405,"&lt;="&amp;EOMONTH(O$5,0))&gt;0,"✔",IF(((EOMONTH(O$5,0)&gt;='Kế hoạch định kỳ'!$W109)*(INT((EOMONTH(O$5,0)-'Kế hoạch định kỳ'!$W109)/'Kế hoạch định kỳ'!$X109)+1)-(O$5-1&gt;='Kế hoạch định kỳ'!$W109)*(INT((O$5-1-'Kế hoạch định kỳ'!$W109)/'Kế hoạch định kỳ'!$X109)+1))&gt;0,IF(EOMONTH(O$5,0)&lt;'Tổng quan'!$B$11,"✖","○"),"")))</f>
        <v/>
      </c>
      <c r="P109" s="61" t="str">
        <f>IF($A109="","",IF(COUNTIFS('Nhật ký bảo trì'!$D$6:$D$405,$A109,'Nhật ký bảo trì'!$Q$6:$Q$405,"Hoàn thành",'Nhật ký bảo trì'!$B$6:$B$405,"&gt;="&amp;P$5,'Nhật ký bảo trì'!$B$6:$B$405,"&lt;="&amp;EOMONTH(P$5,0))&gt;0,"✔",IF(((EOMONTH(P$5,0)&gt;='Kế hoạch định kỳ'!$W109)*(INT((EOMONTH(P$5,0)-'Kế hoạch định kỳ'!$W109)/'Kế hoạch định kỳ'!$X109)+1)-(P$5-1&gt;='Kế hoạch định kỳ'!$W109)*(INT((P$5-1-'Kế hoạch định kỳ'!$W109)/'Kế hoạch định kỳ'!$X109)+1))&gt;0,IF(EOMONTH(P$5,0)&lt;'Tổng quan'!$B$11,"✖","○"),"")))</f>
        <v/>
      </c>
      <c r="Q109" s="30" t="str">
        <f>IF($A109="","",COUNTIFS('Nhật ký bảo trì'!$D$6:$D$405,$A109,'Nhật ký bảo trì'!$Q$6:$Q$405,"Hoàn thành",'Nhật ký bảo trì'!$B$6:$B$405,"&gt;="&amp;DATE('Tổng quan'!$B$6,1,1),'Nhật ký bảo trì'!$B$6:$B$405,"&lt;="&amp;DATE('Tổng quan'!$B$6,12,31)))</f>
        <v/>
      </c>
      <c r="R109" s="30" t="str">
        <f t="shared" si="1"/>
        <v/>
      </c>
    </row>
    <row r="110" ht="24.0" customHeight="1">
      <c r="A110" s="10" t="str">
        <f>IF('Kế hoạch định kỳ'!$B110="","",'Kế hoạch định kỳ'!$B110)</f>
        <v/>
      </c>
      <c r="B110" s="14" t="str">
        <f>IF('Kế hoạch định kỳ'!$B110="","",'Kế hoạch định kỳ'!$D110)</f>
        <v/>
      </c>
      <c r="C110" s="18" t="str">
        <f>IF('Kế hoạch định kỳ'!$B110="","",'Kế hoạch định kỳ'!$F110)</f>
        <v/>
      </c>
      <c r="D110" s="10" t="str">
        <f>IF('Kế hoạch định kỳ'!$B110="","",IF('Kế hoạch định kỳ'!$I110&lt;&gt;"",'Kế hoạch định kỳ'!$I110&amp;" ngày",'Kế hoạch định kỳ'!$H110))</f>
        <v/>
      </c>
      <c r="E110" s="24" t="str">
        <f>IF($A110="","",IF(COUNTIFS('Nhật ký bảo trì'!$D$6:$D$405,$A110,'Nhật ký bảo trì'!$Q$6:$Q$405,"Hoàn thành",'Nhật ký bảo trì'!$B$6:$B$405,"&gt;="&amp;E$5,'Nhật ký bảo trì'!$B$6:$B$405,"&lt;="&amp;EOMONTH(E$5,0))&gt;0,"✔",IF(((EOMONTH(E$5,0)&gt;='Kế hoạch định kỳ'!$W110)*(INT((EOMONTH(E$5,0)-'Kế hoạch định kỳ'!$W110)/'Kế hoạch định kỳ'!$X110)+1)-(E$5-1&gt;='Kế hoạch định kỳ'!$W110)*(INT((E$5-1-'Kế hoạch định kỳ'!$W110)/'Kế hoạch định kỳ'!$X110)+1))&gt;0,IF(EOMONTH(E$5,0)&lt;'Tổng quan'!$B$11,"✖","○"),"")))</f>
        <v/>
      </c>
      <c r="F110" s="24" t="str">
        <f>IF($A110="","",IF(COUNTIFS('Nhật ký bảo trì'!$D$6:$D$405,$A110,'Nhật ký bảo trì'!$Q$6:$Q$405,"Hoàn thành",'Nhật ký bảo trì'!$B$6:$B$405,"&gt;="&amp;F$5,'Nhật ký bảo trì'!$B$6:$B$405,"&lt;="&amp;EOMONTH(F$5,0))&gt;0,"✔",IF(((EOMONTH(F$5,0)&gt;='Kế hoạch định kỳ'!$W110)*(INT((EOMONTH(F$5,0)-'Kế hoạch định kỳ'!$W110)/'Kế hoạch định kỳ'!$X110)+1)-(F$5-1&gt;='Kế hoạch định kỳ'!$W110)*(INT((F$5-1-'Kế hoạch định kỳ'!$W110)/'Kế hoạch định kỳ'!$X110)+1))&gt;0,IF(EOMONTH(F$5,0)&lt;'Tổng quan'!$B$11,"✖","○"),"")))</f>
        <v/>
      </c>
      <c r="G110" s="24" t="str">
        <f>IF($A110="","",IF(COUNTIFS('Nhật ký bảo trì'!$D$6:$D$405,$A110,'Nhật ký bảo trì'!$Q$6:$Q$405,"Hoàn thành",'Nhật ký bảo trì'!$B$6:$B$405,"&gt;="&amp;G$5,'Nhật ký bảo trì'!$B$6:$B$405,"&lt;="&amp;EOMONTH(G$5,0))&gt;0,"✔",IF(((EOMONTH(G$5,0)&gt;='Kế hoạch định kỳ'!$W110)*(INT((EOMONTH(G$5,0)-'Kế hoạch định kỳ'!$W110)/'Kế hoạch định kỳ'!$X110)+1)-(G$5-1&gt;='Kế hoạch định kỳ'!$W110)*(INT((G$5-1-'Kế hoạch định kỳ'!$W110)/'Kế hoạch định kỳ'!$X110)+1))&gt;0,IF(EOMONTH(G$5,0)&lt;'Tổng quan'!$B$11,"✖","○"),"")))</f>
        <v/>
      </c>
      <c r="H110" s="24" t="str">
        <f>IF($A110="","",IF(COUNTIFS('Nhật ký bảo trì'!$D$6:$D$405,$A110,'Nhật ký bảo trì'!$Q$6:$Q$405,"Hoàn thành",'Nhật ký bảo trì'!$B$6:$B$405,"&gt;="&amp;H$5,'Nhật ký bảo trì'!$B$6:$B$405,"&lt;="&amp;EOMONTH(H$5,0))&gt;0,"✔",IF(((EOMONTH(H$5,0)&gt;='Kế hoạch định kỳ'!$W110)*(INT((EOMONTH(H$5,0)-'Kế hoạch định kỳ'!$W110)/'Kế hoạch định kỳ'!$X110)+1)-(H$5-1&gt;='Kế hoạch định kỳ'!$W110)*(INT((H$5-1-'Kế hoạch định kỳ'!$W110)/'Kế hoạch định kỳ'!$X110)+1))&gt;0,IF(EOMONTH(H$5,0)&lt;'Tổng quan'!$B$11,"✖","○"),"")))</f>
        <v/>
      </c>
      <c r="I110" s="24" t="str">
        <f>IF($A110="","",IF(COUNTIFS('Nhật ký bảo trì'!$D$6:$D$405,$A110,'Nhật ký bảo trì'!$Q$6:$Q$405,"Hoàn thành",'Nhật ký bảo trì'!$B$6:$B$405,"&gt;="&amp;I$5,'Nhật ký bảo trì'!$B$6:$B$405,"&lt;="&amp;EOMONTH(I$5,0))&gt;0,"✔",IF(((EOMONTH(I$5,0)&gt;='Kế hoạch định kỳ'!$W110)*(INT((EOMONTH(I$5,0)-'Kế hoạch định kỳ'!$W110)/'Kế hoạch định kỳ'!$X110)+1)-(I$5-1&gt;='Kế hoạch định kỳ'!$W110)*(INT((I$5-1-'Kế hoạch định kỳ'!$W110)/'Kế hoạch định kỳ'!$X110)+1))&gt;0,IF(EOMONTH(I$5,0)&lt;'Tổng quan'!$B$11,"✖","○"),"")))</f>
        <v/>
      </c>
      <c r="J110" s="24" t="str">
        <f>IF($A110="","",IF(COUNTIFS('Nhật ký bảo trì'!$D$6:$D$405,$A110,'Nhật ký bảo trì'!$Q$6:$Q$405,"Hoàn thành",'Nhật ký bảo trì'!$B$6:$B$405,"&gt;="&amp;J$5,'Nhật ký bảo trì'!$B$6:$B$405,"&lt;="&amp;EOMONTH(J$5,0))&gt;0,"✔",IF(((EOMONTH(J$5,0)&gt;='Kế hoạch định kỳ'!$W110)*(INT((EOMONTH(J$5,0)-'Kế hoạch định kỳ'!$W110)/'Kế hoạch định kỳ'!$X110)+1)-(J$5-1&gt;='Kế hoạch định kỳ'!$W110)*(INT((J$5-1-'Kế hoạch định kỳ'!$W110)/'Kế hoạch định kỳ'!$X110)+1))&gt;0,IF(EOMONTH(J$5,0)&lt;'Tổng quan'!$B$11,"✖","○"),"")))</f>
        <v/>
      </c>
      <c r="K110" s="24" t="str">
        <f>IF($A110="","",IF(COUNTIFS('Nhật ký bảo trì'!$D$6:$D$405,$A110,'Nhật ký bảo trì'!$Q$6:$Q$405,"Hoàn thành",'Nhật ký bảo trì'!$B$6:$B$405,"&gt;="&amp;K$5,'Nhật ký bảo trì'!$B$6:$B$405,"&lt;="&amp;EOMONTH(K$5,0))&gt;0,"✔",IF(((EOMONTH(K$5,0)&gt;='Kế hoạch định kỳ'!$W110)*(INT((EOMONTH(K$5,0)-'Kế hoạch định kỳ'!$W110)/'Kế hoạch định kỳ'!$X110)+1)-(K$5-1&gt;='Kế hoạch định kỳ'!$W110)*(INT((K$5-1-'Kế hoạch định kỳ'!$W110)/'Kế hoạch định kỳ'!$X110)+1))&gt;0,IF(EOMONTH(K$5,0)&lt;'Tổng quan'!$B$11,"✖","○"),"")))</f>
        <v/>
      </c>
      <c r="L110" s="24" t="str">
        <f>IF($A110="","",IF(COUNTIFS('Nhật ký bảo trì'!$D$6:$D$405,$A110,'Nhật ký bảo trì'!$Q$6:$Q$405,"Hoàn thành",'Nhật ký bảo trì'!$B$6:$B$405,"&gt;="&amp;L$5,'Nhật ký bảo trì'!$B$6:$B$405,"&lt;="&amp;EOMONTH(L$5,0))&gt;0,"✔",IF(((EOMONTH(L$5,0)&gt;='Kế hoạch định kỳ'!$W110)*(INT((EOMONTH(L$5,0)-'Kế hoạch định kỳ'!$W110)/'Kế hoạch định kỳ'!$X110)+1)-(L$5-1&gt;='Kế hoạch định kỳ'!$W110)*(INT((L$5-1-'Kế hoạch định kỳ'!$W110)/'Kế hoạch định kỳ'!$X110)+1))&gt;0,IF(EOMONTH(L$5,0)&lt;'Tổng quan'!$B$11,"✖","○"),"")))</f>
        <v/>
      </c>
      <c r="M110" s="24" t="str">
        <f>IF($A110="","",IF(COUNTIFS('Nhật ký bảo trì'!$D$6:$D$405,$A110,'Nhật ký bảo trì'!$Q$6:$Q$405,"Hoàn thành",'Nhật ký bảo trì'!$B$6:$B$405,"&gt;="&amp;M$5,'Nhật ký bảo trì'!$B$6:$B$405,"&lt;="&amp;EOMONTH(M$5,0))&gt;0,"✔",IF(((EOMONTH(M$5,0)&gt;='Kế hoạch định kỳ'!$W110)*(INT((EOMONTH(M$5,0)-'Kế hoạch định kỳ'!$W110)/'Kế hoạch định kỳ'!$X110)+1)-(M$5-1&gt;='Kế hoạch định kỳ'!$W110)*(INT((M$5-1-'Kế hoạch định kỳ'!$W110)/'Kế hoạch định kỳ'!$X110)+1))&gt;0,IF(EOMONTH(M$5,0)&lt;'Tổng quan'!$B$11,"✖","○"),"")))</f>
        <v/>
      </c>
      <c r="N110" s="24" t="str">
        <f>IF($A110="","",IF(COUNTIFS('Nhật ký bảo trì'!$D$6:$D$405,$A110,'Nhật ký bảo trì'!$Q$6:$Q$405,"Hoàn thành",'Nhật ký bảo trì'!$B$6:$B$405,"&gt;="&amp;N$5,'Nhật ký bảo trì'!$B$6:$B$405,"&lt;="&amp;EOMONTH(N$5,0))&gt;0,"✔",IF(((EOMONTH(N$5,0)&gt;='Kế hoạch định kỳ'!$W110)*(INT((EOMONTH(N$5,0)-'Kế hoạch định kỳ'!$W110)/'Kế hoạch định kỳ'!$X110)+1)-(N$5-1&gt;='Kế hoạch định kỳ'!$W110)*(INT((N$5-1-'Kế hoạch định kỳ'!$W110)/'Kế hoạch định kỳ'!$X110)+1))&gt;0,IF(EOMONTH(N$5,0)&lt;'Tổng quan'!$B$11,"✖","○"),"")))</f>
        <v/>
      </c>
      <c r="O110" s="24" t="str">
        <f>IF($A110="","",IF(COUNTIFS('Nhật ký bảo trì'!$D$6:$D$405,$A110,'Nhật ký bảo trì'!$Q$6:$Q$405,"Hoàn thành",'Nhật ký bảo trì'!$B$6:$B$405,"&gt;="&amp;O$5,'Nhật ký bảo trì'!$B$6:$B$405,"&lt;="&amp;EOMONTH(O$5,0))&gt;0,"✔",IF(((EOMONTH(O$5,0)&gt;='Kế hoạch định kỳ'!$W110)*(INT((EOMONTH(O$5,0)-'Kế hoạch định kỳ'!$W110)/'Kế hoạch định kỳ'!$X110)+1)-(O$5-1&gt;='Kế hoạch định kỳ'!$W110)*(INT((O$5-1-'Kế hoạch định kỳ'!$W110)/'Kế hoạch định kỳ'!$X110)+1))&gt;0,IF(EOMONTH(O$5,0)&lt;'Tổng quan'!$B$11,"✖","○"),"")))</f>
        <v/>
      </c>
      <c r="P110" s="24" t="str">
        <f>IF($A110="","",IF(COUNTIFS('Nhật ký bảo trì'!$D$6:$D$405,$A110,'Nhật ký bảo trì'!$Q$6:$Q$405,"Hoàn thành",'Nhật ký bảo trì'!$B$6:$B$405,"&gt;="&amp;P$5,'Nhật ký bảo trì'!$B$6:$B$405,"&lt;="&amp;EOMONTH(P$5,0))&gt;0,"✔",IF(((EOMONTH(P$5,0)&gt;='Kế hoạch định kỳ'!$W110)*(INT((EOMONTH(P$5,0)-'Kế hoạch định kỳ'!$W110)/'Kế hoạch định kỳ'!$X110)+1)-(P$5-1&gt;='Kế hoạch định kỳ'!$W110)*(INT((P$5-1-'Kế hoạch định kỳ'!$W110)/'Kế hoạch định kỳ'!$X110)+1))&gt;0,IF(EOMONTH(P$5,0)&lt;'Tổng quan'!$B$11,"✖","○"),"")))</f>
        <v/>
      </c>
      <c r="Q110" s="16" t="str">
        <f>IF($A110="","",COUNTIFS('Nhật ký bảo trì'!$D$6:$D$405,$A110,'Nhật ký bảo trì'!$Q$6:$Q$405,"Hoàn thành",'Nhật ký bảo trì'!$B$6:$B$405,"&gt;="&amp;DATE('Tổng quan'!$B$6,1,1),'Nhật ký bảo trì'!$B$6:$B$405,"&lt;="&amp;DATE('Tổng quan'!$B$6,12,31)))</f>
        <v/>
      </c>
      <c r="R110" s="16" t="str">
        <f t="shared" si="1"/>
        <v/>
      </c>
    </row>
    <row r="111" ht="24.0" customHeight="1">
      <c r="A111" s="26" t="str">
        <f>IF('Kế hoạch định kỳ'!$B111="","",'Kế hoạch định kỳ'!$B111)</f>
        <v/>
      </c>
      <c r="B111" s="28" t="str">
        <f>IF('Kế hoạch định kỳ'!$B111="","",'Kế hoạch định kỳ'!$D111)</f>
        <v/>
      </c>
      <c r="C111" s="56" t="str">
        <f>IF('Kế hoạch định kỳ'!$B111="","",'Kế hoạch định kỳ'!$F111)</f>
        <v/>
      </c>
      <c r="D111" s="26" t="str">
        <f>IF('Kế hoạch định kỳ'!$B111="","",IF('Kế hoạch định kỳ'!$I111&lt;&gt;"",'Kế hoạch định kỳ'!$I111&amp;" ngày",'Kế hoạch định kỳ'!$H111))</f>
        <v/>
      </c>
      <c r="E111" s="61" t="str">
        <f>IF($A111="","",IF(COUNTIFS('Nhật ký bảo trì'!$D$6:$D$405,$A111,'Nhật ký bảo trì'!$Q$6:$Q$405,"Hoàn thành",'Nhật ký bảo trì'!$B$6:$B$405,"&gt;="&amp;E$5,'Nhật ký bảo trì'!$B$6:$B$405,"&lt;="&amp;EOMONTH(E$5,0))&gt;0,"✔",IF(((EOMONTH(E$5,0)&gt;='Kế hoạch định kỳ'!$W111)*(INT((EOMONTH(E$5,0)-'Kế hoạch định kỳ'!$W111)/'Kế hoạch định kỳ'!$X111)+1)-(E$5-1&gt;='Kế hoạch định kỳ'!$W111)*(INT((E$5-1-'Kế hoạch định kỳ'!$W111)/'Kế hoạch định kỳ'!$X111)+1))&gt;0,IF(EOMONTH(E$5,0)&lt;'Tổng quan'!$B$11,"✖","○"),"")))</f>
        <v/>
      </c>
      <c r="F111" s="61" t="str">
        <f>IF($A111="","",IF(COUNTIFS('Nhật ký bảo trì'!$D$6:$D$405,$A111,'Nhật ký bảo trì'!$Q$6:$Q$405,"Hoàn thành",'Nhật ký bảo trì'!$B$6:$B$405,"&gt;="&amp;F$5,'Nhật ký bảo trì'!$B$6:$B$405,"&lt;="&amp;EOMONTH(F$5,0))&gt;0,"✔",IF(((EOMONTH(F$5,0)&gt;='Kế hoạch định kỳ'!$W111)*(INT((EOMONTH(F$5,0)-'Kế hoạch định kỳ'!$W111)/'Kế hoạch định kỳ'!$X111)+1)-(F$5-1&gt;='Kế hoạch định kỳ'!$W111)*(INT((F$5-1-'Kế hoạch định kỳ'!$W111)/'Kế hoạch định kỳ'!$X111)+1))&gt;0,IF(EOMONTH(F$5,0)&lt;'Tổng quan'!$B$11,"✖","○"),"")))</f>
        <v/>
      </c>
      <c r="G111" s="61" t="str">
        <f>IF($A111="","",IF(COUNTIFS('Nhật ký bảo trì'!$D$6:$D$405,$A111,'Nhật ký bảo trì'!$Q$6:$Q$405,"Hoàn thành",'Nhật ký bảo trì'!$B$6:$B$405,"&gt;="&amp;G$5,'Nhật ký bảo trì'!$B$6:$B$405,"&lt;="&amp;EOMONTH(G$5,0))&gt;0,"✔",IF(((EOMONTH(G$5,0)&gt;='Kế hoạch định kỳ'!$W111)*(INT((EOMONTH(G$5,0)-'Kế hoạch định kỳ'!$W111)/'Kế hoạch định kỳ'!$X111)+1)-(G$5-1&gt;='Kế hoạch định kỳ'!$W111)*(INT((G$5-1-'Kế hoạch định kỳ'!$W111)/'Kế hoạch định kỳ'!$X111)+1))&gt;0,IF(EOMONTH(G$5,0)&lt;'Tổng quan'!$B$11,"✖","○"),"")))</f>
        <v/>
      </c>
      <c r="H111" s="61" t="str">
        <f>IF($A111="","",IF(COUNTIFS('Nhật ký bảo trì'!$D$6:$D$405,$A111,'Nhật ký bảo trì'!$Q$6:$Q$405,"Hoàn thành",'Nhật ký bảo trì'!$B$6:$B$405,"&gt;="&amp;H$5,'Nhật ký bảo trì'!$B$6:$B$405,"&lt;="&amp;EOMONTH(H$5,0))&gt;0,"✔",IF(((EOMONTH(H$5,0)&gt;='Kế hoạch định kỳ'!$W111)*(INT((EOMONTH(H$5,0)-'Kế hoạch định kỳ'!$W111)/'Kế hoạch định kỳ'!$X111)+1)-(H$5-1&gt;='Kế hoạch định kỳ'!$W111)*(INT((H$5-1-'Kế hoạch định kỳ'!$W111)/'Kế hoạch định kỳ'!$X111)+1))&gt;0,IF(EOMONTH(H$5,0)&lt;'Tổng quan'!$B$11,"✖","○"),"")))</f>
        <v/>
      </c>
      <c r="I111" s="61" t="str">
        <f>IF($A111="","",IF(COUNTIFS('Nhật ký bảo trì'!$D$6:$D$405,$A111,'Nhật ký bảo trì'!$Q$6:$Q$405,"Hoàn thành",'Nhật ký bảo trì'!$B$6:$B$405,"&gt;="&amp;I$5,'Nhật ký bảo trì'!$B$6:$B$405,"&lt;="&amp;EOMONTH(I$5,0))&gt;0,"✔",IF(((EOMONTH(I$5,0)&gt;='Kế hoạch định kỳ'!$W111)*(INT((EOMONTH(I$5,0)-'Kế hoạch định kỳ'!$W111)/'Kế hoạch định kỳ'!$X111)+1)-(I$5-1&gt;='Kế hoạch định kỳ'!$W111)*(INT((I$5-1-'Kế hoạch định kỳ'!$W111)/'Kế hoạch định kỳ'!$X111)+1))&gt;0,IF(EOMONTH(I$5,0)&lt;'Tổng quan'!$B$11,"✖","○"),"")))</f>
        <v/>
      </c>
      <c r="J111" s="61" t="str">
        <f>IF($A111="","",IF(COUNTIFS('Nhật ký bảo trì'!$D$6:$D$405,$A111,'Nhật ký bảo trì'!$Q$6:$Q$405,"Hoàn thành",'Nhật ký bảo trì'!$B$6:$B$405,"&gt;="&amp;J$5,'Nhật ký bảo trì'!$B$6:$B$405,"&lt;="&amp;EOMONTH(J$5,0))&gt;0,"✔",IF(((EOMONTH(J$5,0)&gt;='Kế hoạch định kỳ'!$W111)*(INT((EOMONTH(J$5,0)-'Kế hoạch định kỳ'!$W111)/'Kế hoạch định kỳ'!$X111)+1)-(J$5-1&gt;='Kế hoạch định kỳ'!$W111)*(INT((J$5-1-'Kế hoạch định kỳ'!$W111)/'Kế hoạch định kỳ'!$X111)+1))&gt;0,IF(EOMONTH(J$5,0)&lt;'Tổng quan'!$B$11,"✖","○"),"")))</f>
        <v/>
      </c>
      <c r="K111" s="61" t="str">
        <f>IF($A111="","",IF(COUNTIFS('Nhật ký bảo trì'!$D$6:$D$405,$A111,'Nhật ký bảo trì'!$Q$6:$Q$405,"Hoàn thành",'Nhật ký bảo trì'!$B$6:$B$405,"&gt;="&amp;K$5,'Nhật ký bảo trì'!$B$6:$B$405,"&lt;="&amp;EOMONTH(K$5,0))&gt;0,"✔",IF(((EOMONTH(K$5,0)&gt;='Kế hoạch định kỳ'!$W111)*(INT((EOMONTH(K$5,0)-'Kế hoạch định kỳ'!$W111)/'Kế hoạch định kỳ'!$X111)+1)-(K$5-1&gt;='Kế hoạch định kỳ'!$W111)*(INT((K$5-1-'Kế hoạch định kỳ'!$W111)/'Kế hoạch định kỳ'!$X111)+1))&gt;0,IF(EOMONTH(K$5,0)&lt;'Tổng quan'!$B$11,"✖","○"),"")))</f>
        <v/>
      </c>
      <c r="L111" s="61" t="str">
        <f>IF($A111="","",IF(COUNTIFS('Nhật ký bảo trì'!$D$6:$D$405,$A111,'Nhật ký bảo trì'!$Q$6:$Q$405,"Hoàn thành",'Nhật ký bảo trì'!$B$6:$B$405,"&gt;="&amp;L$5,'Nhật ký bảo trì'!$B$6:$B$405,"&lt;="&amp;EOMONTH(L$5,0))&gt;0,"✔",IF(((EOMONTH(L$5,0)&gt;='Kế hoạch định kỳ'!$W111)*(INT((EOMONTH(L$5,0)-'Kế hoạch định kỳ'!$W111)/'Kế hoạch định kỳ'!$X111)+1)-(L$5-1&gt;='Kế hoạch định kỳ'!$W111)*(INT((L$5-1-'Kế hoạch định kỳ'!$W111)/'Kế hoạch định kỳ'!$X111)+1))&gt;0,IF(EOMONTH(L$5,0)&lt;'Tổng quan'!$B$11,"✖","○"),"")))</f>
        <v/>
      </c>
      <c r="M111" s="61" t="str">
        <f>IF($A111="","",IF(COUNTIFS('Nhật ký bảo trì'!$D$6:$D$405,$A111,'Nhật ký bảo trì'!$Q$6:$Q$405,"Hoàn thành",'Nhật ký bảo trì'!$B$6:$B$405,"&gt;="&amp;M$5,'Nhật ký bảo trì'!$B$6:$B$405,"&lt;="&amp;EOMONTH(M$5,0))&gt;0,"✔",IF(((EOMONTH(M$5,0)&gt;='Kế hoạch định kỳ'!$W111)*(INT((EOMONTH(M$5,0)-'Kế hoạch định kỳ'!$W111)/'Kế hoạch định kỳ'!$X111)+1)-(M$5-1&gt;='Kế hoạch định kỳ'!$W111)*(INT((M$5-1-'Kế hoạch định kỳ'!$W111)/'Kế hoạch định kỳ'!$X111)+1))&gt;0,IF(EOMONTH(M$5,0)&lt;'Tổng quan'!$B$11,"✖","○"),"")))</f>
        <v/>
      </c>
      <c r="N111" s="61" t="str">
        <f>IF($A111="","",IF(COUNTIFS('Nhật ký bảo trì'!$D$6:$D$405,$A111,'Nhật ký bảo trì'!$Q$6:$Q$405,"Hoàn thành",'Nhật ký bảo trì'!$B$6:$B$405,"&gt;="&amp;N$5,'Nhật ký bảo trì'!$B$6:$B$405,"&lt;="&amp;EOMONTH(N$5,0))&gt;0,"✔",IF(((EOMONTH(N$5,0)&gt;='Kế hoạch định kỳ'!$W111)*(INT((EOMONTH(N$5,0)-'Kế hoạch định kỳ'!$W111)/'Kế hoạch định kỳ'!$X111)+1)-(N$5-1&gt;='Kế hoạch định kỳ'!$W111)*(INT((N$5-1-'Kế hoạch định kỳ'!$W111)/'Kế hoạch định kỳ'!$X111)+1))&gt;0,IF(EOMONTH(N$5,0)&lt;'Tổng quan'!$B$11,"✖","○"),"")))</f>
        <v/>
      </c>
      <c r="O111" s="61" t="str">
        <f>IF($A111="","",IF(COUNTIFS('Nhật ký bảo trì'!$D$6:$D$405,$A111,'Nhật ký bảo trì'!$Q$6:$Q$405,"Hoàn thành",'Nhật ký bảo trì'!$B$6:$B$405,"&gt;="&amp;O$5,'Nhật ký bảo trì'!$B$6:$B$405,"&lt;="&amp;EOMONTH(O$5,0))&gt;0,"✔",IF(((EOMONTH(O$5,0)&gt;='Kế hoạch định kỳ'!$W111)*(INT((EOMONTH(O$5,0)-'Kế hoạch định kỳ'!$W111)/'Kế hoạch định kỳ'!$X111)+1)-(O$5-1&gt;='Kế hoạch định kỳ'!$W111)*(INT((O$5-1-'Kế hoạch định kỳ'!$W111)/'Kế hoạch định kỳ'!$X111)+1))&gt;0,IF(EOMONTH(O$5,0)&lt;'Tổng quan'!$B$11,"✖","○"),"")))</f>
        <v/>
      </c>
      <c r="P111" s="61" t="str">
        <f>IF($A111="","",IF(COUNTIFS('Nhật ký bảo trì'!$D$6:$D$405,$A111,'Nhật ký bảo trì'!$Q$6:$Q$405,"Hoàn thành",'Nhật ký bảo trì'!$B$6:$B$405,"&gt;="&amp;P$5,'Nhật ký bảo trì'!$B$6:$B$405,"&lt;="&amp;EOMONTH(P$5,0))&gt;0,"✔",IF(((EOMONTH(P$5,0)&gt;='Kế hoạch định kỳ'!$W111)*(INT((EOMONTH(P$5,0)-'Kế hoạch định kỳ'!$W111)/'Kế hoạch định kỳ'!$X111)+1)-(P$5-1&gt;='Kế hoạch định kỳ'!$W111)*(INT((P$5-1-'Kế hoạch định kỳ'!$W111)/'Kế hoạch định kỳ'!$X111)+1))&gt;0,IF(EOMONTH(P$5,0)&lt;'Tổng quan'!$B$11,"✖","○"),"")))</f>
        <v/>
      </c>
      <c r="Q111" s="30" t="str">
        <f>IF($A111="","",COUNTIFS('Nhật ký bảo trì'!$D$6:$D$405,$A111,'Nhật ký bảo trì'!$Q$6:$Q$405,"Hoàn thành",'Nhật ký bảo trì'!$B$6:$B$405,"&gt;="&amp;DATE('Tổng quan'!$B$6,1,1),'Nhật ký bảo trì'!$B$6:$B$405,"&lt;="&amp;DATE('Tổng quan'!$B$6,12,31)))</f>
        <v/>
      </c>
      <c r="R111" s="30" t="str">
        <f t="shared" si="1"/>
        <v/>
      </c>
    </row>
    <row r="112" ht="24.0" customHeight="1">
      <c r="A112" s="10" t="str">
        <f>IF('Kế hoạch định kỳ'!$B112="","",'Kế hoạch định kỳ'!$B112)</f>
        <v/>
      </c>
      <c r="B112" s="14" t="str">
        <f>IF('Kế hoạch định kỳ'!$B112="","",'Kế hoạch định kỳ'!$D112)</f>
        <v/>
      </c>
      <c r="C112" s="18" t="str">
        <f>IF('Kế hoạch định kỳ'!$B112="","",'Kế hoạch định kỳ'!$F112)</f>
        <v/>
      </c>
      <c r="D112" s="10" t="str">
        <f>IF('Kế hoạch định kỳ'!$B112="","",IF('Kế hoạch định kỳ'!$I112&lt;&gt;"",'Kế hoạch định kỳ'!$I112&amp;" ngày",'Kế hoạch định kỳ'!$H112))</f>
        <v/>
      </c>
      <c r="E112" s="24" t="str">
        <f>IF($A112="","",IF(COUNTIFS('Nhật ký bảo trì'!$D$6:$D$405,$A112,'Nhật ký bảo trì'!$Q$6:$Q$405,"Hoàn thành",'Nhật ký bảo trì'!$B$6:$B$405,"&gt;="&amp;E$5,'Nhật ký bảo trì'!$B$6:$B$405,"&lt;="&amp;EOMONTH(E$5,0))&gt;0,"✔",IF(((EOMONTH(E$5,0)&gt;='Kế hoạch định kỳ'!$W112)*(INT((EOMONTH(E$5,0)-'Kế hoạch định kỳ'!$W112)/'Kế hoạch định kỳ'!$X112)+1)-(E$5-1&gt;='Kế hoạch định kỳ'!$W112)*(INT((E$5-1-'Kế hoạch định kỳ'!$W112)/'Kế hoạch định kỳ'!$X112)+1))&gt;0,IF(EOMONTH(E$5,0)&lt;'Tổng quan'!$B$11,"✖","○"),"")))</f>
        <v/>
      </c>
      <c r="F112" s="24" t="str">
        <f>IF($A112="","",IF(COUNTIFS('Nhật ký bảo trì'!$D$6:$D$405,$A112,'Nhật ký bảo trì'!$Q$6:$Q$405,"Hoàn thành",'Nhật ký bảo trì'!$B$6:$B$405,"&gt;="&amp;F$5,'Nhật ký bảo trì'!$B$6:$B$405,"&lt;="&amp;EOMONTH(F$5,0))&gt;0,"✔",IF(((EOMONTH(F$5,0)&gt;='Kế hoạch định kỳ'!$W112)*(INT((EOMONTH(F$5,0)-'Kế hoạch định kỳ'!$W112)/'Kế hoạch định kỳ'!$X112)+1)-(F$5-1&gt;='Kế hoạch định kỳ'!$W112)*(INT((F$5-1-'Kế hoạch định kỳ'!$W112)/'Kế hoạch định kỳ'!$X112)+1))&gt;0,IF(EOMONTH(F$5,0)&lt;'Tổng quan'!$B$11,"✖","○"),"")))</f>
        <v/>
      </c>
      <c r="G112" s="24" t="str">
        <f>IF($A112="","",IF(COUNTIFS('Nhật ký bảo trì'!$D$6:$D$405,$A112,'Nhật ký bảo trì'!$Q$6:$Q$405,"Hoàn thành",'Nhật ký bảo trì'!$B$6:$B$405,"&gt;="&amp;G$5,'Nhật ký bảo trì'!$B$6:$B$405,"&lt;="&amp;EOMONTH(G$5,0))&gt;0,"✔",IF(((EOMONTH(G$5,0)&gt;='Kế hoạch định kỳ'!$W112)*(INT((EOMONTH(G$5,0)-'Kế hoạch định kỳ'!$W112)/'Kế hoạch định kỳ'!$X112)+1)-(G$5-1&gt;='Kế hoạch định kỳ'!$W112)*(INT((G$5-1-'Kế hoạch định kỳ'!$W112)/'Kế hoạch định kỳ'!$X112)+1))&gt;0,IF(EOMONTH(G$5,0)&lt;'Tổng quan'!$B$11,"✖","○"),"")))</f>
        <v/>
      </c>
      <c r="H112" s="24" t="str">
        <f>IF($A112="","",IF(COUNTIFS('Nhật ký bảo trì'!$D$6:$D$405,$A112,'Nhật ký bảo trì'!$Q$6:$Q$405,"Hoàn thành",'Nhật ký bảo trì'!$B$6:$B$405,"&gt;="&amp;H$5,'Nhật ký bảo trì'!$B$6:$B$405,"&lt;="&amp;EOMONTH(H$5,0))&gt;0,"✔",IF(((EOMONTH(H$5,0)&gt;='Kế hoạch định kỳ'!$W112)*(INT((EOMONTH(H$5,0)-'Kế hoạch định kỳ'!$W112)/'Kế hoạch định kỳ'!$X112)+1)-(H$5-1&gt;='Kế hoạch định kỳ'!$W112)*(INT((H$5-1-'Kế hoạch định kỳ'!$W112)/'Kế hoạch định kỳ'!$X112)+1))&gt;0,IF(EOMONTH(H$5,0)&lt;'Tổng quan'!$B$11,"✖","○"),"")))</f>
        <v/>
      </c>
      <c r="I112" s="24" t="str">
        <f>IF($A112="","",IF(COUNTIFS('Nhật ký bảo trì'!$D$6:$D$405,$A112,'Nhật ký bảo trì'!$Q$6:$Q$405,"Hoàn thành",'Nhật ký bảo trì'!$B$6:$B$405,"&gt;="&amp;I$5,'Nhật ký bảo trì'!$B$6:$B$405,"&lt;="&amp;EOMONTH(I$5,0))&gt;0,"✔",IF(((EOMONTH(I$5,0)&gt;='Kế hoạch định kỳ'!$W112)*(INT((EOMONTH(I$5,0)-'Kế hoạch định kỳ'!$W112)/'Kế hoạch định kỳ'!$X112)+1)-(I$5-1&gt;='Kế hoạch định kỳ'!$W112)*(INT((I$5-1-'Kế hoạch định kỳ'!$W112)/'Kế hoạch định kỳ'!$X112)+1))&gt;0,IF(EOMONTH(I$5,0)&lt;'Tổng quan'!$B$11,"✖","○"),"")))</f>
        <v/>
      </c>
      <c r="J112" s="24" t="str">
        <f>IF($A112="","",IF(COUNTIFS('Nhật ký bảo trì'!$D$6:$D$405,$A112,'Nhật ký bảo trì'!$Q$6:$Q$405,"Hoàn thành",'Nhật ký bảo trì'!$B$6:$B$405,"&gt;="&amp;J$5,'Nhật ký bảo trì'!$B$6:$B$405,"&lt;="&amp;EOMONTH(J$5,0))&gt;0,"✔",IF(((EOMONTH(J$5,0)&gt;='Kế hoạch định kỳ'!$W112)*(INT((EOMONTH(J$5,0)-'Kế hoạch định kỳ'!$W112)/'Kế hoạch định kỳ'!$X112)+1)-(J$5-1&gt;='Kế hoạch định kỳ'!$W112)*(INT((J$5-1-'Kế hoạch định kỳ'!$W112)/'Kế hoạch định kỳ'!$X112)+1))&gt;0,IF(EOMONTH(J$5,0)&lt;'Tổng quan'!$B$11,"✖","○"),"")))</f>
        <v/>
      </c>
      <c r="K112" s="24" t="str">
        <f>IF($A112="","",IF(COUNTIFS('Nhật ký bảo trì'!$D$6:$D$405,$A112,'Nhật ký bảo trì'!$Q$6:$Q$405,"Hoàn thành",'Nhật ký bảo trì'!$B$6:$B$405,"&gt;="&amp;K$5,'Nhật ký bảo trì'!$B$6:$B$405,"&lt;="&amp;EOMONTH(K$5,0))&gt;0,"✔",IF(((EOMONTH(K$5,0)&gt;='Kế hoạch định kỳ'!$W112)*(INT((EOMONTH(K$5,0)-'Kế hoạch định kỳ'!$W112)/'Kế hoạch định kỳ'!$X112)+1)-(K$5-1&gt;='Kế hoạch định kỳ'!$W112)*(INT((K$5-1-'Kế hoạch định kỳ'!$W112)/'Kế hoạch định kỳ'!$X112)+1))&gt;0,IF(EOMONTH(K$5,0)&lt;'Tổng quan'!$B$11,"✖","○"),"")))</f>
        <v/>
      </c>
      <c r="L112" s="24" t="str">
        <f>IF($A112="","",IF(COUNTIFS('Nhật ký bảo trì'!$D$6:$D$405,$A112,'Nhật ký bảo trì'!$Q$6:$Q$405,"Hoàn thành",'Nhật ký bảo trì'!$B$6:$B$405,"&gt;="&amp;L$5,'Nhật ký bảo trì'!$B$6:$B$405,"&lt;="&amp;EOMONTH(L$5,0))&gt;0,"✔",IF(((EOMONTH(L$5,0)&gt;='Kế hoạch định kỳ'!$W112)*(INT((EOMONTH(L$5,0)-'Kế hoạch định kỳ'!$W112)/'Kế hoạch định kỳ'!$X112)+1)-(L$5-1&gt;='Kế hoạch định kỳ'!$W112)*(INT((L$5-1-'Kế hoạch định kỳ'!$W112)/'Kế hoạch định kỳ'!$X112)+1))&gt;0,IF(EOMONTH(L$5,0)&lt;'Tổng quan'!$B$11,"✖","○"),"")))</f>
        <v/>
      </c>
      <c r="M112" s="24" t="str">
        <f>IF($A112="","",IF(COUNTIFS('Nhật ký bảo trì'!$D$6:$D$405,$A112,'Nhật ký bảo trì'!$Q$6:$Q$405,"Hoàn thành",'Nhật ký bảo trì'!$B$6:$B$405,"&gt;="&amp;M$5,'Nhật ký bảo trì'!$B$6:$B$405,"&lt;="&amp;EOMONTH(M$5,0))&gt;0,"✔",IF(((EOMONTH(M$5,0)&gt;='Kế hoạch định kỳ'!$W112)*(INT((EOMONTH(M$5,0)-'Kế hoạch định kỳ'!$W112)/'Kế hoạch định kỳ'!$X112)+1)-(M$5-1&gt;='Kế hoạch định kỳ'!$W112)*(INT((M$5-1-'Kế hoạch định kỳ'!$W112)/'Kế hoạch định kỳ'!$X112)+1))&gt;0,IF(EOMONTH(M$5,0)&lt;'Tổng quan'!$B$11,"✖","○"),"")))</f>
        <v/>
      </c>
      <c r="N112" s="24" t="str">
        <f>IF($A112="","",IF(COUNTIFS('Nhật ký bảo trì'!$D$6:$D$405,$A112,'Nhật ký bảo trì'!$Q$6:$Q$405,"Hoàn thành",'Nhật ký bảo trì'!$B$6:$B$405,"&gt;="&amp;N$5,'Nhật ký bảo trì'!$B$6:$B$405,"&lt;="&amp;EOMONTH(N$5,0))&gt;0,"✔",IF(((EOMONTH(N$5,0)&gt;='Kế hoạch định kỳ'!$W112)*(INT((EOMONTH(N$5,0)-'Kế hoạch định kỳ'!$W112)/'Kế hoạch định kỳ'!$X112)+1)-(N$5-1&gt;='Kế hoạch định kỳ'!$W112)*(INT((N$5-1-'Kế hoạch định kỳ'!$W112)/'Kế hoạch định kỳ'!$X112)+1))&gt;0,IF(EOMONTH(N$5,0)&lt;'Tổng quan'!$B$11,"✖","○"),"")))</f>
        <v/>
      </c>
      <c r="O112" s="24" t="str">
        <f>IF($A112="","",IF(COUNTIFS('Nhật ký bảo trì'!$D$6:$D$405,$A112,'Nhật ký bảo trì'!$Q$6:$Q$405,"Hoàn thành",'Nhật ký bảo trì'!$B$6:$B$405,"&gt;="&amp;O$5,'Nhật ký bảo trì'!$B$6:$B$405,"&lt;="&amp;EOMONTH(O$5,0))&gt;0,"✔",IF(((EOMONTH(O$5,0)&gt;='Kế hoạch định kỳ'!$W112)*(INT((EOMONTH(O$5,0)-'Kế hoạch định kỳ'!$W112)/'Kế hoạch định kỳ'!$X112)+1)-(O$5-1&gt;='Kế hoạch định kỳ'!$W112)*(INT((O$5-1-'Kế hoạch định kỳ'!$W112)/'Kế hoạch định kỳ'!$X112)+1))&gt;0,IF(EOMONTH(O$5,0)&lt;'Tổng quan'!$B$11,"✖","○"),"")))</f>
        <v/>
      </c>
      <c r="P112" s="24" t="str">
        <f>IF($A112="","",IF(COUNTIFS('Nhật ký bảo trì'!$D$6:$D$405,$A112,'Nhật ký bảo trì'!$Q$6:$Q$405,"Hoàn thành",'Nhật ký bảo trì'!$B$6:$B$405,"&gt;="&amp;P$5,'Nhật ký bảo trì'!$B$6:$B$405,"&lt;="&amp;EOMONTH(P$5,0))&gt;0,"✔",IF(((EOMONTH(P$5,0)&gt;='Kế hoạch định kỳ'!$W112)*(INT((EOMONTH(P$5,0)-'Kế hoạch định kỳ'!$W112)/'Kế hoạch định kỳ'!$X112)+1)-(P$5-1&gt;='Kế hoạch định kỳ'!$W112)*(INT((P$5-1-'Kế hoạch định kỳ'!$W112)/'Kế hoạch định kỳ'!$X112)+1))&gt;0,IF(EOMONTH(P$5,0)&lt;'Tổng quan'!$B$11,"✖","○"),"")))</f>
        <v/>
      </c>
      <c r="Q112" s="16" t="str">
        <f>IF($A112="","",COUNTIFS('Nhật ký bảo trì'!$D$6:$D$405,$A112,'Nhật ký bảo trì'!$Q$6:$Q$405,"Hoàn thành",'Nhật ký bảo trì'!$B$6:$B$405,"&gt;="&amp;DATE('Tổng quan'!$B$6,1,1),'Nhật ký bảo trì'!$B$6:$B$405,"&lt;="&amp;DATE('Tổng quan'!$B$6,12,31)))</f>
        <v/>
      </c>
      <c r="R112" s="16" t="str">
        <f t="shared" si="1"/>
        <v/>
      </c>
    </row>
    <row r="113" ht="24.0" customHeight="1">
      <c r="A113" s="26" t="str">
        <f>IF('Kế hoạch định kỳ'!$B113="","",'Kế hoạch định kỳ'!$B113)</f>
        <v/>
      </c>
      <c r="B113" s="28" t="str">
        <f>IF('Kế hoạch định kỳ'!$B113="","",'Kế hoạch định kỳ'!$D113)</f>
        <v/>
      </c>
      <c r="C113" s="56" t="str">
        <f>IF('Kế hoạch định kỳ'!$B113="","",'Kế hoạch định kỳ'!$F113)</f>
        <v/>
      </c>
      <c r="D113" s="26" t="str">
        <f>IF('Kế hoạch định kỳ'!$B113="","",IF('Kế hoạch định kỳ'!$I113&lt;&gt;"",'Kế hoạch định kỳ'!$I113&amp;" ngày",'Kế hoạch định kỳ'!$H113))</f>
        <v/>
      </c>
      <c r="E113" s="61" t="str">
        <f>IF($A113="","",IF(COUNTIFS('Nhật ký bảo trì'!$D$6:$D$405,$A113,'Nhật ký bảo trì'!$Q$6:$Q$405,"Hoàn thành",'Nhật ký bảo trì'!$B$6:$B$405,"&gt;="&amp;E$5,'Nhật ký bảo trì'!$B$6:$B$405,"&lt;="&amp;EOMONTH(E$5,0))&gt;0,"✔",IF(((EOMONTH(E$5,0)&gt;='Kế hoạch định kỳ'!$W113)*(INT((EOMONTH(E$5,0)-'Kế hoạch định kỳ'!$W113)/'Kế hoạch định kỳ'!$X113)+1)-(E$5-1&gt;='Kế hoạch định kỳ'!$W113)*(INT((E$5-1-'Kế hoạch định kỳ'!$W113)/'Kế hoạch định kỳ'!$X113)+1))&gt;0,IF(EOMONTH(E$5,0)&lt;'Tổng quan'!$B$11,"✖","○"),"")))</f>
        <v/>
      </c>
      <c r="F113" s="61" t="str">
        <f>IF($A113="","",IF(COUNTIFS('Nhật ký bảo trì'!$D$6:$D$405,$A113,'Nhật ký bảo trì'!$Q$6:$Q$405,"Hoàn thành",'Nhật ký bảo trì'!$B$6:$B$405,"&gt;="&amp;F$5,'Nhật ký bảo trì'!$B$6:$B$405,"&lt;="&amp;EOMONTH(F$5,0))&gt;0,"✔",IF(((EOMONTH(F$5,0)&gt;='Kế hoạch định kỳ'!$W113)*(INT((EOMONTH(F$5,0)-'Kế hoạch định kỳ'!$W113)/'Kế hoạch định kỳ'!$X113)+1)-(F$5-1&gt;='Kế hoạch định kỳ'!$W113)*(INT((F$5-1-'Kế hoạch định kỳ'!$W113)/'Kế hoạch định kỳ'!$X113)+1))&gt;0,IF(EOMONTH(F$5,0)&lt;'Tổng quan'!$B$11,"✖","○"),"")))</f>
        <v/>
      </c>
      <c r="G113" s="61" t="str">
        <f>IF($A113="","",IF(COUNTIFS('Nhật ký bảo trì'!$D$6:$D$405,$A113,'Nhật ký bảo trì'!$Q$6:$Q$405,"Hoàn thành",'Nhật ký bảo trì'!$B$6:$B$405,"&gt;="&amp;G$5,'Nhật ký bảo trì'!$B$6:$B$405,"&lt;="&amp;EOMONTH(G$5,0))&gt;0,"✔",IF(((EOMONTH(G$5,0)&gt;='Kế hoạch định kỳ'!$W113)*(INT((EOMONTH(G$5,0)-'Kế hoạch định kỳ'!$W113)/'Kế hoạch định kỳ'!$X113)+1)-(G$5-1&gt;='Kế hoạch định kỳ'!$W113)*(INT((G$5-1-'Kế hoạch định kỳ'!$W113)/'Kế hoạch định kỳ'!$X113)+1))&gt;0,IF(EOMONTH(G$5,0)&lt;'Tổng quan'!$B$11,"✖","○"),"")))</f>
        <v/>
      </c>
      <c r="H113" s="61" t="str">
        <f>IF($A113="","",IF(COUNTIFS('Nhật ký bảo trì'!$D$6:$D$405,$A113,'Nhật ký bảo trì'!$Q$6:$Q$405,"Hoàn thành",'Nhật ký bảo trì'!$B$6:$B$405,"&gt;="&amp;H$5,'Nhật ký bảo trì'!$B$6:$B$405,"&lt;="&amp;EOMONTH(H$5,0))&gt;0,"✔",IF(((EOMONTH(H$5,0)&gt;='Kế hoạch định kỳ'!$W113)*(INT((EOMONTH(H$5,0)-'Kế hoạch định kỳ'!$W113)/'Kế hoạch định kỳ'!$X113)+1)-(H$5-1&gt;='Kế hoạch định kỳ'!$W113)*(INT((H$5-1-'Kế hoạch định kỳ'!$W113)/'Kế hoạch định kỳ'!$X113)+1))&gt;0,IF(EOMONTH(H$5,0)&lt;'Tổng quan'!$B$11,"✖","○"),"")))</f>
        <v/>
      </c>
      <c r="I113" s="61" t="str">
        <f>IF($A113="","",IF(COUNTIFS('Nhật ký bảo trì'!$D$6:$D$405,$A113,'Nhật ký bảo trì'!$Q$6:$Q$405,"Hoàn thành",'Nhật ký bảo trì'!$B$6:$B$405,"&gt;="&amp;I$5,'Nhật ký bảo trì'!$B$6:$B$405,"&lt;="&amp;EOMONTH(I$5,0))&gt;0,"✔",IF(((EOMONTH(I$5,0)&gt;='Kế hoạch định kỳ'!$W113)*(INT((EOMONTH(I$5,0)-'Kế hoạch định kỳ'!$W113)/'Kế hoạch định kỳ'!$X113)+1)-(I$5-1&gt;='Kế hoạch định kỳ'!$W113)*(INT((I$5-1-'Kế hoạch định kỳ'!$W113)/'Kế hoạch định kỳ'!$X113)+1))&gt;0,IF(EOMONTH(I$5,0)&lt;'Tổng quan'!$B$11,"✖","○"),"")))</f>
        <v/>
      </c>
      <c r="J113" s="61" t="str">
        <f>IF($A113="","",IF(COUNTIFS('Nhật ký bảo trì'!$D$6:$D$405,$A113,'Nhật ký bảo trì'!$Q$6:$Q$405,"Hoàn thành",'Nhật ký bảo trì'!$B$6:$B$405,"&gt;="&amp;J$5,'Nhật ký bảo trì'!$B$6:$B$405,"&lt;="&amp;EOMONTH(J$5,0))&gt;0,"✔",IF(((EOMONTH(J$5,0)&gt;='Kế hoạch định kỳ'!$W113)*(INT((EOMONTH(J$5,0)-'Kế hoạch định kỳ'!$W113)/'Kế hoạch định kỳ'!$X113)+1)-(J$5-1&gt;='Kế hoạch định kỳ'!$W113)*(INT((J$5-1-'Kế hoạch định kỳ'!$W113)/'Kế hoạch định kỳ'!$X113)+1))&gt;0,IF(EOMONTH(J$5,0)&lt;'Tổng quan'!$B$11,"✖","○"),"")))</f>
        <v/>
      </c>
      <c r="K113" s="61" t="str">
        <f>IF($A113="","",IF(COUNTIFS('Nhật ký bảo trì'!$D$6:$D$405,$A113,'Nhật ký bảo trì'!$Q$6:$Q$405,"Hoàn thành",'Nhật ký bảo trì'!$B$6:$B$405,"&gt;="&amp;K$5,'Nhật ký bảo trì'!$B$6:$B$405,"&lt;="&amp;EOMONTH(K$5,0))&gt;0,"✔",IF(((EOMONTH(K$5,0)&gt;='Kế hoạch định kỳ'!$W113)*(INT((EOMONTH(K$5,0)-'Kế hoạch định kỳ'!$W113)/'Kế hoạch định kỳ'!$X113)+1)-(K$5-1&gt;='Kế hoạch định kỳ'!$W113)*(INT((K$5-1-'Kế hoạch định kỳ'!$W113)/'Kế hoạch định kỳ'!$X113)+1))&gt;0,IF(EOMONTH(K$5,0)&lt;'Tổng quan'!$B$11,"✖","○"),"")))</f>
        <v/>
      </c>
      <c r="L113" s="61" t="str">
        <f>IF($A113="","",IF(COUNTIFS('Nhật ký bảo trì'!$D$6:$D$405,$A113,'Nhật ký bảo trì'!$Q$6:$Q$405,"Hoàn thành",'Nhật ký bảo trì'!$B$6:$B$405,"&gt;="&amp;L$5,'Nhật ký bảo trì'!$B$6:$B$405,"&lt;="&amp;EOMONTH(L$5,0))&gt;0,"✔",IF(((EOMONTH(L$5,0)&gt;='Kế hoạch định kỳ'!$W113)*(INT((EOMONTH(L$5,0)-'Kế hoạch định kỳ'!$W113)/'Kế hoạch định kỳ'!$X113)+1)-(L$5-1&gt;='Kế hoạch định kỳ'!$W113)*(INT((L$5-1-'Kế hoạch định kỳ'!$W113)/'Kế hoạch định kỳ'!$X113)+1))&gt;0,IF(EOMONTH(L$5,0)&lt;'Tổng quan'!$B$11,"✖","○"),"")))</f>
        <v/>
      </c>
      <c r="M113" s="61" t="str">
        <f>IF($A113="","",IF(COUNTIFS('Nhật ký bảo trì'!$D$6:$D$405,$A113,'Nhật ký bảo trì'!$Q$6:$Q$405,"Hoàn thành",'Nhật ký bảo trì'!$B$6:$B$405,"&gt;="&amp;M$5,'Nhật ký bảo trì'!$B$6:$B$405,"&lt;="&amp;EOMONTH(M$5,0))&gt;0,"✔",IF(((EOMONTH(M$5,0)&gt;='Kế hoạch định kỳ'!$W113)*(INT((EOMONTH(M$5,0)-'Kế hoạch định kỳ'!$W113)/'Kế hoạch định kỳ'!$X113)+1)-(M$5-1&gt;='Kế hoạch định kỳ'!$W113)*(INT((M$5-1-'Kế hoạch định kỳ'!$W113)/'Kế hoạch định kỳ'!$X113)+1))&gt;0,IF(EOMONTH(M$5,0)&lt;'Tổng quan'!$B$11,"✖","○"),"")))</f>
        <v/>
      </c>
      <c r="N113" s="61" t="str">
        <f>IF($A113="","",IF(COUNTIFS('Nhật ký bảo trì'!$D$6:$D$405,$A113,'Nhật ký bảo trì'!$Q$6:$Q$405,"Hoàn thành",'Nhật ký bảo trì'!$B$6:$B$405,"&gt;="&amp;N$5,'Nhật ký bảo trì'!$B$6:$B$405,"&lt;="&amp;EOMONTH(N$5,0))&gt;0,"✔",IF(((EOMONTH(N$5,0)&gt;='Kế hoạch định kỳ'!$W113)*(INT((EOMONTH(N$5,0)-'Kế hoạch định kỳ'!$W113)/'Kế hoạch định kỳ'!$X113)+1)-(N$5-1&gt;='Kế hoạch định kỳ'!$W113)*(INT((N$5-1-'Kế hoạch định kỳ'!$W113)/'Kế hoạch định kỳ'!$X113)+1))&gt;0,IF(EOMONTH(N$5,0)&lt;'Tổng quan'!$B$11,"✖","○"),"")))</f>
        <v/>
      </c>
      <c r="O113" s="61" t="str">
        <f>IF($A113="","",IF(COUNTIFS('Nhật ký bảo trì'!$D$6:$D$405,$A113,'Nhật ký bảo trì'!$Q$6:$Q$405,"Hoàn thành",'Nhật ký bảo trì'!$B$6:$B$405,"&gt;="&amp;O$5,'Nhật ký bảo trì'!$B$6:$B$405,"&lt;="&amp;EOMONTH(O$5,0))&gt;0,"✔",IF(((EOMONTH(O$5,0)&gt;='Kế hoạch định kỳ'!$W113)*(INT((EOMONTH(O$5,0)-'Kế hoạch định kỳ'!$W113)/'Kế hoạch định kỳ'!$X113)+1)-(O$5-1&gt;='Kế hoạch định kỳ'!$W113)*(INT((O$5-1-'Kế hoạch định kỳ'!$W113)/'Kế hoạch định kỳ'!$X113)+1))&gt;0,IF(EOMONTH(O$5,0)&lt;'Tổng quan'!$B$11,"✖","○"),"")))</f>
        <v/>
      </c>
      <c r="P113" s="61" t="str">
        <f>IF($A113="","",IF(COUNTIFS('Nhật ký bảo trì'!$D$6:$D$405,$A113,'Nhật ký bảo trì'!$Q$6:$Q$405,"Hoàn thành",'Nhật ký bảo trì'!$B$6:$B$405,"&gt;="&amp;P$5,'Nhật ký bảo trì'!$B$6:$B$405,"&lt;="&amp;EOMONTH(P$5,0))&gt;0,"✔",IF(((EOMONTH(P$5,0)&gt;='Kế hoạch định kỳ'!$W113)*(INT((EOMONTH(P$5,0)-'Kế hoạch định kỳ'!$W113)/'Kế hoạch định kỳ'!$X113)+1)-(P$5-1&gt;='Kế hoạch định kỳ'!$W113)*(INT((P$5-1-'Kế hoạch định kỳ'!$W113)/'Kế hoạch định kỳ'!$X113)+1))&gt;0,IF(EOMONTH(P$5,0)&lt;'Tổng quan'!$B$11,"✖","○"),"")))</f>
        <v/>
      </c>
      <c r="Q113" s="30" t="str">
        <f>IF($A113="","",COUNTIFS('Nhật ký bảo trì'!$D$6:$D$405,$A113,'Nhật ký bảo trì'!$Q$6:$Q$405,"Hoàn thành",'Nhật ký bảo trì'!$B$6:$B$405,"&gt;="&amp;DATE('Tổng quan'!$B$6,1,1),'Nhật ký bảo trì'!$B$6:$B$405,"&lt;="&amp;DATE('Tổng quan'!$B$6,12,31)))</f>
        <v/>
      </c>
      <c r="R113" s="30" t="str">
        <f t="shared" si="1"/>
        <v/>
      </c>
    </row>
    <row r="114" ht="24.0" customHeight="1">
      <c r="A114" s="10" t="str">
        <f>IF('Kế hoạch định kỳ'!$B114="","",'Kế hoạch định kỳ'!$B114)</f>
        <v/>
      </c>
      <c r="B114" s="14" t="str">
        <f>IF('Kế hoạch định kỳ'!$B114="","",'Kế hoạch định kỳ'!$D114)</f>
        <v/>
      </c>
      <c r="C114" s="18" t="str">
        <f>IF('Kế hoạch định kỳ'!$B114="","",'Kế hoạch định kỳ'!$F114)</f>
        <v/>
      </c>
      <c r="D114" s="10" t="str">
        <f>IF('Kế hoạch định kỳ'!$B114="","",IF('Kế hoạch định kỳ'!$I114&lt;&gt;"",'Kế hoạch định kỳ'!$I114&amp;" ngày",'Kế hoạch định kỳ'!$H114))</f>
        <v/>
      </c>
      <c r="E114" s="24" t="str">
        <f>IF($A114="","",IF(COUNTIFS('Nhật ký bảo trì'!$D$6:$D$405,$A114,'Nhật ký bảo trì'!$Q$6:$Q$405,"Hoàn thành",'Nhật ký bảo trì'!$B$6:$B$405,"&gt;="&amp;E$5,'Nhật ký bảo trì'!$B$6:$B$405,"&lt;="&amp;EOMONTH(E$5,0))&gt;0,"✔",IF(((EOMONTH(E$5,0)&gt;='Kế hoạch định kỳ'!$W114)*(INT((EOMONTH(E$5,0)-'Kế hoạch định kỳ'!$W114)/'Kế hoạch định kỳ'!$X114)+1)-(E$5-1&gt;='Kế hoạch định kỳ'!$W114)*(INT((E$5-1-'Kế hoạch định kỳ'!$W114)/'Kế hoạch định kỳ'!$X114)+1))&gt;0,IF(EOMONTH(E$5,0)&lt;'Tổng quan'!$B$11,"✖","○"),"")))</f>
        <v/>
      </c>
      <c r="F114" s="24" t="str">
        <f>IF($A114="","",IF(COUNTIFS('Nhật ký bảo trì'!$D$6:$D$405,$A114,'Nhật ký bảo trì'!$Q$6:$Q$405,"Hoàn thành",'Nhật ký bảo trì'!$B$6:$B$405,"&gt;="&amp;F$5,'Nhật ký bảo trì'!$B$6:$B$405,"&lt;="&amp;EOMONTH(F$5,0))&gt;0,"✔",IF(((EOMONTH(F$5,0)&gt;='Kế hoạch định kỳ'!$W114)*(INT((EOMONTH(F$5,0)-'Kế hoạch định kỳ'!$W114)/'Kế hoạch định kỳ'!$X114)+1)-(F$5-1&gt;='Kế hoạch định kỳ'!$W114)*(INT((F$5-1-'Kế hoạch định kỳ'!$W114)/'Kế hoạch định kỳ'!$X114)+1))&gt;0,IF(EOMONTH(F$5,0)&lt;'Tổng quan'!$B$11,"✖","○"),"")))</f>
        <v/>
      </c>
      <c r="G114" s="24" t="str">
        <f>IF($A114="","",IF(COUNTIFS('Nhật ký bảo trì'!$D$6:$D$405,$A114,'Nhật ký bảo trì'!$Q$6:$Q$405,"Hoàn thành",'Nhật ký bảo trì'!$B$6:$B$405,"&gt;="&amp;G$5,'Nhật ký bảo trì'!$B$6:$B$405,"&lt;="&amp;EOMONTH(G$5,0))&gt;0,"✔",IF(((EOMONTH(G$5,0)&gt;='Kế hoạch định kỳ'!$W114)*(INT((EOMONTH(G$5,0)-'Kế hoạch định kỳ'!$W114)/'Kế hoạch định kỳ'!$X114)+1)-(G$5-1&gt;='Kế hoạch định kỳ'!$W114)*(INT((G$5-1-'Kế hoạch định kỳ'!$W114)/'Kế hoạch định kỳ'!$X114)+1))&gt;0,IF(EOMONTH(G$5,0)&lt;'Tổng quan'!$B$11,"✖","○"),"")))</f>
        <v/>
      </c>
      <c r="H114" s="24" t="str">
        <f>IF($A114="","",IF(COUNTIFS('Nhật ký bảo trì'!$D$6:$D$405,$A114,'Nhật ký bảo trì'!$Q$6:$Q$405,"Hoàn thành",'Nhật ký bảo trì'!$B$6:$B$405,"&gt;="&amp;H$5,'Nhật ký bảo trì'!$B$6:$B$405,"&lt;="&amp;EOMONTH(H$5,0))&gt;0,"✔",IF(((EOMONTH(H$5,0)&gt;='Kế hoạch định kỳ'!$W114)*(INT((EOMONTH(H$5,0)-'Kế hoạch định kỳ'!$W114)/'Kế hoạch định kỳ'!$X114)+1)-(H$5-1&gt;='Kế hoạch định kỳ'!$W114)*(INT((H$5-1-'Kế hoạch định kỳ'!$W114)/'Kế hoạch định kỳ'!$X114)+1))&gt;0,IF(EOMONTH(H$5,0)&lt;'Tổng quan'!$B$11,"✖","○"),"")))</f>
        <v/>
      </c>
      <c r="I114" s="24" t="str">
        <f>IF($A114="","",IF(COUNTIFS('Nhật ký bảo trì'!$D$6:$D$405,$A114,'Nhật ký bảo trì'!$Q$6:$Q$405,"Hoàn thành",'Nhật ký bảo trì'!$B$6:$B$405,"&gt;="&amp;I$5,'Nhật ký bảo trì'!$B$6:$B$405,"&lt;="&amp;EOMONTH(I$5,0))&gt;0,"✔",IF(((EOMONTH(I$5,0)&gt;='Kế hoạch định kỳ'!$W114)*(INT((EOMONTH(I$5,0)-'Kế hoạch định kỳ'!$W114)/'Kế hoạch định kỳ'!$X114)+1)-(I$5-1&gt;='Kế hoạch định kỳ'!$W114)*(INT((I$5-1-'Kế hoạch định kỳ'!$W114)/'Kế hoạch định kỳ'!$X114)+1))&gt;0,IF(EOMONTH(I$5,0)&lt;'Tổng quan'!$B$11,"✖","○"),"")))</f>
        <v/>
      </c>
      <c r="J114" s="24" t="str">
        <f>IF($A114="","",IF(COUNTIFS('Nhật ký bảo trì'!$D$6:$D$405,$A114,'Nhật ký bảo trì'!$Q$6:$Q$405,"Hoàn thành",'Nhật ký bảo trì'!$B$6:$B$405,"&gt;="&amp;J$5,'Nhật ký bảo trì'!$B$6:$B$405,"&lt;="&amp;EOMONTH(J$5,0))&gt;0,"✔",IF(((EOMONTH(J$5,0)&gt;='Kế hoạch định kỳ'!$W114)*(INT((EOMONTH(J$5,0)-'Kế hoạch định kỳ'!$W114)/'Kế hoạch định kỳ'!$X114)+1)-(J$5-1&gt;='Kế hoạch định kỳ'!$W114)*(INT((J$5-1-'Kế hoạch định kỳ'!$W114)/'Kế hoạch định kỳ'!$X114)+1))&gt;0,IF(EOMONTH(J$5,0)&lt;'Tổng quan'!$B$11,"✖","○"),"")))</f>
        <v/>
      </c>
      <c r="K114" s="24" t="str">
        <f>IF($A114="","",IF(COUNTIFS('Nhật ký bảo trì'!$D$6:$D$405,$A114,'Nhật ký bảo trì'!$Q$6:$Q$405,"Hoàn thành",'Nhật ký bảo trì'!$B$6:$B$405,"&gt;="&amp;K$5,'Nhật ký bảo trì'!$B$6:$B$405,"&lt;="&amp;EOMONTH(K$5,0))&gt;0,"✔",IF(((EOMONTH(K$5,0)&gt;='Kế hoạch định kỳ'!$W114)*(INT((EOMONTH(K$5,0)-'Kế hoạch định kỳ'!$W114)/'Kế hoạch định kỳ'!$X114)+1)-(K$5-1&gt;='Kế hoạch định kỳ'!$W114)*(INT((K$5-1-'Kế hoạch định kỳ'!$W114)/'Kế hoạch định kỳ'!$X114)+1))&gt;0,IF(EOMONTH(K$5,0)&lt;'Tổng quan'!$B$11,"✖","○"),"")))</f>
        <v/>
      </c>
      <c r="L114" s="24" t="str">
        <f>IF($A114="","",IF(COUNTIFS('Nhật ký bảo trì'!$D$6:$D$405,$A114,'Nhật ký bảo trì'!$Q$6:$Q$405,"Hoàn thành",'Nhật ký bảo trì'!$B$6:$B$405,"&gt;="&amp;L$5,'Nhật ký bảo trì'!$B$6:$B$405,"&lt;="&amp;EOMONTH(L$5,0))&gt;0,"✔",IF(((EOMONTH(L$5,0)&gt;='Kế hoạch định kỳ'!$W114)*(INT((EOMONTH(L$5,0)-'Kế hoạch định kỳ'!$W114)/'Kế hoạch định kỳ'!$X114)+1)-(L$5-1&gt;='Kế hoạch định kỳ'!$W114)*(INT((L$5-1-'Kế hoạch định kỳ'!$W114)/'Kế hoạch định kỳ'!$X114)+1))&gt;0,IF(EOMONTH(L$5,0)&lt;'Tổng quan'!$B$11,"✖","○"),"")))</f>
        <v/>
      </c>
      <c r="M114" s="24" t="str">
        <f>IF($A114="","",IF(COUNTIFS('Nhật ký bảo trì'!$D$6:$D$405,$A114,'Nhật ký bảo trì'!$Q$6:$Q$405,"Hoàn thành",'Nhật ký bảo trì'!$B$6:$B$405,"&gt;="&amp;M$5,'Nhật ký bảo trì'!$B$6:$B$405,"&lt;="&amp;EOMONTH(M$5,0))&gt;0,"✔",IF(((EOMONTH(M$5,0)&gt;='Kế hoạch định kỳ'!$W114)*(INT((EOMONTH(M$5,0)-'Kế hoạch định kỳ'!$W114)/'Kế hoạch định kỳ'!$X114)+1)-(M$5-1&gt;='Kế hoạch định kỳ'!$W114)*(INT((M$5-1-'Kế hoạch định kỳ'!$W114)/'Kế hoạch định kỳ'!$X114)+1))&gt;0,IF(EOMONTH(M$5,0)&lt;'Tổng quan'!$B$11,"✖","○"),"")))</f>
        <v/>
      </c>
      <c r="N114" s="24" t="str">
        <f>IF($A114="","",IF(COUNTIFS('Nhật ký bảo trì'!$D$6:$D$405,$A114,'Nhật ký bảo trì'!$Q$6:$Q$405,"Hoàn thành",'Nhật ký bảo trì'!$B$6:$B$405,"&gt;="&amp;N$5,'Nhật ký bảo trì'!$B$6:$B$405,"&lt;="&amp;EOMONTH(N$5,0))&gt;0,"✔",IF(((EOMONTH(N$5,0)&gt;='Kế hoạch định kỳ'!$W114)*(INT((EOMONTH(N$5,0)-'Kế hoạch định kỳ'!$W114)/'Kế hoạch định kỳ'!$X114)+1)-(N$5-1&gt;='Kế hoạch định kỳ'!$W114)*(INT((N$5-1-'Kế hoạch định kỳ'!$W114)/'Kế hoạch định kỳ'!$X114)+1))&gt;0,IF(EOMONTH(N$5,0)&lt;'Tổng quan'!$B$11,"✖","○"),"")))</f>
        <v/>
      </c>
      <c r="O114" s="24" t="str">
        <f>IF($A114="","",IF(COUNTIFS('Nhật ký bảo trì'!$D$6:$D$405,$A114,'Nhật ký bảo trì'!$Q$6:$Q$405,"Hoàn thành",'Nhật ký bảo trì'!$B$6:$B$405,"&gt;="&amp;O$5,'Nhật ký bảo trì'!$B$6:$B$405,"&lt;="&amp;EOMONTH(O$5,0))&gt;0,"✔",IF(((EOMONTH(O$5,0)&gt;='Kế hoạch định kỳ'!$W114)*(INT((EOMONTH(O$5,0)-'Kế hoạch định kỳ'!$W114)/'Kế hoạch định kỳ'!$X114)+1)-(O$5-1&gt;='Kế hoạch định kỳ'!$W114)*(INT((O$5-1-'Kế hoạch định kỳ'!$W114)/'Kế hoạch định kỳ'!$X114)+1))&gt;0,IF(EOMONTH(O$5,0)&lt;'Tổng quan'!$B$11,"✖","○"),"")))</f>
        <v/>
      </c>
      <c r="P114" s="24" t="str">
        <f>IF($A114="","",IF(COUNTIFS('Nhật ký bảo trì'!$D$6:$D$405,$A114,'Nhật ký bảo trì'!$Q$6:$Q$405,"Hoàn thành",'Nhật ký bảo trì'!$B$6:$B$405,"&gt;="&amp;P$5,'Nhật ký bảo trì'!$B$6:$B$405,"&lt;="&amp;EOMONTH(P$5,0))&gt;0,"✔",IF(((EOMONTH(P$5,0)&gt;='Kế hoạch định kỳ'!$W114)*(INT((EOMONTH(P$5,0)-'Kế hoạch định kỳ'!$W114)/'Kế hoạch định kỳ'!$X114)+1)-(P$5-1&gt;='Kế hoạch định kỳ'!$W114)*(INT((P$5-1-'Kế hoạch định kỳ'!$W114)/'Kế hoạch định kỳ'!$X114)+1))&gt;0,IF(EOMONTH(P$5,0)&lt;'Tổng quan'!$B$11,"✖","○"),"")))</f>
        <v/>
      </c>
      <c r="Q114" s="16" t="str">
        <f>IF($A114="","",COUNTIFS('Nhật ký bảo trì'!$D$6:$D$405,$A114,'Nhật ký bảo trì'!$Q$6:$Q$405,"Hoàn thành",'Nhật ký bảo trì'!$B$6:$B$405,"&gt;="&amp;DATE('Tổng quan'!$B$6,1,1),'Nhật ký bảo trì'!$B$6:$B$405,"&lt;="&amp;DATE('Tổng quan'!$B$6,12,31)))</f>
        <v/>
      </c>
      <c r="R114" s="16" t="str">
        <f t="shared" si="1"/>
        <v/>
      </c>
    </row>
    <row r="115" ht="24.0" customHeight="1">
      <c r="A115" s="26" t="str">
        <f>IF('Kế hoạch định kỳ'!$B115="","",'Kế hoạch định kỳ'!$B115)</f>
        <v/>
      </c>
      <c r="B115" s="28" t="str">
        <f>IF('Kế hoạch định kỳ'!$B115="","",'Kế hoạch định kỳ'!$D115)</f>
        <v/>
      </c>
      <c r="C115" s="56" t="str">
        <f>IF('Kế hoạch định kỳ'!$B115="","",'Kế hoạch định kỳ'!$F115)</f>
        <v/>
      </c>
      <c r="D115" s="26" t="str">
        <f>IF('Kế hoạch định kỳ'!$B115="","",IF('Kế hoạch định kỳ'!$I115&lt;&gt;"",'Kế hoạch định kỳ'!$I115&amp;" ngày",'Kế hoạch định kỳ'!$H115))</f>
        <v/>
      </c>
      <c r="E115" s="61" t="str">
        <f>IF($A115="","",IF(COUNTIFS('Nhật ký bảo trì'!$D$6:$D$405,$A115,'Nhật ký bảo trì'!$Q$6:$Q$405,"Hoàn thành",'Nhật ký bảo trì'!$B$6:$B$405,"&gt;="&amp;E$5,'Nhật ký bảo trì'!$B$6:$B$405,"&lt;="&amp;EOMONTH(E$5,0))&gt;0,"✔",IF(((EOMONTH(E$5,0)&gt;='Kế hoạch định kỳ'!$W115)*(INT((EOMONTH(E$5,0)-'Kế hoạch định kỳ'!$W115)/'Kế hoạch định kỳ'!$X115)+1)-(E$5-1&gt;='Kế hoạch định kỳ'!$W115)*(INT((E$5-1-'Kế hoạch định kỳ'!$W115)/'Kế hoạch định kỳ'!$X115)+1))&gt;0,IF(EOMONTH(E$5,0)&lt;'Tổng quan'!$B$11,"✖","○"),"")))</f>
        <v/>
      </c>
      <c r="F115" s="61" t="str">
        <f>IF($A115="","",IF(COUNTIFS('Nhật ký bảo trì'!$D$6:$D$405,$A115,'Nhật ký bảo trì'!$Q$6:$Q$405,"Hoàn thành",'Nhật ký bảo trì'!$B$6:$B$405,"&gt;="&amp;F$5,'Nhật ký bảo trì'!$B$6:$B$405,"&lt;="&amp;EOMONTH(F$5,0))&gt;0,"✔",IF(((EOMONTH(F$5,0)&gt;='Kế hoạch định kỳ'!$W115)*(INT((EOMONTH(F$5,0)-'Kế hoạch định kỳ'!$W115)/'Kế hoạch định kỳ'!$X115)+1)-(F$5-1&gt;='Kế hoạch định kỳ'!$W115)*(INT((F$5-1-'Kế hoạch định kỳ'!$W115)/'Kế hoạch định kỳ'!$X115)+1))&gt;0,IF(EOMONTH(F$5,0)&lt;'Tổng quan'!$B$11,"✖","○"),"")))</f>
        <v/>
      </c>
      <c r="G115" s="61" t="str">
        <f>IF($A115="","",IF(COUNTIFS('Nhật ký bảo trì'!$D$6:$D$405,$A115,'Nhật ký bảo trì'!$Q$6:$Q$405,"Hoàn thành",'Nhật ký bảo trì'!$B$6:$B$405,"&gt;="&amp;G$5,'Nhật ký bảo trì'!$B$6:$B$405,"&lt;="&amp;EOMONTH(G$5,0))&gt;0,"✔",IF(((EOMONTH(G$5,0)&gt;='Kế hoạch định kỳ'!$W115)*(INT((EOMONTH(G$5,0)-'Kế hoạch định kỳ'!$W115)/'Kế hoạch định kỳ'!$X115)+1)-(G$5-1&gt;='Kế hoạch định kỳ'!$W115)*(INT((G$5-1-'Kế hoạch định kỳ'!$W115)/'Kế hoạch định kỳ'!$X115)+1))&gt;0,IF(EOMONTH(G$5,0)&lt;'Tổng quan'!$B$11,"✖","○"),"")))</f>
        <v/>
      </c>
      <c r="H115" s="61" t="str">
        <f>IF($A115="","",IF(COUNTIFS('Nhật ký bảo trì'!$D$6:$D$405,$A115,'Nhật ký bảo trì'!$Q$6:$Q$405,"Hoàn thành",'Nhật ký bảo trì'!$B$6:$B$405,"&gt;="&amp;H$5,'Nhật ký bảo trì'!$B$6:$B$405,"&lt;="&amp;EOMONTH(H$5,0))&gt;0,"✔",IF(((EOMONTH(H$5,0)&gt;='Kế hoạch định kỳ'!$W115)*(INT((EOMONTH(H$5,0)-'Kế hoạch định kỳ'!$W115)/'Kế hoạch định kỳ'!$X115)+1)-(H$5-1&gt;='Kế hoạch định kỳ'!$W115)*(INT((H$5-1-'Kế hoạch định kỳ'!$W115)/'Kế hoạch định kỳ'!$X115)+1))&gt;0,IF(EOMONTH(H$5,0)&lt;'Tổng quan'!$B$11,"✖","○"),"")))</f>
        <v/>
      </c>
      <c r="I115" s="61" t="str">
        <f>IF($A115="","",IF(COUNTIFS('Nhật ký bảo trì'!$D$6:$D$405,$A115,'Nhật ký bảo trì'!$Q$6:$Q$405,"Hoàn thành",'Nhật ký bảo trì'!$B$6:$B$405,"&gt;="&amp;I$5,'Nhật ký bảo trì'!$B$6:$B$405,"&lt;="&amp;EOMONTH(I$5,0))&gt;0,"✔",IF(((EOMONTH(I$5,0)&gt;='Kế hoạch định kỳ'!$W115)*(INT((EOMONTH(I$5,0)-'Kế hoạch định kỳ'!$W115)/'Kế hoạch định kỳ'!$X115)+1)-(I$5-1&gt;='Kế hoạch định kỳ'!$W115)*(INT((I$5-1-'Kế hoạch định kỳ'!$W115)/'Kế hoạch định kỳ'!$X115)+1))&gt;0,IF(EOMONTH(I$5,0)&lt;'Tổng quan'!$B$11,"✖","○"),"")))</f>
        <v/>
      </c>
      <c r="J115" s="61" t="str">
        <f>IF($A115="","",IF(COUNTIFS('Nhật ký bảo trì'!$D$6:$D$405,$A115,'Nhật ký bảo trì'!$Q$6:$Q$405,"Hoàn thành",'Nhật ký bảo trì'!$B$6:$B$405,"&gt;="&amp;J$5,'Nhật ký bảo trì'!$B$6:$B$405,"&lt;="&amp;EOMONTH(J$5,0))&gt;0,"✔",IF(((EOMONTH(J$5,0)&gt;='Kế hoạch định kỳ'!$W115)*(INT((EOMONTH(J$5,0)-'Kế hoạch định kỳ'!$W115)/'Kế hoạch định kỳ'!$X115)+1)-(J$5-1&gt;='Kế hoạch định kỳ'!$W115)*(INT((J$5-1-'Kế hoạch định kỳ'!$W115)/'Kế hoạch định kỳ'!$X115)+1))&gt;0,IF(EOMONTH(J$5,0)&lt;'Tổng quan'!$B$11,"✖","○"),"")))</f>
        <v/>
      </c>
      <c r="K115" s="61" t="str">
        <f>IF($A115="","",IF(COUNTIFS('Nhật ký bảo trì'!$D$6:$D$405,$A115,'Nhật ký bảo trì'!$Q$6:$Q$405,"Hoàn thành",'Nhật ký bảo trì'!$B$6:$B$405,"&gt;="&amp;K$5,'Nhật ký bảo trì'!$B$6:$B$405,"&lt;="&amp;EOMONTH(K$5,0))&gt;0,"✔",IF(((EOMONTH(K$5,0)&gt;='Kế hoạch định kỳ'!$W115)*(INT((EOMONTH(K$5,0)-'Kế hoạch định kỳ'!$W115)/'Kế hoạch định kỳ'!$X115)+1)-(K$5-1&gt;='Kế hoạch định kỳ'!$W115)*(INT((K$5-1-'Kế hoạch định kỳ'!$W115)/'Kế hoạch định kỳ'!$X115)+1))&gt;0,IF(EOMONTH(K$5,0)&lt;'Tổng quan'!$B$11,"✖","○"),"")))</f>
        <v/>
      </c>
      <c r="L115" s="61" t="str">
        <f>IF($A115="","",IF(COUNTIFS('Nhật ký bảo trì'!$D$6:$D$405,$A115,'Nhật ký bảo trì'!$Q$6:$Q$405,"Hoàn thành",'Nhật ký bảo trì'!$B$6:$B$405,"&gt;="&amp;L$5,'Nhật ký bảo trì'!$B$6:$B$405,"&lt;="&amp;EOMONTH(L$5,0))&gt;0,"✔",IF(((EOMONTH(L$5,0)&gt;='Kế hoạch định kỳ'!$W115)*(INT((EOMONTH(L$5,0)-'Kế hoạch định kỳ'!$W115)/'Kế hoạch định kỳ'!$X115)+1)-(L$5-1&gt;='Kế hoạch định kỳ'!$W115)*(INT((L$5-1-'Kế hoạch định kỳ'!$W115)/'Kế hoạch định kỳ'!$X115)+1))&gt;0,IF(EOMONTH(L$5,0)&lt;'Tổng quan'!$B$11,"✖","○"),"")))</f>
        <v/>
      </c>
      <c r="M115" s="61" t="str">
        <f>IF($A115="","",IF(COUNTIFS('Nhật ký bảo trì'!$D$6:$D$405,$A115,'Nhật ký bảo trì'!$Q$6:$Q$405,"Hoàn thành",'Nhật ký bảo trì'!$B$6:$B$405,"&gt;="&amp;M$5,'Nhật ký bảo trì'!$B$6:$B$405,"&lt;="&amp;EOMONTH(M$5,0))&gt;0,"✔",IF(((EOMONTH(M$5,0)&gt;='Kế hoạch định kỳ'!$W115)*(INT((EOMONTH(M$5,0)-'Kế hoạch định kỳ'!$W115)/'Kế hoạch định kỳ'!$X115)+1)-(M$5-1&gt;='Kế hoạch định kỳ'!$W115)*(INT((M$5-1-'Kế hoạch định kỳ'!$W115)/'Kế hoạch định kỳ'!$X115)+1))&gt;0,IF(EOMONTH(M$5,0)&lt;'Tổng quan'!$B$11,"✖","○"),"")))</f>
        <v/>
      </c>
      <c r="N115" s="61" t="str">
        <f>IF($A115="","",IF(COUNTIFS('Nhật ký bảo trì'!$D$6:$D$405,$A115,'Nhật ký bảo trì'!$Q$6:$Q$405,"Hoàn thành",'Nhật ký bảo trì'!$B$6:$B$405,"&gt;="&amp;N$5,'Nhật ký bảo trì'!$B$6:$B$405,"&lt;="&amp;EOMONTH(N$5,0))&gt;0,"✔",IF(((EOMONTH(N$5,0)&gt;='Kế hoạch định kỳ'!$W115)*(INT((EOMONTH(N$5,0)-'Kế hoạch định kỳ'!$W115)/'Kế hoạch định kỳ'!$X115)+1)-(N$5-1&gt;='Kế hoạch định kỳ'!$W115)*(INT((N$5-1-'Kế hoạch định kỳ'!$W115)/'Kế hoạch định kỳ'!$X115)+1))&gt;0,IF(EOMONTH(N$5,0)&lt;'Tổng quan'!$B$11,"✖","○"),"")))</f>
        <v/>
      </c>
      <c r="O115" s="61" t="str">
        <f>IF($A115="","",IF(COUNTIFS('Nhật ký bảo trì'!$D$6:$D$405,$A115,'Nhật ký bảo trì'!$Q$6:$Q$405,"Hoàn thành",'Nhật ký bảo trì'!$B$6:$B$405,"&gt;="&amp;O$5,'Nhật ký bảo trì'!$B$6:$B$405,"&lt;="&amp;EOMONTH(O$5,0))&gt;0,"✔",IF(((EOMONTH(O$5,0)&gt;='Kế hoạch định kỳ'!$W115)*(INT((EOMONTH(O$5,0)-'Kế hoạch định kỳ'!$W115)/'Kế hoạch định kỳ'!$X115)+1)-(O$5-1&gt;='Kế hoạch định kỳ'!$W115)*(INT((O$5-1-'Kế hoạch định kỳ'!$W115)/'Kế hoạch định kỳ'!$X115)+1))&gt;0,IF(EOMONTH(O$5,0)&lt;'Tổng quan'!$B$11,"✖","○"),"")))</f>
        <v/>
      </c>
      <c r="P115" s="61" t="str">
        <f>IF($A115="","",IF(COUNTIFS('Nhật ký bảo trì'!$D$6:$D$405,$A115,'Nhật ký bảo trì'!$Q$6:$Q$405,"Hoàn thành",'Nhật ký bảo trì'!$B$6:$B$405,"&gt;="&amp;P$5,'Nhật ký bảo trì'!$B$6:$B$405,"&lt;="&amp;EOMONTH(P$5,0))&gt;0,"✔",IF(((EOMONTH(P$5,0)&gt;='Kế hoạch định kỳ'!$W115)*(INT((EOMONTH(P$5,0)-'Kế hoạch định kỳ'!$W115)/'Kế hoạch định kỳ'!$X115)+1)-(P$5-1&gt;='Kế hoạch định kỳ'!$W115)*(INT((P$5-1-'Kế hoạch định kỳ'!$W115)/'Kế hoạch định kỳ'!$X115)+1))&gt;0,IF(EOMONTH(P$5,0)&lt;'Tổng quan'!$B$11,"✖","○"),"")))</f>
        <v/>
      </c>
      <c r="Q115" s="30" t="str">
        <f>IF($A115="","",COUNTIFS('Nhật ký bảo trì'!$D$6:$D$405,$A115,'Nhật ký bảo trì'!$Q$6:$Q$405,"Hoàn thành",'Nhật ký bảo trì'!$B$6:$B$405,"&gt;="&amp;DATE('Tổng quan'!$B$6,1,1),'Nhật ký bảo trì'!$B$6:$B$405,"&lt;="&amp;DATE('Tổng quan'!$B$6,12,31)))</f>
        <v/>
      </c>
      <c r="R115" s="30" t="str">
        <f t="shared" si="1"/>
        <v/>
      </c>
    </row>
    <row r="116" ht="24.0" customHeight="1">
      <c r="A116" s="10" t="str">
        <f>IF('Kế hoạch định kỳ'!$B116="","",'Kế hoạch định kỳ'!$B116)</f>
        <v/>
      </c>
      <c r="B116" s="14" t="str">
        <f>IF('Kế hoạch định kỳ'!$B116="","",'Kế hoạch định kỳ'!$D116)</f>
        <v/>
      </c>
      <c r="C116" s="18" t="str">
        <f>IF('Kế hoạch định kỳ'!$B116="","",'Kế hoạch định kỳ'!$F116)</f>
        <v/>
      </c>
      <c r="D116" s="10" t="str">
        <f>IF('Kế hoạch định kỳ'!$B116="","",IF('Kế hoạch định kỳ'!$I116&lt;&gt;"",'Kế hoạch định kỳ'!$I116&amp;" ngày",'Kế hoạch định kỳ'!$H116))</f>
        <v/>
      </c>
      <c r="E116" s="24" t="str">
        <f>IF($A116="","",IF(COUNTIFS('Nhật ký bảo trì'!$D$6:$D$405,$A116,'Nhật ký bảo trì'!$Q$6:$Q$405,"Hoàn thành",'Nhật ký bảo trì'!$B$6:$B$405,"&gt;="&amp;E$5,'Nhật ký bảo trì'!$B$6:$B$405,"&lt;="&amp;EOMONTH(E$5,0))&gt;0,"✔",IF(((EOMONTH(E$5,0)&gt;='Kế hoạch định kỳ'!$W116)*(INT((EOMONTH(E$5,0)-'Kế hoạch định kỳ'!$W116)/'Kế hoạch định kỳ'!$X116)+1)-(E$5-1&gt;='Kế hoạch định kỳ'!$W116)*(INT((E$5-1-'Kế hoạch định kỳ'!$W116)/'Kế hoạch định kỳ'!$X116)+1))&gt;0,IF(EOMONTH(E$5,0)&lt;'Tổng quan'!$B$11,"✖","○"),"")))</f>
        <v/>
      </c>
      <c r="F116" s="24" t="str">
        <f>IF($A116="","",IF(COUNTIFS('Nhật ký bảo trì'!$D$6:$D$405,$A116,'Nhật ký bảo trì'!$Q$6:$Q$405,"Hoàn thành",'Nhật ký bảo trì'!$B$6:$B$405,"&gt;="&amp;F$5,'Nhật ký bảo trì'!$B$6:$B$405,"&lt;="&amp;EOMONTH(F$5,0))&gt;0,"✔",IF(((EOMONTH(F$5,0)&gt;='Kế hoạch định kỳ'!$W116)*(INT((EOMONTH(F$5,0)-'Kế hoạch định kỳ'!$W116)/'Kế hoạch định kỳ'!$X116)+1)-(F$5-1&gt;='Kế hoạch định kỳ'!$W116)*(INT((F$5-1-'Kế hoạch định kỳ'!$W116)/'Kế hoạch định kỳ'!$X116)+1))&gt;0,IF(EOMONTH(F$5,0)&lt;'Tổng quan'!$B$11,"✖","○"),"")))</f>
        <v/>
      </c>
      <c r="G116" s="24" t="str">
        <f>IF($A116="","",IF(COUNTIFS('Nhật ký bảo trì'!$D$6:$D$405,$A116,'Nhật ký bảo trì'!$Q$6:$Q$405,"Hoàn thành",'Nhật ký bảo trì'!$B$6:$B$405,"&gt;="&amp;G$5,'Nhật ký bảo trì'!$B$6:$B$405,"&lt;="&amp;EOMONTH(G$5,0))&gt;0,"✔",IF(((EOMONTH(G$5,0)&gt;='Kế hoạch định kỳ'!$W116)*(INT((EOMONTH(G$5,0)-'Kế hoạch định kỳ'!$W116)/'Kế hoạch định kỳ'!$X116)+1)-(G$5-1&gt;='Kế hoạch định kỳ'!$W116)*(INT((G$5-1-'Kế hoạch định kỳ'!$W116)/'Kế hoạch định kỳ'!$X116)+1))&gt;0,IF(EOMONTH(G$5,0)&lt;'Tổng quan'!$B$11,"✖","○"),"")))</f>
        <v/>
      </c>
      <c r="H116" s="24" t="str">
        <f>IF($A116="","",IF(COUNTIFS('Nhật ký bảo trì'!$D$6:$D$405,$A116,'Nhật ký bảo trì'!$Q$6:$Q$405,"Hoàn thành",'Nhật ký bảo trì'!$B$6:$B$405,"&gt;="&amp;H$5,'Nhật ký bảo trì'!$B$6:$B$405,"&lt;="&amp;EOMONTH(H$5,0))&gt;0,"✔",IF(((EOMONTH(H$5,0)&gt;='Kế hoạch định kỳ'!$W116)*(INT((EOMONTH(H$5,0)-'Kế hoạch định kỳ'!$W116)/'Kế hoạch định kỳ'!$X116)+1)-(H$5-1&gt;='Kế hoạch định kỳ'!$W116)*(INT((H$5-1-'Kế hoạch định kỳ'!$W116)/'Kế hoạch định kỳ'!$X116)+1))&gt;0,IF(EOMONTH(H$5,0)&lt;'Tổng quan'!$B$11,"✖","○"),"")))</f>
        <v/>
      </c>
      <c r="I116" s="24" t="str">
        <f>IF($A116="","",IF(COUNTIFS('Nhật ký bảo trì'!$D$6:$D$405,$A116,'Nhật ký bảo trì'!$Q$6:$Q$405,"Hoàn thành",'Nhật ký bảo trì'!$B$6:$B$405,"&gt;="&amp;I$5,'Nhật ký bảo trì'!$B$6:$B$405,"&lt;="&amp;EOMONTH(I$5,0))&gt;0,"✔",IF(((EOMONTH(I$5,0)&gt;='Kế hoạch định kỳ'!$W116)*(INT((EOMONTH(I$5,0)-'Kế hoạch định kỳ'!$W116)/'Kế hoạch định kỳ'!$X116)+1)-(I$5-1&gt;='Kế hoạch định kỳ'!$W116)*(INT((I$5-1-'Kế hoạch định kỳ'!$W116)/'Kế hoạch định kỳ'!$X116)+1))&gt;0,IF(EOMONTH(I$5,0)&lt;'Tổng quan'!$B$11,"✖","○"),"")))</f>
        <v/>
      </c>
      <c r="J116" s="24" t="str">
        <f>IF($A116="","",IF(COUNTIFS('Nhật ký bảo trì'!$D$6:$D$405,$A116,'Nhật ký bảo trì'!$Q$6:$Q$405,"Hoàn thành",'Nhật ký bảo trì'!$B$6:$B$405,"&gt;="&amp;J$5,'Nhật ký bảo trì'!$B$6:$B$405,"&lt;="&amp;EOMONTH(J$5,0))&gt;0,"✔",IF(((EOMONTH(J$5,0)&gt;='Kế hoạch định kỳ'!$W116)*(INT((EOMONTH(J$5,0)-'Kế hoạch định kỳ'!$W116)/'Kế hoạch định kỳ'!$X116)+1)-(J$5-1&gt;='Kế hoạch định kỳ'!$W116)*(INT((J$5-1-'Kế hoạch định kỳ'!$W116)/'Kế hoạch định kỳ'!$X116)+1))&gt;0,IF(EOMONTH(J$5,0)&lt;'Tổng quan'!$B$11,"✖","○"),"")))</f>
        <v/>
      </c>
      <c r="K116" s="24" t="str">
        <f>IF($A116="","",IF(COUNTIFS('Nhật ký bảo trì'!$D$6:$D$405,$A116,'Nhật ký bảo trì'!$Q$6:$Q$405,"Hoàn thành",'Nhật ký bảo trì'!$B$6:$B$405,"&gt;="&amp;K$5,'Nhật ký bảo trì'!$B$6:$B$405,"&lt;="&amp;EOMONTH(K$5,0))&gt;0,"✔",IF(((EOMONTH(K$5,0)&gt;='Kế hoạch định kỳ'!$W116)*(INT((EOMONTH(K$5,0)-'Kế hoạch định kỳ'!$W116)/'Kế hoạch định kỳ'!$X116)+1)-(K$5-1&gt;='Kế hoạch định kỳ'!$W116)*(INT((K$5-1-'Kế hoạch định kỳ'!$W116)/'Kế hoạch định kỳ'!$X116)+1))&gt;0,IF(EOMONTH(K$5,0)&lt;'Tổng quan'!$B$11,"✖","○"),"")))</f>
        <v/>
      </c>
      <c r="L116" s="24" t="str">
        <f>IF($A116="","",IF(COUNTIFS('Nhật ký bảo trì'!$D$6:$D$405,$A116,'Nhật ký bảo trì'!$Q$6:$Q$405,"Hoàn thành",'Nhật ký bảo trì'!$B$6:$B$405,"&gt;="&amp;L$5,'Nhật ký bảo trì'!$B$6:$B$405,"&lt;="&amp;EOMONTH(L$5,0))&gt;0,"✔",IF(((EOMONTH(L$5,0)&gt;='Kế hoạch định kỳ'!$W116)*(INT((EOMONTH(L$5,0)-'Kế hoạch định kỳ'!$W116)/'Kế hoạch định kỳ'!$X116)+1)-(L$5-1&gt;='Kế hoạch định kỳ'!$W116)*(INT((L$5-1-'Kế hoạch định kỳ'!$W116)/'Kế hoạch định kỳ'!$X116)+1))&gt;0,IF(EOMONTH(L$5,0)&lt;'Tổng quan'!$B$11,"✖","○"),"")))</f>
        <v/>
      </c>
      <c r="M116" s="24" t="str">
        <f>IF($A116="","",IF(COUNTIFS('Nhật ký bảo trì'!$D$6:$D$405,$A116,'Nhật ký bảo trì'!$Q$6:$Q$405,"Hoàn thành",'Nhật ký bảo trì'!$B$6:$B$405,"&gt;="&amp;M$5,'Nhật ký bảo trì'!$B$6:$B$405,"&lt;="&amp;EOMONTH(M$5,0))&gt;0,"✔",IF(((EOMONTH(M$5,0)&gt;='Kế hoạch định kỳ'!$W116)*(INT((EOMONTH(M$5,0)-'Kế hoạch định kỳ'!$W116)/'Kế hoạch định kỳ'!$X116)+1)-(M$5-1&gt;='Kế hoạch định kỳ'!$W116)*(INT((M$5-1-'Kế hoạch định kỳ'!$W116)/'Kế hoạch định kỳ'!$X116)+1))&gt;0,IF(EOMONTH(M$5,0)&lt;'Tổng quan'!$B$11,"✖","○"),"")))</f>
        <v/>
      </c>
      <c r="N116" s="24" t="str">
        <f>IF($A116="","",IF(COUNTIFS('Nhật ký bảo trì'!$D$6:$D$405,$A116,'Nhật ký bảo trì'!$Q$6:$Q$405,"Hoàn thành",'Nhật ký bảo trì'!$B$6:$B$405,"&gt;="&amp;N$5,'Nhật ký bảo trì'!$B$6:$B$405,"&lt;="&amp;EOMONTH(N$5,0))&gt;0,"✔",IF(((EOMONTH(N$5,0)&gt;='Kế hoạch định kỳ'!$W116)*(INT((EOMONTH(N$5,0)-'Kế hoạch định kỳ'!$W116)/'Kế hoạch định kỳ'!$X116)+1)-(N$5-1&gt;='Kế hoạch định kỳ'!$W116)*(INT((N$5-1-'Kế hoạch định kỳ'!$W116)/'Kế hoạch định kỳ'!$X116)+1))&gt;0,IF(EOMONTH(N$5,0)&lt;'Tổng quan'!$B$11,"✖","○"),"")))</f>
        <v/>
      </c>
      <c r="O116" s="24" t="str">
        <f>IF($A116="","",IF(COUNTIFS('Nhật ký bảo trì'!$D$6:$D$405,$A116,'Nhật ký bảo trì'!$Q$6:$Q$405,"Hoàn thành",'Nhật ký bảo trì'!$B$6:$B$405,"&gt;="&amp;O$5,'Nhật ký bảo trì'!$B$6:$B$405,"&lt;="&amp;EOMONTH(O$5,0))&gt;0,"✔",IF(((EOMONTH(O$5,0)&gt;='Kế hoạch định kỳ'!$W116)*(INT((EOMONTH(O$5,0)-'Kế hoạch định kỳ'!$W116)/'Kế hoạch định kỳ'!$X116)+1)-(O$5-1&gt;='Kế hoạch định kỳ'!$W116)*(INT((O$5-1-'Kế hoạch định kỳ'!$W116)/'Kế hoạch định kỳ'!$X116)+1))&gt;0,IF(EOMONTH(O$5,0)&lt;'Tổng quan'!$B$11,"✖","○"),"")))</f>
        <v/>
      </c>
      <c r="P116" s="24" t="str">
        <f>IF($A116="","",IF(COUNTIFS('Nhật ký bảo trì'!$D$6:$D$405,$A116,'Nhật ký bảo trì'!$Q$6:$Q$405,"Hoàn thành",'Nhật ký bảo trì'!$B$6:$B$405,"&gt;="&amp;P$5,'Nhật ký bảo trì'!$B$6:$B$405,"&lt;="&amp;EOMONTH(P$5,0))&gt;0,"✔",IF(((EOMONTH(P$5,0)&gt;='Kế hoạch định kỳ'!$W116)*(INT((EOMONTH(P$5,0)-'Kế hoạch định kỳ'!$W116)/'Kế hoạch định kỳ'!$X116)+1)-(P$5-1&gt;='Kế hoạch định kỳ'!$W116)*(INT((P$5-1-'Kế hoạch định kỳ'!$W116)/'Kế hoạch định kỳ'!$X116)+1))&gt;0,IF(EOMONTH(P$5,0)&lt;'Tổng quan'!$B$11,"✖","○"),"")))</f>
        <v/>
      </c>
      <c r="Q116" s="16" t="str">
        <f>IF($A116="","",COUNTIFS('Nhật ký bảo trì'!$D$6:$D$405,$A116,'Nhật ký bảo trì'!$Q$6:$Q$405,"Hoàn thành",'Nhật ký bảo trì'!$B$6:$B$405,"&gt;="&amp;DATE('Tổng quan'!$B$6,1,1),'Nhật ký bảo trì'!$B$6:$B$405,"&lt;="&amp;DATE('Tổng quan'!$B$6,12,31)))</f>
        <v/>
      </c>
      <c r="R116" s="16" t="str">
        <f t="shared" si="1"/>
        <v/>
      </c>
    </row>
    <row r="117" ht="24.0" customHeight="1">
      <c r="A117" s="26" t="str">
        <f>IF('Kế hoạch định kỳ'!$B117="","",'Kế hoạch định kỳ'!$B117)</f>
        <v/>
      </c>
      <c r="B117" s="28" t="str">
        <f>IF('Kế hoạch định kỳ'!$B117="","",'Kế hoạch định kỳ'!$D117)</f>
        <v/>
      </c>
      <c r="C117" s="56" t="str">
        <f>IF('Kế hoạch định kỳ'!$B117="","",'Kế hoạch định kỳ'!$F117)</f>
        <v/>
      </c>
      <c r="D117" s="26" t="str">
        <f>IF('Kế hoạch định kỳ'!$B117="","",IF('Kế hoạch định kỳ'!$I117&lt;&gt;"",'Kế hoạch định kỳ'!$I117&amp;" ngày",'Kế hoạch định kỳ'!$H117))</f>
        <v/>
      </c>
      <c r="E117" s="61" t="str">
        <f>IF($A117="","",IF(COUNTIFS('Nhật ký bảo trì'!$D$6:$D$405,$A117,'Nhật ký bảo trì'!$Q$6:$Q$405,"Hoàn thành",'Nhật ký bảo trì'!$B$6:$B$405,"&gt;="&amp;E$5,'Nhật ký bảo trì'!$B$6:$B$405,"&lt;="&amp;EOMONTH(E$5,0))&gt;0,"✔",IF(((EOMONTH(E$5,0)&gt;='Kế hoạch định kỳ'!$W117)*(INT((EOMONTH(E$5,0)-'Kế hoạch định kỳ'!$W117)/'Kế hoạch định kỳ'!$X117)+1)-(E$5-1&gt;='Kế hoạch định kỳ'!$W117)*(INT((E$5-1-'Kế hoạch định kỳ'!$W117)/'Kế hoạch định kỳ'!$X117)+1))&gt;0,IF(EOMONTH(E$5,0)&lt;'Tổng quan'!$B$11,"✖","○"),"")))</f>
        <v/>
      </c>
      <c r="F117" s="61" t="str">
        <f>IF($A117="","",IF(COUNTIFS('Nhật ký bảo trì'!$D$6:$D$405,$A117,'Nhật ký bảo trì'!$Q$6:$Q$405,"Hoàn thành",'Nhật ký bảo trì'!$B$6:$B$405,"&gt;="&amp;F$5,'Nhật ký bảo trì'!$B$6:$B$405,"&lt;="&amp;EOMONTH(F$5,0))&gt;0,"✔",IF(((EOMONTH(F$5,0)&gt;='Kế hoạch định kỳ'!$W117)*(INT((EOMONTH(F$5,0)-'Kế hoạch định kỳ'!$W117)/'Kế hoạch định kỳ'!$X117)+1)-(F$5-1&gt;='Kế hoạch định kỳ'!$W117)*(INT((F$5-1-'Kế hoạch định kỳ'!$W117)/'Kế hoạch định kỳ'!$X117)+1))&gt;0,IF(EOMONTH(F$5,0)&lt;'Tổng quan'!$B$11,"✖","○"),"")))</f>
        <v/>
      </c>
      <c r="G117" s="61" t="str">
        <f>IF($A117="","",IF(COUNTIFS('Nhật ký bảo trì'!$D$6:$D$405,$A117,'Nhật ký bảo trì'!$Q$6:$Q$405,"Hoàn thành",'Nhật ký bảo trì'!$B$6:$B$405,"&gt;="&amp;G$5,'Nhật ký bảo trì'!$B$6:$B$405,"&lt;="&amp;EOMONTH(G$5,0))&gt;0,"✔",IF(((EOMONTH(G$5,0)&gt;='Kế hoạch định kỳ'!$W117)*(INT((EOMONTH(G$5,0)-'Kế hoạch định kỳ'!$W117)/'Kế hoạch định kỳ'!$X117)+1)-(G$5-1&gt;='Kế hoạch định kỳ'!$W117)*(INT((G$5-1-'Kế hoạch định kỳ'!$W117)/'Kế hoạch định kỳ'!$X117)+1))&gt;0,IF(EOMONTH(G$5,0)&lt;'Tổng quan'!$B$11,"✖","○"),"")))</f>
        <v/>
      </c>
      <c r="H117" s="61" t="str">
        <f>IF($A117="","",IF(COUNTIFS('Nhật ký bảo trì'!$D$6:$D$405,$A117,'Nhật ký bảo trì'!$Q$6:$Q$405,"Hoàn thành",'Nhật ký bảo trì'!$B$6:$B$405,"&gt;="&amp;H$5,'Nhật ký bảo trì'!$B$6:$B$405,"&lt;="&amp;EOMONTH(H$5,0))&gt;0,"✔",IF(((EOMONTH(H$5,0)&gt;='Kế hoạch định kỳ'!$W117)*(INT((EOMONTH(H$5,0)-'Kế hoạch định kỳ'!$W117)/'Kế hoạch định kỳ'!$X117)+1)-(H$5-1&gt;='Kế hoạch định kỳ'!$W117)*(INT((H$5-1-'Kế hoạch định kỳ'!$W117)/'Kế hoạch định kỳ'!$X117)+1))&gt;0,IF(EOMONTH(H$5,0)&lt;'Tổng quan'!$B$11,"✖","○"),"")))</f>
        <v/>
      </c>
      <c r="I117" s="61" t="str">
        <f>IF($A117="","",IF(COUNTIFS('Nhật ký bảo trì'!$D$6:$D$405,$A117,'Nhật ký bảo trì'!$Q$6:$Q$405,"Hoàn thành",'Nhật ký bảo trì'!$B$6:$B$405,"&gt;="&amp;I$5,'Nhật ký bảo trì'!$B$6:$B$405,"&lt;="&amp;EOMONTH(I$5,0))&gt;0,"✔",IF(((EOMONTH(I$5,0)&gt;='Kế hoạch định kỳ'!$W117)*(INT((EOMONTH(I$5,0)-'Kế hoạch định kỳ'!$W117)/'Kế hoạch định kỳ'!$X117)+1)-(I$5-1&gt;='Kế hoạch định kỳ'!$W117)*(INT((I$5-1-'Kế hoạch định kỳ'!$W117)/'Kế hoạch định kỳ'!$X117)+1))&gt;0,IF(EOMONTH(I$5,0)&lt;'Tổng quan'!$B$11,"✖","○"),"")))</f>
        <v/>
      </c>
      <c r="J117" s="61" t="str">
        <f>IF($A117="","",IF(COUNTIFS('Nhật ký bảo trì'!$D$6:$D$405,$A117,'Nhật ký bảo trì'!$Q$6:$Q$405,"Hoàn thành",'Nhật ký bảo trì'!$B$6:$B$405,"&gt;="&amp;J$5,'Nhật ký bảo trì'!$B$6:$B$405,"&lt;="&amp;EOMONTH(J$5,0))&gt;0,"✔",IF(((EOMONTH(J$5,0)&gt;='Kế hoạch định kỳ'!$W117)*(INT((EOMONTH(J$5,0)-'Kế hoạch định kỳ'!$W117)/'Kế hoạch định kỳ'!$X117)+1)-(J$5-1&gt;='Kế hoạch định kỳ'!$W117)*(INT((J$5-1-'Kế hoạch định kỳ'!$W117)/'Kế hoạch định kỳ'!$X117)+1))&gt;0,IF(EOMONTH(J$5,0)&lt;'Tổng quan'!$B$11,"✖","○"),"")))</f>
        <v/>
      </c>
      <c r="K117" s="61" t="str">
        <f>IF($A117="","",IF(COUNTIFS('Nhật ký bảo trì'!$D$6:$D$405,$A117,'Nhật ký bảo trì'!$Q$6:$Q$405,"Hoàn thành",'Nhật ký bảo trì'!$B$6:$B$405,"&gt;="&amp;K$5,'Nhật ký bảo trì'!$B$6:$B$405,"&lt;="&amp;EOMONTH(K$5,0))&gt;0,"✔",IF(((EOMONTH(K$5,0)&gt;='Kế hoạch định kỳ'!$W117)*(INT((EOMONTH(K$5,0)-'Kế hoạch định kỳ'!$W117)/'Kế hoạch định kỳ'!$X117)+1)-(K$5-1&gt;='Kế hoạch định kỳ'!$W117)*(INT((K$5-1-'Kế hoạch định kỳ'!$W117)/'Kế hoạch định kỳ'!$X117)+1))&gt;0,IF(EOMONTH(K$5,0)&lt;'Tổng quan'!$B$11,"✖","○"),"")))</f>
        <v/>
      </c>
      <c r="L117" s="61" t="str">
        <f>IF($A117="","",IF(COUNTIFS('Nhật ký bảo trì'!$D$6:$D$405,$A117,'Nhật ký bảo trì'!$Q$6:$Q$405,"Hoàn thành",'Nhật ký bảo trì'!$B$6:$B$405,"&gt;="&amp;L$5,'Nhật ký bảo trì'!$B$6:$B$405,"&lt;="&amp;EOMONTH(L$5,0))&gt;0,"✔",IF(((EOMONTH(L$5,0)&gt;='Kế hoạch định kỳ'!$W117)*(INT((EOMONTH(L$5,0)-'Kế hoạch định kỳ'!$W117)/'Kế hoạch định kỳ'!$X117)+1)-(L$5-1&gt;='Kế hoạch định kỳ'!$W117)*(INT((L$5-1-'Kế hoạch định kỳ'!$W117)/'Kế hoạch định kỳ'!$X117)+1))&gt;0,IF(EOMONTH(L$5,0)&lt;'Tổng quan'!$B$11,"✖","○"),"")))</f>
        <v/>
      </c>
      <c r="M117" s="61" t="str">
        <f>IF($A117="","",IF(COUNTIFS('Nhật ký bảo trì'!$D$6:$D$405,$A117,'Nhật ký bảo trì'!$Q$6:$Q$405,"Hoàn thành",'Nhật ký bảo trì'!$B$6:$B$405,"&gt;="&amp;M$5,'Nhật ký bảo trì'!$B$6:$B$405,"&lt;="&amp;EOMONTH(M$5,0))&gt;0,"✔",IF(((EOMONTH(M$5,0)&gt;='Kế hoạch định kỳ'!$W117)*(INT((EOMONTH(M$5,0)-'Kế hoạch định kỳ'!$W117)/'Kế hoạch định kỳ'!$X117)+1)-(M$5-1&gt;='Kế hoạch định kỳ'!$W117)*(INT((M$5-1-'Kế hoạch định kỳ'!$W117)/'Kế hoạch định kỳ'!$X117)+1))&gt;0,IF(EOMONTH(M$5,0)&lt;'Tổng quan'!$B$11,"✖","○"),"")))</f>
        <v/>
      </c>
      <c r="N117" s="61" t="str">
        <f>IF($A117="","",IF(COUNTIFS('Nhật ký bảo trì'!$D$6:$D$405,$A117,'Nhật ký bảo trì'!$Q$6:$Q$405,"Hoàn thành",'Nhật ký bảo trì'!$B$6:$B$405,"&gt;="&amp;N$5,'Nhật ký bảo trì'!$B$6:$B$405,"&lt;="&amp;EOMONTH(N$5,0))&gt;0,"✔",IF(((EOMONTH(N$5,0)&gt;='Kế hoạch định kỳ'!$W117)*(INT((EOMONTH(N$5,0)-'Kế hoạch định kỳ'!$W117)/'Kế hoạch định kỳ'!$X117)+1)-(N$5-1&gt;='Kế hoạch định kỳ'!$W117)*(INT((N$5-1-'Kế hoạch định kỳ'!$W117)/'Kế hoạch định kỳ'!$X117)+1))&gt;0,IF(EOMONTH(N$5,0)&lt;'Tổng quan'!$B$11,"✖","○"),"")))</f>
        <v/>
      </c>
      <c r="O117" s="61" t="str">
        <f>IF($A117="","",IF(COUNTIFS('Nhật ký bảo trì'!$D$6:$D$405,$A117,'Nhật ký bảo trì'!$Q$6:$Q$405,"Hoàn thành",'Nhật ký bảo trì'!$B$6:$B$405,"&gt;="&amp;O$5,'Nhật ký bảo trì'!$B$6:$B$405,"&lt;="&amp;EOMONTH(O$5,0))&gt;0,"✔",IF(((EOMONTH(O$5,0)&gt;='Kế hoạch định kỳ'!$W117)*(INT((EOMONTH(O$5,0)-'Kế hoạch định kỳ'!$W117)/'Kế hoạch định kỳ'!$X117)+1)-(O$5-1&gt;='Kế hoạch định kỳ'!$W117)*(INT((O$5-1-'Kế hoạch định kỳ'!$W117)/'Kế hoạch định kỳ'!$X117)+1))&gt;0,IF(EOMONTH(O$5,0)&lt;'Tổng quan'!$B$11,"✖","○"),"")))</f>
        <v/>
      </c>
      <c r="P117" s="61" t="str">
        <f>IF($A117="","",IF(COUNTIFS('Nhật ký bảo trì'!$D$6:$D$405,$A117,'Nhật ký bảo trì'!$Q$6:$Q$405,"Hoàn thành",'Nhật ký bảo trì'!$B$6:$B$405,"&gt;="&amp;P$5,'Nhật ký bảo trì'!$B$6:$B$405,"&lt;="&amp;EOMONTH(P$5,0))&gt;0,"✔",IF(((EOMONTH(P$5,0)&gt;='Kế hoạch định kỳ'!$W117)*(INT((EOMONTH(P$5,0)-'Kế hoạch định kỳ'!$W117)/'Kế hoạch định kỳ'!$X117)+1)-(P$5-1&gt;='Kế hoạch định kỳ'!$W117)*(INT((P$5-1-'Kế hoạch định kỳ'!$W117)/'Kế hoạch định kỳ'!$X117)+1))&gt;0,IF(EOMONTH(P$5,0)&lt;'Tổng quan'!$B$11,"✖","○"),"")))</f>
        <v/>
      </c>
      <c r="Q117" s="30" t="str">
        <f>IF($A117="","",COUNTIFS('Nhật ký bảo trì'!$D$6:$D$405,$A117,'Nhật ký bảo trì'!$Q$6:$Q$405,"Hoàn thành",'Nhật ký bảo trì'!$B$6:$B$405,"&gt;="&amp;DATE('Tổng quan'!$B$6,1,1),'Nhật ký bảo trì'!$B$6:$B$405,"&lt;="&amp;DATE('Tổng quan'!$B$6,12,31)))</f>
        <v/>
      </c>
      <c r="R117" s="30" t="str">
        <f t="shared" si="1"/>
        <v/>
      </c>
    </row>
    <row r="118" ht="24.0" customHeight="1">
      <c r="A118" s="10" t="str">
        <f>IF('Kế hoạch định kỳ'!$B118="","",'Kế hoạch định kỳ'!$B118)</f>
        <v/>
      </c>
      <c r="B118" s="14" t="str">
        <f>IF('Kế hoạch định kỳ'!$B118="","",'Kế hoạch định kỳ'!$D118)</f>
        <v/>
      </c>
      <c r="C118" s="18" t="str">
        <f>IF('Kế hoạch định kỳ'!$B118="","",'Kế hoạch định kỳ'!$F118)</f>
        <v/>
      </c>
      <c r="D118" s="10" t="str">
        <f>IF('Kế hoạch định kỳ'!$B118="","",IF('Kế hoạch định kỳ'!$I118&lt;&gt;"",'Kế hoạch định kỳ'!$I118&amp;" ngày",'Kế hoạch định kỳ'!$H118))</f>
        <v/>
      </c>
      <c r="E118" s="24" t="str">
        <f>IF($A118="","",IF(COUNTIFS('Nhật ký bảo trì'!$D$6:$D$405,$A118,'Nhật ký bảo trì'!$Q$6:$Q$405,"Hoàn thành",'Nhật ký bảo trì'!$B$6:$B$405,"&gt;="&amp;E$5,'Nhật ký bảo trì'!$B$6:$B$405,"&lt;="&amp;EOMONTH(E$5,0))&gt;0,"✔",IF(((EOMONTH(E$5,0)&gt;='Kế hoạch định kỳ'!$W118)*(INT((EOMONTH(E$5,0)-'Kế hoạch định kỳ'!$W118)/'Kế hoạch định kỳ'!$X118)+1)-(E$5-1&gt;='Kế hoạch định kỳ'!$W118)*(INT((E$5-1-'Kế hoạch định kỳ'!$W118)/'Kế hoạch định kỳ'!$X118)+1))&gt;0,IF(EOMONTH(E$5,0)&lt;'Tổng quan'!$B$11,"✖","○"),"")))</f>
        <v/>
      </c>
      <c r="F118" s="24" t="str">
        <f>IF($A118="","",IF(COUNTIFS('Nhật ký bảo trì'!$D$6:$D$405,$A118,'Nhật ký bảo trì'!$Q$6:$Q$405,"Hoàn thành",'Nhật ký bảo trì'!$B$6:$B$405,"&gt;="&amp;F$5,'Nhật ký bảo trì'!$B$6:$B$405,"&lt;="&amp;EOMONTH(F$5,0))&gt;0,"✔",IF(((EOMONTH(F$5,0)&gt;='Kế hoạch định kỳ'!$W118)*(INT((EOMONTH(F$5,0)-'Kế hoạch định kỳ'!$W118)/'Kế hoạch định kỳ'!$X118)+1)-(F$5-1&gt;='Kế hoạch định kỳ'!$W118)*(INT((F$5-1-'Kế hoạch định kỳ'!$W118)/'Kế hoạch định kỳ'!$X118)+1))&gt;0,IF(EOMONTH(F$5,0)&lt;'Tổng quan'!$B$11,"✖","○"),"")))</f>
        <v/>
      </c>
      <c r="G118" s="24" t="str">
        <f>IF($A118="","",IF(COUNTIFS('Nhật ký bảo trì'!$D$6:$D$405,$A118,'Nhật ký bảo trì'!$Q$6:$Q$405,"Hoàn thành",'Nhật ký bảo trì'!$B$6:$B$405,"&gt;="&amp;G$5,'Nhật ký bảo trì'!$B$6:$B$405,"&lt;="&amp;EOMONTH(G$5,0))&gt;0,"✔",IF(((EOMONTH(G$5,0)&gt;='Kế hoạch định kỳ'!$W118)*(INT((EOMONTH(G$5,0)-'Kế hoạch định kỳ'!$W118)/'Kế hoạch định kỳ'!$X118)+1)-(G$5-1&gt;='Kế hoạch định kỳ'!$W118)*(INT((G$5-1-'Kế hoạch định kỳ'!$W118)/'Kế hoạch định kỳ'!$X118)+1))&gt;0,IF(EOMONTH(G$5,0)&lt;'Tổng quan'!$B$11,"✖","○"),"")))</f>
        <v/>
      </c>
      <c r="H118" s="24" t="str">
        <f>IF($A118="","",IF(COUNTIFS('Nhật ký bảo trì'!$D$6:$D$405,$A118,'Nhật ký bảo trì'!$Q$6:$Q$405,"Hoàn thành",'Nhật ký bảo trì'!$B$6:$B$405,"&gt;="&amp;H$5,'Nhật ký bảo trì'!$B$6:$B$405,"&lt;="&amp;EOMONTH(H$5,0))&gt;0,"✔",IF(((EOMONTH(H$5,0)&gt;='Kế hoạch định kỳ'!$W118)*(INT((EOMONTH(H$5,0)-'Kế hoạch định kỳ'!$W118)/'Kế hoạch định kỳ'!$X118)+1)-(H$5-1&gt;='Kế hoạch định kỳ'!$W118)*(INT((H$5-1-'Kế hoạch định kỳ'!$W118)/'Kế hoạch định kỳ'!$X118)+1))&gt;0,IF(EOMONTH(H$5,0)&lt;'Tổng quan'!$B$11,"✖","○"),"")))</f>
        <v/>
      </c>
      <c r="I118" s="24" t="str">
        <f>IF($A118="","",IF(COUNTIFS('Nhật ký bảo trì'!$D$6:$D$405,$A118,'Nhật ký bảo trì'!$Q$6:$Q$405,"Hoàn thành",'Nhật ký bảo trì'!$B$6:$B$405,"&gt;="&amp;I$5,'Nhật ký bảo trì'!$B$6:$B$405,"&lt;="&amp;EOMONTH(I$5,0))&gt;0,"✔",IF(((EOMONTH(I$5,0)&gt;='Kế hoạch định kỳ'!$W118)*(INT((EOMONTH(I$5,0)-'Kế hoạch định kỳ'!$W118)/'Kế hoạch định kỳ'!$X118)+1)-(I$5-1&gt;='Kế hoạch định kỳ'!$W118)*(INT((I$5-1-'Kế hoạch định kỳ'!$W118)/'Kế hoạch định kỳ'!$X118)+1))&gt;0,IF(EOMONTH(I$5,0)&lt;'Tổng quan'!$B$11,"✖","○"),"")))</f>
        <v/>
      </c>
      <c r="J118" s="24" t="str">
        <f>IF($A118="","",IF(COUNTIFS('Nhật ký bảo trì'!$D$6:$D$405,$A118,'Nhật ký bảo trì'!$Q$6:$Q$405,"Hoàn thành",'Nhật ký bảo trì'!$B$6:$B$405,"&gt;="&amp;J$5,'Nhật ký bảo trì'!$B$6:$B$405,"&lt;="&amp;EOMONTH(J$5,0))&gt;0,"✔",IF(((EOMONTH(J$5,0)&gt;='Kế hoạch định kỳ'!$W118)*(INT((EOMONTH(J$5,0)-'Kế hoạch định kỳ'!$W118)/'Kế hoạch định kỳ'!$X118)+1)-(J$5-1&gt;='Kế hoạch định kỳ'!$W118)*(INT((J$5-1-'Kế hoạch định kỳ'!$W118)/'Kế hoạch định kỳ'!$X118)+1))&gt;0,IF(EOMONTH(J$5,0)&lt;'Tổng quan'!$B$11,"✖","○"),"")))</f>
        <v/>
      </c>
      <c r="K118" s="24" t="str">
        <f>IF($A118="","",IF(COUNTIFS('Nhật ký bảo trì'!$D$6:$D$405,$A118,'Nhật ký bảo trì'!$Q$6:$Q$405,"Hoàn thành",'Nhật ký bảo trì'!$B$6:$B$405,"&gt;="&amp;K$5,'Nhật ký bảo trì'!$B$6:$B$405,"&lt;="&amp;EOMONTH(K$5,0))&gt;0,"✔",IF(((EOMONTH(K$5,0)&gt;='Kế hoạch định kỳ'!$W118)*(INT((EOMONTH(K$5,0)-'Kế hoạch định kỳ'!$W118)/'Kế hoạch định kỳ'!$X118)+1)-(K$5-1&gt;='Kế hoạch định kỳ'!$W118)*(INT((K$5-1-'Kế hoạch định kỳ'!$W118)/'Kế hoạch định kỳ'!$X118)+1))&gt;0,IF(EOMONTH(K$5,0)&lt;'Tổng quan'!$B$11,"✖","○"),"")))</f>
        <v/>
      </c>
      <c r="L118" s="24" t="str">
        <f>IF($A118="","",IF(COUNTIFS('Nhật ký bảo trì'!$D$6:$D$405,$A118,'Nhật ký bảo trì'!$Q$6:$Q$405,"Hoàn thành",'Nhật ký bảo trì'!$B$6:$B$405,"&gt;="&amp;L$5,'Nhật ký bảo trì'!$B$6:$B$405,"&lt;="&amp;EOMONTH(L$5,0))&gt;0,"✔",IF(((EOMONTH(L$5,0)&gt;='Kế hoạch định kỳ'!$W118)*(INT((EOMONTH(L$5,0)-'Kế hoạch định kỳ'!$W118)/'Kế hoạch định kỳ'!$X118)+1)-(L$5-1&gt;='Kế hoạch định kỳ'!$W118)*(INT((L$5-1-'Kế hoạch định kỳ'!$W118)/'Kế hoạch định kỳ'!$X118)+1))&gt;0,IF(EOMONTH(L$5,0)&lt;'Tổng quan'!$B$11,"✖","○"),"")))</f>
        <v/>
      </c>
      <c r="M118" s="24" t="str">
        <f>IF($A118="","",IF(COUNTIFS('Nhật ký bảo trì'!$D$6:$D$405,$A118,'Nhật ký bảo trì'!$Q$6:$Q$405,"Hoàn thành",'Nhật ký bảo trì'!$B$6:$B$405,"&gt;="&amp;M$5,'Nhật ký bảo trì'!$B$6:$B$405,"&lt;="&amp;EOMONTH(M$5,0))&gt;0,"✔",IF(((EOMONTH(M$5,0)&gt;='Kế hoạch định kỳ'!$W118)*(INT((EOMONTH(M$5,0)-'Kế hoạch định kỳ'!$W118)/'Kế hoạch định kỳ'!$X118)+1)-(M$5-1&gt;='Kế hoạch định kỳ'!$W118)*(INT((M$5-1-'Kế hoạch định kỳ'!$W118)/'Kế hoạch định kỳ'!$X118)+1))&gt;0,IF(EOMONTH(M$5,0)&lt;'Tổng quan'!$B$11,"✖","○"),"")))</f>
        <v/>
      </c>
      <c r="N118" s="24" t="str">
        <f>IF($A118="","",IF(COUNTIFS('Nhật ký bảo trì'!$D$6:$D$405,$A118,'Nhật ký bảo trì'!$Q$6:$Q$405,"Hoàn thành",'Nhật ký bảo trì'!$B$6:$B$405,"&gt;="&amp;N$5,'Nhật ký bảo trì'!$B$6:$B$405,"&lt;="&amp;EOMONTH(N$5,0))&gt;0,"✔",IF(((EOMONTH(N$5,0)&gt;='Kế hoạch định kỳ'!$W118)*(INT((EOMONTH(N$5,0)-'Kế hoạch định kỳ'!$W118)/'Kế hoạch định kỳ'!$X118)+1)-(N$5-1&gt;='Kế hoạch định kỳ'!$W118)*(INT((N$5-1-'Kế hoạch định kỳ'!$W118)/'Kế hoạch định kỳ'!$X118)+1))&gt;0,IF(EOMONTH(N$5,0)&lt;'Tổng quan'!$B$11,"✖","○"),"")))</f>
        <v/>
      </c>
      <c r="O118" s="24" t="str">
        <f>IF($A118="","",IF(COUNTIFS('Nhật ký bảo trì'!$D$6:$D$405,$A118,'Nhật ký bảo trì'!$Q$6:$Q$405,"Hoàn thành",'Nhật ký bảo trì'!$B$6:$B$405,"&gt;="&amp;O$5,'Nhật ký bảo trì'!$B$6:$B$405,"&lt;="&amp;EOMONTH(O$5,0))&gt;0,"✔",IF(((EOMONTH(O$5,0)&gt;='Kế hoạch định kỳ'!$W118)*(INT((EOMONTH(O$5,0)-'Kế hoạch định kỳ'!$W118)/'Kế hoạch định kỳ'!$X118)+1)-(O$5-1&gt;='Kế hoạch định kỳ'!$W118)*(INT((O$5-1-'Kế hoạch định kỳ'!$W118)/'Kế hoạch định kỳ'!$X118)+1))&gt;0,IF(EOMONTH(O$5,0)&lt;'Tổng quan'!$B$11,"✖","○"),"")))</f>
        <v/>
      </c>
      <c r="P118" s="24" t="str">
        <f>IF($A118="","",IF(COUNTIFS('Nhật ký bảo trì'!$D$6:$D$405,$A118,'Nhật ký bảo trì'!$Q$6:$Q$405,"Hoàn thành",'Nhật ký bảo trì'!$B$6:$B$405,"&gt;="&amp;P$5,'Nhật ký bảo trì'!$B$6:$B$405,"&lt;="&amp;EOMONTH(P$5,0))&gt;0,"✔",IF(((EOMONTH(P$5,0)&gt;='Kế hoạch định kỳ'!$W118)*(INT((EOMONTH(P$5,0)-'Kế hoạch định kỳ'!$W118)/'Kế hoạch định kỳ'!$X118)+1)-(P$5-1&gt;='Kế hoạch định kỳ'!$W118)*(INT((P$5-1-'Kế hoạch định kỳ'!$W118)/'Kế hoạch định kỳ'!$X118)+1))&gt;0,IF(EOMONTH(P$5,0)&lt;'Tổng quan'!$B$11,"✖","○"),"")))</f>
        <v/>
      </c>
      <c r="Q118" s="16" t="str">
        <f>IF($A118="","",COUNTIFS('Nhật ký bảo trì'!$D$6:$D$405,$A118,'Nhật ký bảo trì'!$Q$6:$Q$405,"Hoàn thành",'Nhật ký bảo trì'!$B$6:$B$405,"&gt;="&amp;DATE('Tổng quan'!$B$6,1,1),'Nhật ký bảo trì'!$B$6:$B$405,"&lt;="&amp;DATE('Tổng quan'!$B$6,12,31)))</f>
        <v/>
      </c>
      <c r="R118" s="16" t="str">
        <f t="shared" si="1"/>
        <v/>
      </c>
    </row>
    <row r="119" ht="24.0" customHeight="1">
      <c r="A119" s="26" t="str">
        <f>IF('Kế hoạch định kỳ'!$B119="","",'Kế hoạch định kỳ'!$B119)</f>
        <v/>
      </c>
      <c r="B119" s="28" t="str">
        <f>IF('Kế hoạch định kỳ'!$B119="","",'Kế hoạch định kỳ'!$D119)</f>
        <v/>
      </c>
      <c r="C119" s="56" t="str">
        <f>IF('Kế hoạch định kỳ'!$B119="","",'Kế hoạch định kỳ'!$F119)</f>
        <v/>
      </c>
      <c r="D119" s="26" t="str">
        <f>IF('Kế hoạch định kỳ'!$B119="","",IF('Kế hoạch định kỳ'!$I119&lt;&gt;"",'Kế hoạch định kỳ'!$I119&amp;" ngày",'Kế hoạch định kỳ'!$H119))</f>
        <v/>
      </c>
      <c r="E119" s="61" t="str">
        <f>IF($A119="","",IF(COUNTIFS('Nhật ký bảo trì'!$D$6:$D$405,$A119,'Nhật ký bảo trì'!$Q$6:$Q$405,"Hoàn thành",'Nhật ký bảo trì'!$B$6:$B$405,"&gt;="&amp;E$5,'Nhật ký bảo trì'!$B$6:$B$405,"&lt;="&amp;EOMONTH(E$5,0))&gt;0,"✔",IF(((EOMONTH(E$5,0)&gt;='Kế hoạch định kỳ'!$W119)*(INT((EOMONTH(E$5,0)-'Kế hoạch định kỳ'!$W119)/'Kế hoạch định kỳ'!$X119)+1)-(E$5-1&gt;='Kế hoạch định kỳ'!$W119)*(INT((E$5-1-'Kế hoạch định kỳ'!$W119)/'Kế hoạch định kỳ'!$X119)+1))&gt;0,IF(EOMONTH(E$5,0)&lt;'Tổng quan'!$B$11,"✖","○"),"")))</f>
        <v/>
      </c>
      <c r="F119" s="61" t="str">
        <f>IF($A119="","",IF(COUNTIFS('Nhật ký bảo trì'!$D$6:$D$405,$A119,'Nhật ký bảo trì'!$Q$6:$Q$405,"Hoàn thành",'Nhật ký bảo trì'!$B$6:$B$405,"&gt;="&amp;F$5,'Nhật ký bảo trì'!$B$6:$B$405,"&lt;="&amp;EOMONTH(F$5,0))&gt;0,"✔",IF(((EOMONTH(F$5,0)&gt;='Kế hoạch định kỳ'!$W119)*(INT((EOMONTH(F$5,0)-'Kế hoạch định kỳ'!$W119)/'Kế hoạch định kỳ'!$X119)+1)-(F$5-1&gt;='Kế hoạch định kỳ'!$W119)*(INT((F$5-1-'Kế hoạch định kỳ'!$W119)/'Kế hoạch định kỳ'!$X119)+1))&gt;0,IF(EOMONTH(F$5,0)&lt;'Tổng quan'!$B$11,"✖","○"),"")))</f>
        <v/>
      </c>
      <c r="G119" s="61" t="str">
        <f>IF($A119="","",IF(COUNTIFS('Nhật ký bảo trì'!$D$6:$D$405,$A119,'Nhật ký bảo trì'!$Q$6:$Q$405,"Hoàn thành",'Nhật ký bảo trì'!$B$6:$B$405,"&gt;="&amp;G$5,'Nhật ký bảo trì'!$B$6:$B$405,"&lt;="&amp;EOMONTH(G$5,0))&gt;0,"✔",IF(((EOMONTH(G$5,0)&gt;='Kế hoạch định kỳ'!$W119)*(INT((EOMONTH(G$5,0)-'Kế hoạch định kỳ'!$W119)/'Kế hoạch định kỳ'!$X119)+1)-(G$5-1&gt;='Kế hoạch định kỳ'!$W119)*(INT((G$5-1-'Kế hoạch định kỳ'!$W119)/'Kế hoạch định kỳ'!$X119)+1))&gt;0,IF(EOMONTH(G$5,0)&lt;'Tổng quan'!$B$11,"✖","○"),"")))</f>
        <v/>
      </c>
      <c r="H119" s="61" t="str">
        <f>IF($A119="","",IF(COUNTIFS('Nhật ký bảo trì'!$D$6:$D$405,$A119,'Nhật ký bảo trì'!$Q$6:$Q$405,"Hoàn thành",'Nhật ký bảo trì'!$B$6:$B$405,"&gt;="&amp;H$5,'Nhật ký bảo trì'!$B$6:$B$405,"&lt;="&amp;EOMONTH(H$5,0))&gt;0,"✔",IF(((EOMONTH(H$5,0)&gt;='Kế hoạch định kỳ'!$W119)*(INT((EOMONTH(H$5,0)-'Kế hoạch định kỳ'!$W119)/'Kế hoạch định kỳ'!$X119)+1)-(H$5-1&gt;='Kế hoạch định kỳ'!$W119)*(INT((H$5-1-'Kế hoạch định kỳ'!$W119)/'Kế hoạch định kỳ'!$X119)+1))&gt;0,IF(EOMONTH(H$5,0)&lt;'Tổng quan'!$B$11,"✖","○"),"")))</f>
        <v/>
      </c>
      <c r="I119" s="61" t="str">
        <f>IF($A119="","",IF(COUNTIFS('Nhật ký bảo trì'!$D$6:$D$405,$A119,'Nhật ký bảo trì'!$Q$6:$Q$405,"Hoàn thành",'Nhật ký bảo trì'!$B$6:$B$405,"&gt;="&amp;I$5,'Nhật ký bảo trì'!$B$6:$B$405,"&lt;="&amp;EOMONTH(I$5,0))&gt;0,"✔",IF(((EOMONTH(I$5,0)&gt;='Kế hoạch định kỳ'!$W119)*(INT((EOMONTH(I$5,0)-'Kế hoạch định kỳ'!$W119)/'Kế hoạch định kỳ'!$X119)+1)-(I$5-1&gt;='Kế hoạch định kỳ'!$W119)*(INT((I$5-1-'Kế hoạch định kỳ'!$W119)/'Kế hoạch định kỳ'!$X119)+1))&gt;0,IF(EOMONTH(I$5,0)&lt;'Tổng quan'!$B$11,"✖","○"),"")))</f>
        <v/>
      </c>
      <c r="J119" s="61" t="str">
        <f>IF($A119="","",IF(COUNTIFS('Nhật ký bảo trì'!$D$6:$D$405,$A119,'Nhật ký bảo trì'!$Q$6:$Q$405,"Hoàn thành",'Nhật ký bảo trì'!$B$6:$B$405,"&gt;="&amp;J$5,'Nhật ký bảo trì'!$B$6:$B$405,"&lt;="&amp;EOMONTH(J$5,0))&gt;0,"✔",IF(((EOMONTH(J$5,0)&gt;='Kế hoạch định kỳ'!$W119)*(INT((EOMONTH(J$5,0)-'Kế hoạch định kỳ'!$W119)/'Kế hoạch định kỳ'!$X119)+1)-(J$5-1&gt;='Kế hoạch định kỳ'!$W119)*(INT((J$5-1-'Kế hoạch định kỳ'!$W119)/'Kế hoạch định kỳ'!$X119)+1))&gt;0,IF(EOMONTH(J$5,0)&lt;'Tổng quan'!$B$11,"✖","○"),"")))</f>
        <v/>
      </c>
      <c r="K119" s="61" t="str">
        <f>IF($A119="","",IF(COUNTIFS('Nhật ký bảo trì'!$D$6:$D$405,$A119,'Nhật ký bảo trì'!$Q$6:$Q$405,"Hoàn thành",'Nhật ký bảo trì'!$B$6:$B$405,"&gt;="&amp;K$5,'Nhật ký bảo trì'!$B$6:$B$405,"&lt;="&amp;EOMONTH(K$5,0))&gt;0,"✔",IF(((EOMONTH(K$5,0)&gt;='Kế hoạch định kỳ'!$W119)*(INT((EOMONTH(K$5,0)-'Kế hoạch định kỳ'!$W119)/'Kế hoạch định kỳ'!$X119)+1)-(K$5-1&gt;='Kế hoạch định kỳ'!$W119)*(INT((K$5-1-'Kế hoạch định kỳ'!$W119)/'Kế hoạch định kỳ'!$X119)+1))&gt;0,IF(EOMONTH(K$5,0)&lt;'Tổng quan'!$B$11,"✖","○"),"")))</f>
        <v/>
      </c>
      <c r="L119" s="61" t="str">
        <f>IF($A119="","",IF(COUNTIFS('Nhật ký bảo trì'!$D$6:$D$405,$A119,'Nhật ký bảo trì'!$Q$6:$Q$405,"Hoàn thành",'Nhật ký bảo trì'!$B$6:$B$405,"&gt;="&amp;L$5,'Nhật ký bảo trì'!$B$6:$B$405,"&lt;="&amp;EOMONTH(L$5,0))&gt;0,"✔",IF(((EOMONTH(L$5,0)&gt;='Kế hoạch định kỳ'!$W119)*(INT((EOMONTH(L$5,0)-'Kế hoạch định kỳ'!$W119)/'Kế hoạch định kỳ'!$X119)+1)-(L$5-1&gt;='Kế hoạch định kỳ'!$W119)*(INT((L$5-1-'Kế hoạch định kỳ'!$W119)/'Kế hoạch định kỳ'!$X119)+1))&gt;0,IF(EOMONTH(L$5,0)&lt;'Tổng quan'!$B$11,"✖","○"),"")))</f>
        <v/>
      </c>
      <c r="M119" s="61" t="str">
        <f>IF($A119="","",IF(COUNTIFS('Nhật ký bảo trì'!$D$6:$D$405,$A119,'Nhật ký bảo trì'!$Q$6:$Q$405,"Hoàn thành",'Nhật ký bảo trì'!$B$6:$B$405,"&gt;="&amp;M$5,'Nhật ký bảo trì'!$B$6:$B$405,"&lt;="&amp;EOMONTH(M$5,0))&gt;0,"✔",IF(((EOMONTH(M$5,0)&gt;='Kế hoạch định kỳ'!$W119)*(INT((EOMONTH(M$5,0)-'Kế hoạch định kỳ'!$W119)/'Kế hoạch định kỳ'!$X119)+1)-(M$5-1&gt;='Kế hoạch định kỳ'!$W119)*(INT((M$5-1-'Kế hoạch định kỳ'!$W119)/'Kế hoạch định kỳ'!$X119)+1))&gt;0,IF(EOMONTH(M$5,0)&lt;'Tổng quan'!$B$11,"✖","○"),"")))</f>
        <v/>
      </c>
      <c r="N119" s="61" t="str">
        <f>IF($A119="","",IF(COUNTIFS('Nhật ký bảo trì'!$D$6:$D$405,$A119,'Nhật ký bảo trì'!$Q$6:$Q$405,"Hoàn thành",'Nhật ký bảo trì'!$B$6:$B$405,"&gt;="&amp;N$5,'Nhật ký bảo trì'!$B$6:$B$405,"&lt;="&amp;EOMONTH(N$5,0))&gt;0,"✔",IF(((EOMONTH(N$5,0)&gt;='Kế hoạch định kỳ'!$W119)*(INT((EOMONTH(N$5,0)-'Kế hoạch định kỳ'!$W119)/'Kế hoạch định kỳ'!$X119)+1)-(N$5-1&gt;='Kế hoạch định kỳ'!$W119)*(INT((N$5-1-'Kế hoạch định kỳ'!$W119)/'Kế hoạch định kỳ'!$X119)+1))&gt;0,IF(EOMONTH(N$5,0)&lt;'Tổng quan'!$B$11,"✖","○"),"")))</f>
        <v/>
      </c>
      <c r="O119" s="61" t="str">
        <f>IF($A119="","",IF(COUNTIFS('Nhật ký bảo trì'!$D$6:$D$405,$A119,'Nhật ký bảo trì'!$Q$6:$Q$405,"Hoàn thành",'Nhật ký bảo trì'!$B$6:$B$405,"&gt;="&amp;O$5,'Nhật ký bảo trì'!$B$6:$B$405,"&lt;="&amp;EOMONTH(O$5,0))&gt;0,"✔",IF(((EOMONTH(O$5,0)&gt;='Kế hoạch định kỳ'!$W119)*(INT((EOMONTH(O$5,0)-'Kế hoạch định kỳ'!$W119)/'Kế hoạch định kỳ'!$X119)+1)-(O$5-1&gt;='Kế hoạch định kỳ'!$W119)*(INT((O$5-1-'Kế hoạch định kỳ'!$W119)/'Kế hoạch định kỳ'!$X119)+1))&gt;0,IF(EOMONTH(O$5,0)&lt;'Tổng quan'!$B$11,"✖","○"),"")))</f>
        <v/>
      </c>
      <c r="P119" s="61" t="str">
        <f>IF($A119="","",IF(COUNTIFS('Nhật ký bảo trì'!$D$6:$D$405,$A119,'Nhật ký bảo trì'!$Q$6:$Q$405,"Hoàn thành",'Nhật ký bảo trì'!$B$6:$B$405,"&gt;="&amp;P$5,'Nhật ký bảo trì'!$B$6:$B$405,"&lt;="&amp;EOMONTH(P$5,0))&gt;0,"✔",IF(((EOMONTH(P$5,0)&gt;='Kế hoạch định kỳ'!$W119)*(INT((EOMONTH(P$5,0)-'Kế hoạch định kỳ'!$W119)/'Kế hoạch định kỳ'!$X119)+1)-(P$5-1&gt;='Kế hoạch định kỳ'!$W119)*(INT((P$5-1-'Kế hoạch định kỳ'!$W119)/'Kế hoạch định kỳ'!$X119)+1))&gt;0,IF(EOMONTH(P$5,0)&lt;'Tổng quan'!$B$11,"✖","○"),"")))</f>
        <v/>
      </c>
      <c r="Q119" s="30" t="str">
        <f>IF($A119="","",COUNTIFS('Nhật ký bảo trì'!$D$6:$D$405,$A119,'Nhật ký bảo trì'!$Q$6:$Q$405,"Hoàn thành",'Nhật ký bảo trì'!$B$6:$B$405,"&gt;="&amp;DATE('Tổng quan'!$B$6,1,1),'Nhật ký bảo trì'!$B$6:$B$405,"&lt;="&amp;DATE('Tổng quan'!$B$6,12,31)))</f>
        <v/>
      </c>
      <c r="R119" s="30" t="str">
        <f t="shared" si="1"/>
        <v/>
      </c>
    </row>
    <row r="120" ht="24.0" customHeight="1">
      <c r="A120" s="10" t="str">
        <f>IF('Kế hoạch định kỳ'!$B120="","",'Kế hoạch định kỳ'!$B120)</f>
        <v/>
      </c>
      <c r="B120" s="14" t="str">
        <f>IF('Kế hoạch định kỳ'!$B120="","",'Kế hoạch định kỳ'!$D120)</f>
        <v/>
      </c>
      <c r="C120" s="18" t="str">
        <f>IF('Kế hoạch định kỳ'!$B120="","",'Kế hoạch định kỳ'!$F120)</f>
        <v/>
      </c>
      <c r="D120" s="10" t="str">
        <f>IF('Kế hoạch định kỳ'!$B120="","",IF('Kế hoạch định kỳ'!$I120&lt;&gt;"",'Kế hoạch định kỳ'!$I120&amp;" ngày",'Kế hoạch định kỳ'!$H120))</f>
        <v/>
      </c>
      <c r="E120" s="24" t="str">
        <f>IF($A120="","",IF(COUNTIFS('Nhật ký bảo trì'!$D$6:$D$405,$A120,'Nhật ký bảo trì'!$Q$6:$Q$405,"Hoàn thành",'Nhật ký bảo trì'!$B$6:$B$405,"&gt;="&amp;E$5,'Nhật ký bảo trì'!$B$6:$B$405,"&lt;="&amp;EOMONTH(E$5,0))&gt;0,"✔",IF(((EOMONTH(E$5,0)&gt;='Kế hoạch định kỳ'!$W120)*(INT((EOMONTH(E$5,0)-'Kế hoạch định kỳ'!$W120)/'Kế hoạch định kỳ'!$X120)+1)-(E$5-1&gt;='Kế hoạch định kỳ'!$W120)*(INT((E$5-1-'Kế hoạch định kỳ'!$W120)/'Kế hoạch định kỳ'!$X120)+1))&gt;0,IF(EOMONTH(E$5,0)&lt;'Tổng quan'!$B$11,"✖","○"),"")))</f>
        <v/>
      </c>
      <c r="F120" s="24" t="str">
        <f>IF($A120="","",IF(COUNTIFS('Nhật ký bảo trì'!$D$6:$D$405,$A120,'Nhật ký bảo trì'!$Q$6:$Q$405,"Hoàn thành",'Nhật ký bảo trì'!$B$6:$B$405,"&gt;="&amp;F$5,'Nhật ký bảo trì'!$B$6:$B$405,"&lt;="&amp;EOMONTH(F$5,0))&gt;0,"✔",IF(((EOMONTH(F$5,0)&gt;='Kế hoạch định kỳ'!$W120)*(INT((EOMONTH(F$5,0)-'Kế hoạch định kỳ'!$W120)/'Kế hoạch định kỳ'!$X120)+1)-(F$5-1&gt;='Kế hoạch định kỳ'!$W120)*(INT((F$5-1-'Kế hoạch định kỳ'!$W120)/'Kế hoạch định kỳ'!$X120)+1))&gt;0,IF(EOMONTH(F$5,0)&lt;'Tổng quan'!$B$11,"✖","○"),"")))</f>
        <v/>
      </c>
      <c r="G120" s="24" t="str">
        <f>IF($A120="","",IF(COUNTIFS('Nhật ký bảo trì'!$D$6:$D$405,$A120,'Nhật ký bảo trì'!$Q$6:$Q$405,"Hoàn thành",'Nhật ký bảo trì'!$B$6:$B$405,"&gt;="&amp;G$5,'Nhật ký bảo trì'!$B$6:$B$405,"&lt;="&amp;EOMONTH(G$5,0))&gt;0,"✔",IF(((EOMONTH(G$5,0)&gt;='Kế hoạch định kỳ'!$W120)*(INT((EOMONTH(G$5,0)-'Kế hoạch định kỳ'!$W120)/'Kế hoạch định kỳ'!$X120)+1)-(G$5-1&gt;='Kế hoạch định kỳ'!$W120)*(INT((G$5-1-'Kế hoạch định kỳ'!$W120)/'Kế hoạch định kỳ'!$X120)+1))&gt;0,IF(EOMONTH(G$5,0)&lt;'Tổng quan'!$B$11,"✖","○"),"")))</f>
        <v/>
      </c>
      <c r="H120" s="24" t="str">
        <f>IF($A120="","",IF(COUNTIFS('Nhật ký bảo trì'!$D$6:$D$405,$A120,'Nhật ký bảo trì'!$Q$6:$Q$405,"Hoàn thành",'Nhật ký bảo trì'!$B$6:$B$405,"&gt;="&amp;H$5,'Nhật ký bảo trì'!$B$6:$B$405,"&lt;="&amp;EOMONTH(H$5,0))&gt;0,"✔",IF(((EOMONTH(H$5,0)&gt;='Kế hoạch định kỳ'!$W120)*(INT((EOMONTH(H$5,0)-'Kế hoạch định kỳ'!$W120)/'Kế hoạch định kỳ'!$X120)+1)-(H$5-1&gt;='Kế hoạch định kỳ'!$W120)*(INT((H$5-1-'Kế hoạch định kỳ'!$W120)/'Kế hoạch định kỳ'!$X120)+1))&gt;0,IF(EOMONTH(H$5,0)&lt;'Tổng quan'!$B$11,"✖","○"),"")))</f>
        <v/>
      </c>
      <c r="I120" s="24" t="str">
        <f>IF($A120="","",IF(COUNTIFS('Nhật ký bảo trì'!$D$6:$D$405,$A120,'Nhật ký bảo trì'!$Q$6:$Q$405,"Hoàn thành",'Nhật ký bảo trì'!$B$6:$B$405,"&gt;="&amp;I$5,'Nhật ký bảo trì'!$B$6:$B$405,"&lt;="&amp;EOMONTH(I$5,0))&gt;0,"✔",IF(((EOMONTH(I$5,0)&gt;='Kế hoạch định kỳ'!$W120)*(INT((EOMONTH(I$5,0)-'Kế hoạch định kỳ'!$W120)/'Kế hoạch định kỳ'!$X120)+1)-(I$5-1&gt;='Kế hoạch định kỳ'!$W120)*(INT((I$5-1-'Kế hoạch định kỳ'!$W120)/'Kế hoạch định kỳ'!$X120)+1))&gt;0,IF(EOMONTH(I$5,0)&lt;'Tổng quan'!$B$11,"✖","○"),"")))</f>
        <v/>
      </c>
      <c r="J120" s="24" t="str">
        <f>IF($A120="","",IF(COUNTIFS('Nhật ký bảo trì'!$D$6:$D$405,$A120,'Nhật ký bảo trì'!$Q$6:$Q$405,"Hoàn thành",'Nhật ký bảo trì'!$B$6:$B$405,"&gt;="&amp;J$5,'Nhật ký bảo trì'!$B$6:$B$405,"&lt;="&amp;EOMONTH(J$5,0))&gt;0,"✔",IF(((EOMONTH(J$5,0)&gt;='Kế hoạch định kỳ'!$W120)*(INT((EOMONTH(J$5,0)-'Kế hoạch định kỳ'!$W120)/'Kế hoạch định kỳ'!$X120)+1)-(J$5-1&gt;='Kế hoạch định kỳ'!$W120)*(INT((J$5-1-'Kế hoạch định kỳ'!$W120)/'Kế hoạch định kỳ'!$X120)+1))&gt;0,IF(EOMONTH(J$5,0)&lt;'Tổng quan'!$B$11,"✖","○"),"")))</f>
        <v/>
      </c>
      <c r="K120" s="24" t="str">
        <f>IF($A120="","",IF(COUNTIFS('Nhật ký bảo trì'!$D$6:$D$405,$A120,'Nhật ký bảo trì'!$Q$6:$Q$405,"Hoàn thành",'Nhật ký bảo trì'!$B$6:$B$405,"&gt;="&amp;K$5,'Nhật ký bảo trì'!$B$6:$B$405,"&lt;="&amp;EOMONTH(K$5,0))&gt;0,"✔",IF(((EOMONTH(K$5,0)&gt;='Kế hoạch định kỳ'!$W120)*(INT((EOMONTH(K$5,0)-'Kế hoạch định kỳ'!$W120)/'Kế hoạch định kỳ'!$X120)+1)-(K$5-1&gt;='Kế hoạch định kỳ'!$W120)*(INT((K$5-1-'Kế hoạch định kỳ'!$W120)/'Kế hoạch định kỳ'!$X120)+1))&gt;0,IF(EOMONTH(K$5,0)&lt;'Tổng quan'!$B$11,"✖","○"),"")))</f>
        <v/>
      </c>
      <c r="L120" s="24" t="str">
        <f>IF($A120="","",IF(COUNTIFS('Nhật ký bảo trì'!$D$6:$D$405,$A120,'Nhật ký bảo trì'!$Q$6:$Q$405,"Hoàn thành",'Nhật ký bảo trì'!$B$6:$B$405,"&gt;="&amp;L$5,'Nhật ký bảo trì'!$B$6:$B$405,"&lt;="&amp;EOMONTH(L$5,0))&gt;0,"✔",IF(((EOMONTH(L$5,0)&gt;='Kế hoạch định kỳ'!$W120)*(INT((EOMONTH(L$5,0)-'Kế hoạch định kỳ'!$W120)/'Kế hoạch định kỳ'!$X120)+1)-(L$5-1&gt;='Kế hoạch định kỳ'!$W120)*(INT((L$5-1-'Kế hoạch định kỳ'!$W120)/'Kế hoạch định kỳ'!$X120)+1))&gt;0,IF(EOMONTH(L$5,0)&lt;'Tổng quan'!$B$11,"✖","○"),"")))</f>
        <v/>
      </c>
      <c r="M120" s="24" t="str">
        <f>IF($A120="","",IF(COUNTIFS('Nhật ký bảo trì'!$D$6:$D$405,$A120,'Nhật ký bảo trì'!$Q$6:$Q$405,"Hoàn thành",'Nhật ký bảo trì'!$B$6:$B$405,"&gt;="&amp;M$5,'Nhật ký bảo trì'!$B$6:$B$405,"&lt;="&amp;EOMONTH(M$5,0))&gt;0,"✔",IF(((EOMONTH(M$5,0)&gt;='Kế hoạch định kỳ'!$W120)*(INT((EOMONTH(M$5,0)-'Kế hoạch định kỳ'!$W120)/'Kế hoạch định kỳ'!$X120)+1)-(M$5-1&gt;='Kế hoạch định kỳ'!$W120)*(INT((M$5-1-'Kế hoạch định kỳ'!$W120)/'Kế hoạch định kỳ'!$X120)+1))&gt;0,IF(EOMONTH(M$5,0)&lt;'Tổng quan'!$B$11,"✖","○"),"")))</f>
        <v/>
      </c>
      <c r="N120" s="24" t="str">
        <f>IF($A120="","",IF(COUNTIFS('Nhật ký bảo trì'!$D$6:$D$405,$A120,'Nhật ký bảo trì'!$Q$6:$Q$405,"Hoàn thành",'Nhật ký bảo trì'!$B$6:$B$405,"&gt;="&amp;N$5,'Nhật ký bảo trì'!$B$6:$B$405,"&lt;="&amp;EOMONTH(N$5,0))&gt;0,"✔",IF(((EOMONTH(N$5,0)&gt;='Kế hoạch định kỳ'!$W120)*(INT((EOMONTH(N$5,0)-'Kế hoạch định kỳ'!$W120)/'Kế hoạch định kỳ'!$X120)+1)-(N$5-1&gt;='Kế hoạch định kỳ'!$W120)*(INT((N$5-1-'Kế hoạch định kỳ'!$W120)/'Kế hoạch định kỳ'!$X120)+1))&gt;0,IF(EOMONTH(N$5,0)&lt;'Tổng quan'!$B$11,"✖","○"),"")))</f>
        <v/>
      </c>
      <c r="O120" s="24" t="str">
        <f>IF($A120="","",IF(COUNTIFS('Nhật ký bảo trì'!$D$6:$D$405,$A120,'Nhật ký bảo trì'!$Q$6:$Q$405,"Hoàn thành",'Nhật ký bảo trì'!$B$6:$B$405,"&gt;="&amp;O$5,'Nhật ký bảo trì'!$B$6:$B$405,"&lt;="&amp;EOMONTH(O$5,0))&gt;0,"✔",IF(((EOMONTH(O$5,0)&gt;='Kế hoạch định kỳ'!$W120)*(INT((EOMONTH(O$5,0)-'Kế hoạch định kỳ'!$W120)/'Kế hoạch định kỳ'!$X120)+1)-(O$5-1&gt;='Kế hoạch định kỳ'!$W120)*(INT((O$5-1-'Kế hoạch định kỳ'!$W120)/'Kế hoạch định kỳ'!$X120)+1))&gt;0,IF(EOMONTH(O$5,0)&lt;'Tổng quan'!$B$11,"✖","○"),"")))</f>
        <v/>
      </c>
      <c r="P120" s="24" t="str">
        <f>IF($A120="","",IF(COUNTIFS('Nhật ký bảo trì'!$D$6:$D$405,$A120,'Nhật ký bảo trì'!$Q$6:$Q$405,"Hoàn thành",'Nhật ký bảo trì'!$B$6:$B$405,"&gt;="&amp;P$5,'Nhật ký bảo trì'!$B$6:$B$405,"&lt;="&amp;EOMONTH(P$5,0))&gt;0,"✔",IF(((EOMONTH(P$5,0)&gt;='Kế hoạch định kỳ'!$W120)*(INT((EOMONTH(P$5,0)-'Kế hoạch định kỳ'!$W120)/'Kế hoạch định kỳ'!$X120)+1)-(P$5-1&gt;='Kế hoạch định kỳ'!$W120)*(INT((P$5-1-'Kế hoạch định kỳ'!$W120)/'Kế hoạch định kỳ'!$X120)+1))&gt;0,IF(EOMONTH(P$5,0)&lt;'Tổng quan'!$B$11,"✖","○"),"")))</f>
        <v/>
      </c>
      <c r="Q120" s="16" t="str">
        <f>IF($A120="","",COUNTIFS('Nhật ký bảo trì'!$D$6:$D$405,$A120,'Nhật ký bảo trì'!$Q$6:$Q$405,"Hoàn thành",'Nhật ký bảo trì'!$B$6:$B$405,"&gt;="&amp;DATE('Tổng quan'!$B$6,1,1),'Nhật ký bảo trì'!$B$6:$B$405,"&lt;="&amp;DATE('Tổng quan'!$B$6,12,31)))</f>
        <v/>
      </c>
      <c r="R120" s="16" t="str">
        <f t="shared" si="1"/>
        <v/>
      </c>
    </row>
    <row r="121" ht="24.0" customHeight="1">
      <c r="A121" s="26" t="str">
        <f>IF('Kế hoạch định kỳ'!$B121="","",'Kế hoạch định kỳ'!$B121)</f>
        <v/>
      </c>
      <c r="B121" s="28" t="str">
        <f>IF('Kế hoạch định kỳ'!$B121="","",'Kế hoạch định kỳ'!$D121)</f>
        <v/>
      </c>
      <c r="C121" s="56" t="str">
        <f>IF('Kế hoạch định kỳ'!$B121="","",'Kế hoạch định kỳ'!$F121)</f>
        <v/>
      </c>
      <c r="D121" s="26" t="str">
        <f>IF('Kế hoạch định kỳ'!$B121="","",IF('Kế hoạch định kỳ'!$I121&lt;&gt;"",'Kế hoạch định kỳ'!$I121&amp;" ngày",'Kế hoạch định kỳ'!$H121))</f>
        <v/>
      </c>
      <c r="E121" s="61" t="str">
        <f>IF($A121="","",IF(COUNTIFS('Nhật ký bảo trì'!$D$6:$D$405,$A121,'Nhật ký bảo trì'!$Q$6:$Q$405,"Hoàn thành",'Nhật ký bảo trì'!$B$6:$B$405,"&gt;="&amp;E$5,'Nhật ký bảo trì'!$B$6:$B$405,"&lt;="&amp;EOMONTH(E$5,0))&gt;0,"✔",IF(((EOMONTH(E$5,0)&gt;='Kế hoạch định kỳ'!$W121)*(INT((EOMONTH(E$5,0)-'Kế hoạch định kỳ'!$W121)/'Kế hoạch định kỳ'!$X121)+1)-(E$5-1&gt;='Kế hoạch định kỳ'!$W121)*(INT((E$5-1-'Kế hoạch định kỳ'!$W121)/'Kế hoạch định kỳ'!$X121)+1))&gt;0,IF(EOMONTH(E$5,0)&lt;'Tổng quan'!$B$11,"✖","○"),"")))</f>
        <v/>
      </c>
      <c r="F121" s="61" t="str">
        <f>IF($A121="","",IF(COUNTIFS('Nhật ký bảo trì'!$D$6:$D$405,$A121,'Nhật ký bảo trì'!$Q$6:$Q$405,"Hoàn thành",'Nhật ký bảo trì'!$B$6:$B$405,"&gt;="&amp;F$5,'Nhật ký bảo trì'!$B$6:$B$405,"&lt;="&amp;EOMONTH(F$5,0))&gt;0,"✔",IF(((EOMONTH(F$5,0)&gt;='Kế hoạch định kỳ'!$W121)*(INT((EOMONTH(F$5,0)-'Kế hoạch định kỳ'!$W121)/'Kế hoạch định kỳ'!$X121)+1)-(F$5-1&gt;='Kế hoạch định kỳ'!$W121)*(INT((F$5-1-'Kế hoạch định kỳ'!$W121)/'Kế hoạch định kỳ'!$X121)+1))&gt;0,IF(EOMONTH(F$5,0)&lt;'Tổng quan'!$B$11,"✖","○"),"")))</f>
        <v/>
      </c>
      <c r="G121" s="61" t="str">
        <f>IF($A121="","",IF(COUNTIFS('Nhật ký bảo trì'!$D$6:$D$405,$A121,'Nhật ký bảo trì'!$Q$6:$Q$405,"Hoàn thành",'Nhật ký bảo trì'!$B$6:$B$405,"&gt;="&amp;G$5,'Nhật ký bảo trì'!$B$6:$B$405,"&lt;="&amp;EOMONTH(G$5,0))&gt;0,"✔",IF(((EOMONTH(G$5,0)&gt;='Kế hoạch định kỳ'!$W121)*(INT((EOMONTH(G$5,0)-'Kế hoạch định kỳ'!$W121)/'Kế hoạch định kỳ'!$X121)+1)-(G$5-1&gt;='Kế hoạch định kỳ'!$W121)*(INT((G$5-1-'Kế hoạch định kỳ'!$W121)/'Kế hoạch định kỳ'!$X121)+1))&gt;0,IF(EOMONTH(G$5,0)&lt;'Tổng quan'!$B$11,"✖","○"),"")))</f>
        <v/>
      </c>
      <c r="H121" s="61" t="str">
        <f>IF($A121="","",IF(COUNTIFS('Nhật ký bảo trì'!$D$6:$D$405,$A121,'Nhật ký bảo trì'!$Q$6:$Q$405,"Hoàn thành",'Nhật ký bảo trì'!$B$6:$B$405,"&gt;="&amp;H$5,'Nhật ký bảo trì'!$B$6:$B$405,"&lt;="&amp;EOMONTH(H$5,0))&gt;0,"✔",IF(((EOMONTH(H$5,0)&gt;='Kế hoạch định kỳ'!$W121)*(INT((EOMONTH(H$5,0)-'Kế hoạch định kỳ'!$W121)/'Kế hoạch định kỳ'!$X121)+1)-(H$5-1&gt;='Kế hoạch định kỳ'!$W121)*(INT((H$5-1-'Kế hoạch định kỳ'!$W121)/'Kế hoạch định kỳ'!$X121)+1))&gt;0,IF(EOMONTH(H$5,0)&lt;'Tổng quan'!$B$11,"✖","○"),"")))</f>
        <v/>
      </c>
      <c r="I121" s="61" t="str">
        <f>IF($A121="","",IF(COUNTIFS('Nhật ký bảo trì'!$D$6:$D$405,$A121,'Nhật ký bảo trì'!$Q$6:$Q$405,"Hoàn thành",'Nhật ký bảo trì'!$B$6:$B$405,"&gt;="&amp;I$5,'Nhật ký bảo trì'!$B$6:$B$405,"&lt;="&amp;EOMONTH(I$5,0))&gt;0,"✔",IF(((EOMONTH(I$5,0)&gt;='Kế hoạch định kỳ'!$W121)*(INT((EOMONTH(I$5,0)-'Kế hoạch định kỳ'!$W121)/'Kế hoạch định kỳ'!$X121)+1)-(I$5-1&gt;='Kế hoạch định kỳ'!$W121)*(INT((I$5-1-'Kế hoạch định kỳ'!$W121)/'Kế hoạch định kỳ'!$X121)+1))&gt;0,IF(EOMONTH(I$5,0)&lt;'Tổng quan'!$B$11,"✖","○"),"")))</f>
        <v/>
      </c>
      <c r="J121" s="61" t="str">
        <f>IF($A121="","",IF(COUNTIFS('Nhật ký bảo trì'!$D$6:$D$405,$A121,'Nhật ký bảo trì'!$Q$6:$Q$405,"Hoàn thành",'Nhật ký bảo trì'!$B$6:$B$405,"&gt;="&amp;J$5,'Nhật ký bảo trì'!$B$6:$B$405,"&lt;="&amp;EOMONTH(J$5,0))&gt;0,"✔",IF(((EOMONTH(J$5,0)&gt;='Kế hoạch định kỳ'!$W121)*(INT((EOMONTH(J$5,0)-'Kế hoạch định kỳ'!$W121)/'Kế hoạch định kỳ'!$X121)+1)-(J$5-1&gt;='Kế hoạch định kỳ'!$W121)*(INT((J$5-1-'Kế hoạch định kỳ'!$W121)/'Kế hoạch định kỳ'!$X121)+1))&gt;0,IF(EOMONTH(J$5,0)&lt;'Tổng quan'!$B$11,"✖","○"),"")))</f>
        <v/>
      </c>
      <c r="K121" s="61" t="str">
        <f>IF($A121="","",IF(COUNTIFS('Nhật ký bảo trì'!$D$6:$D$405,$A121,'Nhật ký bảo trì'!$Q$6:$Q$405,"Hoàn thành",'Nhật ký bảo trì'!$B$6:$B$405,"&gt;="&amp;K$5,'Nhật ký bảo trì'!$B$6:$B$405,"&lt;="&amp;EOMONTH(K$5,0))&gt;0,"✔",IF(((EOMONTH(K$5,0)&gt;='Kế hoạch định kỳ'!$W121)*(INT((EOMONTH(K$5,0)-'Kế hoạch định kỳ'!$W121)/'Kế hoạch định kỳ'!$X121)+1)-(K$5-1&gt;='Kế hoạch định kỳ'!$W121)*(INT((K$5-1-'Kế hoạch định kỳ'!$W121)/'Kế hoạch định kỳ'!$X121)+1))&gt;0,IF(EOMONTH(K$5,0)&lt;'Tổng quan'!$B$11,"✖","○"),"")))</f>
        <v/>
      </c>
      <c r="L121" s="61" t="str">
        <f>IF($A121="","",IF(COUNTIFS('Nhật ký bảo trì'!$D$6:$D$405,$A121,'Nhật ký bảo trì'!$Q$6:$Q$405,"Hoàn thành",'Nhật ký bảo trì'!$B$6:$B$405,"&gt;="&amp;L$5,'Nhật ký bảo trì'!$B$6:$B$405,"&lt;="&amp;EOMONTH(L$5,0))&gt;0,"✔",IF(((EOMONTH(L$5,0)&gt;='Kế hoạch định kỳ'!$W121)*(INT((EOMONTH(L$5,0)-'Kế hoạch định kỳ'!$W121)/'Kế hoạch định kỳ'!$X121)+1)-(L$5-1&gt;='Kế hoạch định kỳ'!$W121)*(INT((L$5-1-'Kế hoạch định kỳ'!$W121)/'Kế hoạch định kỳ'!$X121)+1))&gt;0,IF(EOMONTH(L$5,0)&lt;'Tổng quan'!$B$11,"✖","○"),"")))</f>
        <v/>
      </c>
      <c r="M121" s="61" t="str">
        <f>IF($A121="","",IF(COUNTIFS('Nhật ký bảo trì'!$D$6:$D$405,$A121,'Nhật ký bảo trì'!$Q$6:$Q$405,"Hoàn thành",'Nhật ký bảo trì'!$B$6:$B$405,"&gt;="&amp;M$5,'Nhật ký bảo trì'!$B$6:$B$405,"&lt;="&amp;EOMONTH(M$5,0))&gt;0,"✔",IF(((EOMONTH(M$5,0)&gt;='Kế hoạch định kỳ'!$W121)*(INT((EOMONTH(M$5,0)-'Kế hoạch định kỳ'!$W121)/'Kế hoạch định kỳ'!$X121)+1)-(M$5-1&gt;='Kế hoạch định kỳ'!$W121)*(INT((M$5-1-'Kế hoạch định kỳ'!$W121)/'Kế hoạch định kỳ'!$X121)+1))&gt;0,IF(EOMONTH(M$5,0)&lt;'Tổng quan'!$B$11,"✖","○"),"")))</f>
        <v/>
      </c>
      <c r="N121" s="61" t="str">
        <f>IF($A121="","",IF(COUNTIFS('Nhật ký bảo trì'!$D$6:$D$405,$A121,'Nhật ký bảo trì'!$Q$6:$Q$405,"Hoàn thành",'Nhật ký bảo trì'!$B$6:$B$405,"&gt;="&amp;N$5,'Nhật ký bảo trì'!$B$6:$B$405,"&lt;="&amp;EOMONTH(N$5,0))&gt;0,"✔",IF(((EOMONTH(N$5,0)&gt;='Kế hoạch định kỳ'!$W121)*(INT((EOMONTH(N$5,0)-'Kế hoạch định kỳ'!$W121)/'Kế hoạch định kỳ'!$X121)+1)-(N$5-1&gt;='Kế hoạch định kỳ'!$W121)*(INT((N$5-1-'Kế hoạch định kỳ'!$W121)/'Kế hoạch định kỳ'!$X121)+1))&gt;0,IF(EOMONTH(N$5,0)&lt;'Tổng quan'!$B$11,"✖","○"),"")))</f>
        <v/>
      </c>
      <c r="O121" s="61" t="str">
        <f>IF($A121="","",IF(COUNTIFS('Nhật ký bảo trì'!$D$6:$D$405,$A121,'Nhật ký bảo trì'!$Q$6:$Q$405,"Hoàn thành",'Nhật ký bảo trì'!$B$6:$B$405,"&gt;="&amp;O$5,'Nhật ký bảo trì'!$B$6:$B$405,"&lt;="&amp;EOMONTH(O$5,0))&gt;0,"✔",IF(((EOMONTH(O$5,0)&gt;='Kế hoạch định kỳ'!$W121)*(INT((EOMONTH(O$5,0)-'Kế hoạch định kỳ'!$W121)/'Kế hoạch định kỳ'!$X121)+1)-(O$5-1&gt;='Kế hoạch định kỳ'!$W121)*(INT((O$5-1-'Kế hoạch định kỳ'!$W121)/'Kế hoạch định kỳ'!$X121)+1))&gt;0,IF(EOMONTH(O$5,0)&lt;'Tổng quan'!$B$11,"✖","○"),"")))</f>
        <v/>
      </c>
      <c r="P121" s="61" t="str">
        <f>IF($A121="","",IF(COUNTIFS('Nhật ký bảo trì'!$D$6:$D$405,$A121,'Nhật ký bảo trì'!$Q$6:$Q$405,"Hoàn thành",'Nhật ký bảo trì'!$B$6:$B$405,"&gt;="&amp;P$5,'Nhật ký bảo trì'!$B$6:$B$405,"&lt;="&amp;EOMONTH(P$5,0))&gt;0,"✔",IF(((EOMONTH(P$5,0)&gt;='Kế hoạch định kỳ'!$W121)*(INT((EOMONTH(P$5,0)-'Kế hoạch định kỳ'!$W121)/'Kế hoạch định kỳ'!$X121)+1)-(P$5-1&gt;='Kế hoạch định kỳ'!$W121)*(INT((P$5-1-'Kế hoạch định kỳ'!$W121)/'Kế hoạch định kỳ'!$X121)+1))&gt;0,IF(EOMONTH(P$5,0)&lt;'Tổng quan'!$B$11,"✖","○"),"")))</f>
        <v/>
      </c>
      <c r="Q121" s="30" t="str">
        <f>IF($A121="","",COUNTIFS('Nhật ký bảo trì'!$D$6:$D$405,$A121,'Nhật ký bảo trì'!$Q$6:$Q$405,"Hoàn thành",'Nhật ký bảo trì'!$B$6:$B$405,"&gt;="&amp;DATE('Tổng quan'!$B$6,1,1),'Nhật ký bảo trì'!$B$6:$B$405,"&lt;="&amp;DATE('Tổng quan'!$B$6,12,31)))</f>
        <v/>
      </c>
      <c r="R121" s="30" t="str">
        <f t="shared" si="1"/>
        <v/>
      </c>
    </row>
    <row r="122" ht="24.0" customHeight="1">
      <c r="A122" s="10" t="str">
        <f>IF('Kế hoạch định kỳ'!$B122="","",'Kế hoạch định kỳ'!$B122)</f>
        <v/>
      </c>
      <c r="B122" s="14" t="str">
        <f>IF('Kế hoạch định kỳ'!$B122="","",'Kế hoạch định kỳ'!$D122)</f>
        <v/>
      </c>
      <c r="C122" s="18" t="str">
        <f>IF('Kế hoạch định kỳ'!$B122="","",'Kế hoạch định kỳ'!$F122)</f>
        <v/>
      </c>
      <c r="D122" s="10" t="str">
        <f>IF('Kế hoạch định kỳ'!$B122="","",IF('Kế hoạch định kỳ'!$I122&lt;&gt;"",'Kế hoạch định kỳ'!$I122&amp;" ngày",'Kế hoạch định kỳ'!$H122))</f>
        <v/>
      </c>
      <c r="E122" s="24" t="str">
        <f>IF($A122="","",IF(COUNTIFS('Nhật ký bảo trì'!$D$6:$D$405,$A122,'Nhật ký bảo trì'!$Q$6:$Q$405,"Hoàn thành",'Nhật ký bảo trì'!$B$6:$B$405,"&gt;="&amp;E$5,'Nhật ký bảo trì'!$B$6:$B$405,"&lt;="&amp;EOMONTH(E$5,0))&gt;0,"✔",IF(((EOMONTH(E$5,0)&gt;='Kế hoạch định kỳ'!$W122)*(INT((EOMONTH(E$5,0)-'Kế hoạch định kỳ'!$W122)/'Kế hoạch định kỳ'!$X122)+1)-(E$5-1&gt;='Kế hoạch định kỳ'!$W122)*(INT((E$5-1-'Kế hoạch định kỳ'!$W122)/'Kế hoạch định kỳ'!$X122)+1))&gt;0,IF(EOMONTH(E$5,0)&lt;'Tổng quan'!$B$11,"✖","○"),"")))</f>
        <v/>
      </c>
      <c r="F122" s="24" t="str">
        <f>IF($A122="","",IF(COUNTIFS('Nhật ký bảo trì'!$D$6:$D$405,$A122,'Nhật ký bảo trì'!$Q$6:$Q$405,"Hoàn thành",'Nhật ký bảo trì'!$B$6:$B$405,"&gt;="&amp;F$5,'Nhật ký bảo trì'!$B$6:$B$405,"&lt;="&amp;EOMONTH(F$5,0))&gt;0,"✔",IF(((EOMONTH(F$5,0)&gt;='Kế hoạch định kỳ'!$W122)*(INT((EOMONTH(F$5,0)-'Kế hoạch định kỳ'!$W122)/'Kế hoạch định kỳ'!$X122)+1)-(F$5-1&gt;='Kế hoạch định kỳ'!$W122)*(INT((F$5-1-'Kế hoạch định kỳ'!$W122)/'Kế hoạch định kỳ'!$X122)+1))&gt;0,IF(EOMONTH(F$5,0)&lt;'Tổng quan'!$B$11,"✖","○"),"")))</f>
        <v/>
      </c>
      <c r="G122" s="24" t="str">
        <f>IF($A122="","",IF(COUNTIFS('Nhật ký bảo trì'!$D$6:$D$405,$A122,'Nhật ký bảo trì'!$Q$6:$Q$405,"Hoàn thành",'Nhật ký bảo trì'!$B$6:$B$405,"&gt;="&amp;G$5,'Nhật ký bảo trì'!$B$6:$B$405,"&lt;="&amp;EOMONTH(G$5,0))&gt;0,"✔",IF(((EOMONTH(G$5,0)&gt;='Kế hoạch định kỳ'!$W122)*(INT((EOMONTH(G$5,0)-'Kế hoạch định kỳ'!$W122)/'Kế hoạch định kỳ'!$X122)+1)-(G$5-1&gt;='Kế hoạch định kỳ'!$W122)*(INT((G$5-1-'Kế hoạch định kỳ'!$W122)/'Kế hoạch định kỳ'!$X122)+1))&gt;0,IF(EOMONTH(G$5,0)&lt;'Tổng quan'!$B$11,"✖","○"),"")))</f>
        <v/>
      </c>
      <c r="H122" s="24" t="str">
        <f>IF($A122="","",IF(COUNTIFS('Nhật ký bảo trì'!$D$6:$D$405,$A122,'Nhật ký bảo trì'!$Q$6:$Q$405,"Hoàn thành",'Nhật ký bảo trì'!$B$6:$B$405,"&gt;="&amp;H$5,'Nhật ký bảo trì'!$B$6:$B$405,"&lt;="&amp;EOMONTH(H$5,0))&gt;0,"✔",IF(((EOMONTH(H$5,0)&gt;='Kế hoạch định kỳ'!$W122)*(INT((EOMONTH(H$5,0)-'Kế hoạch định kỳ'!$W122)/'Kế hoạch định kỳ'!$X122)+1)-(H$5-1&gt;='Kế hoạch định kỳ'!$W122)*(INT((H$5-1-'Kế hoạch định kỳ'!$W122)/'Kế hoạch định kỳ'!$X122)+1))&gt;0,IF(EOMONTH(H$5,0)&lt;'Tổng quan'!$B$11,"✖","○"),"")))</f>
        <v/>
      </c>
      <c r="I122" s="24" t="str">
        <f>IF($A122="","",IF(COUNTIFS('Nhật ký bảo trì'!$D$6:$D$405,$A122,'Nhật ký bảo trì'!$Q$6:$Q$405,"Hoàn thành",'Nhật ký bảo trì'!$B$6:$B$405,"&gt;="&amp;I$5,'Nhật ký bảo trì'!$B$6:$B$405,"&lt;="&amp;EOMONTH(I$5,0))&gt;0,"✔",IF(((EOMONTH(I$5,0)&gt;='Kế hoạch định kỳ'!$W122)*(INT((EOMONTH(I$5,0)-'Kế hoạch định kỳ'!$W122)/'Kế hoạch định kỳ'!$X122)+1)-(I$5-1&gt;='Kế hoạch định kỳ'!$W122)*(INT((I$5-1-'Kế hoạch định kỳ'!$W122)/'Kế hoạch định kỳ'!$X122)+1))&gt;0,IF(EOMONTH(I$5,0)&lt;'Tổng quan'!$B$11,"✖","○"),"")))</f>
        <v/>
      </c>
      <c r="J122" s="24" t="str">
        <f>IF($A122="","",IF(COUNTIFS('Nhật ký bảo trì'!$D$6:$D$405,$A122,'Nhật ký bảo trì'!$Q$6:$Q$405,"Hoàn thành",'Nhật ký bảo trì'!$B$6:$B$405,"&gt;="&amp;J$5,'Nhật ký bảo trì'!$B$6:$B$405,"&lt;="&amp;EOMONTH(J$5,0))&gt;0,"✔",IF(((EOMONTH(J$5,0)&gt;='Kế hoạch định kỳ'!$W122)*(INT((EOMONTH(J$5,0)-'Kế hoạch định kỳ'!$W122)/'Kế hoạch định kỳ'!$X122)+1)-(J$5-1&gt;='Kế hoạch định kỳ'!$W122)*(INT((J$5-1-'Kế hoạch định kỳ'!$W122)/'Kế hoạch định kỳ'!$X122)+1))&gt;0,IF(EOMONTH(J$5,0)&lt;'Tổng quan'!$B$11,"✖","○"),"")))</f>
        <v/>
      </c>
      <c r="K122" s="24" t="str">
        <f>IF($A122="","",IF(COUNTIFS('Nhật ký bảo trì'!$D$6:$D$405,$A122,'Nhật ký bảo trì'!$Q$6:$Q$405,"Hoàn thành",'Nhật ký bảo trì'!$B$6:$B$405,"&gt;="&amp;K$5,'Nhật ký bảo trì'!$B$6:$B$405,"&lt;="&amp;EOMONTH(K$5,0))&gt;0,"✔",IF(((EOMONTH(K$5,0)&gt;='Kế hoạch định kỳ'!$W122)*(INT((EOMONTH(K$5,0)-'Kế hoạch định kỳ'!$W122)/'Kế hoạch định kỳ'!$X122)+1)-(K$5-1&gt;='Kế hoạch định kỳ'!$W122)*(INT((K$5-1-'Kế hoạch định kỳ'!$W122)/'Kế hoạch định kỳ'!$X122)+1))&gt;0,IF(EOMONTH(K$5,0)&lt;'Tổng quan'!$B$11,"✖","○"),"")))</f>
        <v/>
      </c>
      <c r="L122" s="24" t="str">
        <f>IF($A122="","",IF(COUNTIFS('Nhật ký bảo trì'!$D$6:$D$405,$A122,'Nhật ký bảo trì'!$Q$6:$Q$405,"Hoàn thành",'Nhật ký bảo trì'!$B$6:$B$405,"&gt;="&amp;L$5,'Nhật ký bảo trì'!$B$6:$B$405,"&lt;="&amp;EOMONTH(L$5,0))&gt;0,"✔",IF(((EOMONTH(L$5,0)&gt;='Kế hoạch định kỳ'!$W122)*(INT((EOMONTH(L$5,0)-'Kế hoạch định kỳ'!$W122)/'Kế hoạch định kỳ'!$X122)+1)-(L$5-1&gt;='Kế hoạch định kỳ'!$W122)*(INT((L$5-1-'Kế hoạch định kỳ'!$W122)/'Kế hoạch định kỳ'!$X122)+1))&gt;0,IF(EOMONTH(L$5,0)&lt;'Tổng quan'!$B$11,"✖","○"),"")))</f>
        <v/>
      </c>
      <c r="M122" s="24" t="str">
        <f>IF($A122="","",IF(COUNTIFS('Nhật ký bảo trì'!$D$6:$D$405,$A122,'Nhật ký bảo trì'!$Q$6:$Q$405,"Hoàn thành",'Nhật ký bảo trì'!$B$6:$B$405,"&gt;="&amp;M$5,'Nhật ký bảo trì'!$B$6:$B$405,"&lt;="&amp;EOMONTH(M$5,0))&gt;0,"✔",IF(((EOMONTH(M$5,0)&gt;='Kế hoạch định kỳ'!$W122)*(INT((EOMONTH(M$5,0)-'Kế hoạch định kỳ'!$W122)/'Kế hoạch định kỳ'!$X122)+1)-(M$5-1&gt;='Kế hoạch định kỳ'!$W122)*(INT((M$5-1-'Kế hoạch định kỳ'!$W122)/'Kế hoạch định kỳ'!$X122)+1))&gt;0,IF(EOMONTH(M$5,0)&lt;'Tổng quan'!$B$11,"✖","○"),"")))</f>
        <v/>
      </c>
      <c r="N122" s="24" t="str">
        <f>IF($A122="","",IF(COUNTIFS('Nhật ký bảo trì'!$D$6:$D$405,$A122,'Nhật ký bảo trì'!$Q$6:$Q$405,"Hoàn thành",'Nhật ký bảo trì'!$B$6:$B$405,"&gt;="&amp;N$5,'Nhật ký bảo trì'!$B$6:$B$405,"&lt;="&amp;EOMONTH(N$5,0))&gt;0,"✔",IF(((EOMONTH(N$5,0)&gt;='Kế hoạch định kỳ'!$W122)*(INT((EOMONTH(N$5,0)-'Kế hoạch định kỳ'!$W122)/'Kế hoạch định kỳ'!$X122)+1)-(N$5-1&gt;='Kế hoạch định kỳ'!$W122)*(INT((N$5-1-'Kế hoạch định kỳ'!$W122)/'Kế hoạch định kỳ'!$X122)+1))&gt;0,IF(EOMONTH(N$5,0)&lt;'Tổng quan'!$B$11,"✖","○"),"")))</f>
        <v/>
      </c>
      <c r="O122" s="24" t="str">
        <f>IF($A122="","",IF(COUNTIFS('Nhật ký bảo trì'!$D$6:$D$405,$A122,'Nhật ký bảo trì'!$Q$6:$Q$405,"Hoàn thành",'Nhật ký bảo trì'!$B$6:$B$405,"&gt;="&amp;O$5,'Nhật ký bảo trì'!$B$6:$B$405,"&lt;="&amp;EOMONTH(O$5,0))&gt;0,"✔",IF(((EOMONTH(O$5,0)&gt;='Kế hoạch định kỳ'!$W122)*(INT((EOMONTH(O$5,0)-'Kế hoạch định kỳ'!$W122)/'Kế hoạch định kỳ'!$X122)+1)-(O$5-1&gt;='Kế hoạch định kỳ'!$W122)*(INT((O$5-1-'Kế hoạch định kỳ'!$W122)/'Kế hoạch định kỳ'!$X122)+1))&gt;0,IF(EOMONTH(O$5,0)&lt;'Tổng quan'!$B$11,"✖","○"),"")))</f>
        <v/>
      </c>
      <c r="P122" s="24" t="str">
        <f>IF($A122="","",IF(COUNTIFS('Nhật ký bảo trì'!$D$6:$D$405,$A122,'Nhật ký bảo trì'!$Q$6:$Q$405,"Hoàn thành",'Nhật ký bảo trì'!$B$6:$B$405,"&gt;="&amp;P$5,'Nhật ký bảo trì'!$B$6:$B$405,"&lt;="&amp;EOMONTH(P$5,0))&gt;0,"✔",IF(((EOMONTH(P$5,0)&gt;='Kế hoạch định kỳ'!$W122)*(INT((EOMONTH(P$5,0)-'Kế hoạch định kỳ'!$W122)/'Kế hoạch định kỳ'!$X122)+1)-(P$5-1&gt;='Kế hoạch định kỳ'!$W122)*(INT((P$5-1-'Kế hoạch định kỳ'!$W122)/'Kế hoạch định kỳ'!$X122)+1))&gt;0,IF(EOMONTH(P$5,0)&lt;'Tổng quan'!$B$11,"✖","○"),"")))</f>
        <v/>
      </c>
      <c r="Q122" s="16" t="str">
        <f>IF($A122="","",COUNTIFS('Nhật ký bảo trì'!$D$6:$D$405,$A122,'Nhật ký bảo trì'!$Q$6:$Q$405,"Hoàn thành",'Nhật ký bảo trì'!$B$6:$B$405,"&gt;="&amp;DATE('Tổng quan'!$B$6,1,1),'Nhật ký bảo trì'!$B$6:$B$405,"&lt;="&amp;DATE('Tổng quan'!$B$6,12,31)))</f>
        <v/>
      </c>
      <c r="R122" s="16" t="str">
        <f t="shared" si="1"/>
        <v/>
      </c>
    </row>
    <row r="123" ht="24.0" customHeight="1">
      <c r="A123" s="26" t="str">
        <f>IF('Kế hoạch định kỳ'!$B123="","",'Kế hoạch định kỳ'!$B123)</f>
        <v/>
      </c>
      <c r="B123" s="28" t="str">
        <f>IF('Kế hoạch định kỳ'!$B123="","",'Kế hoạch định kỳ'!$D123)</f>
        <v/>
      </c>
      <c r="C123" s="56" t="str">
        <f>IF('Kế hoạch định kỳ'!$B123="","",'Kế hoạch định kỳ'!$F123)</f>
        <v/>
      </c>
      <c r="D123" s="26" t="str">
        <f>IF('Kế hoạch định kỳ'!$B123="","",IF('Kế hoạch định kỳ'!$I123&lt;&gt;"",'Kế hoạch định kỳ'!$I123&amp;" ngày",'Kế hoạch định kỳ'!$H123))</f>
        <v/>
      </c>
      <c r="E123" s="61" t="str">
        <f>IF($A123="","",IF(COUNTIFS('Nhật ký bảo trì'!$D$6:$D$405,$A123,'Nhật ký bảo trì'!$Q$6:$Q$405,"Hoàn thành",'Nhật ký bảo trì'!$B$6:$B$405,"&gt;="&amp;E$5,'Nhật ký bảo trì'!$B$6:$B$405,"&lt;="&amp;EOMONTH(E$5,0))&gt;0,"✔",IF(((EOMONTH(E$5,0)&gt;='Kế hoạch định kỳ'!$W123)*(INT((EOMONTH(E$5,0)-'Kế hoạch định kỳ'!$W123)/'Kế hoạch định kỳ'!$X123)+1)-(E$5-1&gt;='Kế hoạch định kỳ'!$W123)*(INT((E$5-1-'Kế hoạch định kỳ'!$W123)/'Kế hoạch định kỳ'!$X123)+1))&gt;0,IF(EOMONTH(E$5,0)&lt;'Tổng quan'!$B$11,"✖","○"),"")))</f>
        <v/>
      </c>
      <c r="F123" s="61" t="str">
        <f>IF($A123="","",IF(COUNTIFS('Nhật ký bảo trì'!$D$6:$D$405,$A123,'Nhật ký bảo trì'!$Q$6:$Q$405,"Hoàn thành",'Nhật ký bảo trì'!$B$6:$B$405,"&gt;="&amp;F$5,'Nhật ký bảo trì'!$B$6:$B$405,"&lt;="&amp;EOMONTH(F$5,0))&gt;0,"✔",IF(((EOMONTH(F$5,0)&gt;='Kế hoạch định kỳ'!$W123)*(INT((EOMONTH(F$5,0)-'Kế hoạch định kỳ'!$W123)/'Kế hoạch định kỳ'!$X123)+1)-(F$5-1&gt;='Kế hoạch định kỳ'!$W123)*(INT((F$5-1-'Kế hoạch định kỳ'!$W123)/'Kế hoạch định kỳ'!$X123)+1))&gt;0,IF(EOMONTH(F$5,0)&lt;'Tổng quan'!$B$11,"✖","○"),"")))</f>
        <v/>
      </c>
      <c r="G123" s="61" t="str">
        <f>IF($A123="","",IF(COUNTIFS('Nhật ký bảo trì'!$D$6:$D$405,$A123,'Nhật ký bảo trì'!$Q$6:$Q$405,"Hoàn thành",'Nhật ký bảo trì'!$B$6:$B$405,"&gt;="&amp;G$5,'Nhật ký bảo trì'!$B$6:$B$405,"&lt;="&amp;EOMONTH(G$5,0))&gt;0,"✔",IF(((EOMONTH(G$5,0)&gt;='Kế hoạch định kỳ'!$W123)*(INT((EOMONTH(G$5,0)-'Kế hoạch định kỳ'!$W123)/'Kế hoạch định kỳ'!$X123)+1)-(G$5-1&gt;='Kế hoạch định kỳ'!$W123)*(INT((G$5-1-'Kế hoạch định kỳ'!$W123)/'Kế hoạch định kỳ'!$X123)+1))&gt;0,IF(EOMONTH(G$5,0)&lt;'Tổng quan'!$B$11,"✖","○"),"")))</f>
        <v/>
      </c>
      <c r="H123" s="61" t="str">
        <f>IF($A123="","",IF(COUNTIFS('Nhật ký bảo trì'!$D$6:$D$405,$A123,'Nhật ký bảo trì'!$Q$6:$Q$405,"Hoàn thành",'Nhật ký bảo trì'!$B$6:$B$405,"&gt;="&amp;H$5,'Nhật ký bảo trì'!$B$6:$B$405,"&lt;="&amp;EOMONTH(H$5,0))&gt;0,"✔",IF(((EOMONTH(H$5,0)&gt;='Kế hoạch định kỳ'!$W123)*(INT((EOMONTH(H$5,0)-'Kế hoạch định kỳ'!$W123)/'Kế hoạch định kỳ'!$X123)+1)-(H$5-1&gt;='Kế hoạch định kỳ'!$W123)*(INT((H$5-1-'Kế hoạch định kỳ'!$W123)/'Kế hoạch định kỳ'!$X123)+1))&gt;0,IF(EOMONTH(H$5,0)&lt;'Tổng quan'!$B$11,"✖","○"),"")))</f>
        <v/>
      </c>
      <c r="I123" s="61" t="str">
        <f>IF($A123="","",IF(COUNTIFS('Nhật ký bảo trì'!$D$6:$D$405,$A123,'Nhật ký bảo trì'!$Q$6:$Q$405,"Hoàn thành",'Nhật ký bảo trì'!$B$6:$B$405,"&gt;="&amp;I$5,'Nhật ký bảo trì'!$B$6:$B$405,"&lt;="&amp;EOMONTH(I$5,0))&gt;0,"✔",IF(((EOMONTH(I$5,0)&gt;='Kế hoạch định kỳ'!$W123)*(INT((EOMONTH(I$5,0)-'Kế hoạch định kỳ'!$W123)/'Kế hoạch định kỳ'!$X123)+1)-(I$5-1&gt;='Kế hoạch định kỳ'!$W123)*(INT((I$5-1-'Kế hoạch định kỳ'!$W123)/'Kế hoạch định kỳ'!$X123)+1))&gt;0,IF(EOMONTH(I$5,0)&lt;'Tổng quan'!$B$11,"✖","○"),"")))</f>
        <v/>
      </c>
      <c r="J123" s="61" t="str">
        <f>IF($A123="","",IF(COUNTIFS('Nhật ký bảo trì'!$D$6:$D$405,$A123,'Nhật ký bảo trì'!$Q$6:$Q$405,"Hoàn thành",'Nhật ký bảo trì'!$B$6:$B$405,"&gt;="&amp;J$5,'Nhật ký bảo trì'!$B$6:$B$405,"&lt;="&amp;EOMONTH(J$5,0))&gt;0,"✔",IF(((EOMONTH(J$5,0)&gt;='Kế hoạch định kỳ'!$W123)*(INT((EOMONTH(J$5,0)-'Kế hoạch định kỳ'!$W123)/'Kế hoạch định kỳ'!$X123)+1)-(J$5-1&gt;='Kế hoạch định kỳ'!$W123)*(INT((J$5-1-'Kế hoạch định kỳ'!$W123)/'Kế hoạch định kỳ'!$X123)+1))&gt;0,IF(EOMONTH(J$5,0)&lt;'Tổng quan'!$B$11,"✖","○"),"")))</f>
        <v/>
      </c>
      <c r="K123" s="61" t="str">
        <f>IF($A123="","",IF(COUNTIFS('Nhật ký bảo trì'!$D$6:$D$405,$A123,'Nhật ký bảo trì'!$Q$6:$Q$405,"Hoàn thành",'Nhật ký bảo trì'!$B$6:$B$405,"&gt;="&amp;K$5,'Nhật ký bảo trì'!$B$6:$B$405,"&lt;="&amp;EOMONTH(K$5,0))&gt;0,"✔",IF(((EOMONTH(K$5,0)&gt;='Kế hoạch định kỳ'!$W123)*(INT((EOMONTH(K$5,0)-'Kế hoạch định kỳ'!$W123)/'Kế hoạch định kỳ'!$X123)+1)-(K$5-1&gt;='Kế hoạch định kỳ'!$W123)*(INT((K$5-1-'Kế hoạch định kỳ'!$W123)/'Kế hoạch định kỳ'!$X123)+1))&gt;0,IF(EOMONTH(K$5,0)&lt;'Tổng quan'!$B$11,"✖","○"),"")))</f>
        <v/>
      </c>
      <c r="L123" s="61" t="str">
        <f>IF($A123="","",IF(COUNTIFS('Nhật ký bảo trì'!$D$6:$D$405,$A123,'Nhật ký bảo trì'!$Q$6:$Q$405,"Hoàn thành",'Nhật ký bảo trì'!$B$6:$B$405,"&gt;="&amp;L$5,'Nhật ký bảo trì'!$B$6:$B$405,"&lt;="&amp;EOMONTH(L$5,0))&gt;0,"✔",IF(((EOMONTH(L$5,0)&gt;='Kế hoạch định kỳ'!$W123)*(INT((EOMONTH(L$5,0)-'Kế hoạch định kỳ'!$W123)/'Kế hoạch định kỳ'!$X123)+1)-(L$5-1&gt;='Kế hoạch định kỳ'!$W123)*(INT((L$5-1-'Kế hoạch định kỳ'!$W123)/'Kế hoạch định kỳ'!$X123)+1))&gt;0,IF(EOMONTH(L$5,0)&lt;'Tổng quan'!$B$11,"✖","○"),"")))</f>
        <v/>
      </c>
      <c r="M123" s="61" t="str">
        <f>IF($A123="","",IF(COUNTIFS('Nhật ký bảo trì'!$D$6:$D$405,$A123,'Nhật ký bảo trì'!$Q$6:$Q$405,"Hoàn thành",'Nhật ký bảo trì'!$B$6:$B$405,"&gt;="&amp;M$5,'Nhật ký bảo trì'!$B$6:$B$405,"&lt;="&amp;EOMONTH(M$5,0))&gt;0,"✔",IF(((EOMONTH(M$5,0)&gt;='Kế hoạch định kỳ'!$W123)*(INT((EOMONTH(M$5,0)-'Kế hoạch định kỳ'!$W123)/'Kế hoạch định kỳ'!$X123)+1)-(M$5-1&gt;='Kế hoạch định kỳ'!$W123)*(INT((M$5-1-'Kế hoạch định kỳ'!$W123)/'Kế hoạch định kỳ'!$X123)+1))&gt;0,IF(EOMONTH(M$5,0)&lt;'Tổng quan'!$B$11,"✖","○"),"")))</f>
        <v/>
      </c>
      <c r="N123" s="61" t="str">
        <f>IF($A123="","",IF(COUNTIFS('Nhật ký bảo trì'!$D$6:$D$405,$A123,'Nhật ký bảo trì'!$Q$6:$Q$405,"Hoàn thành",'Nhật ký bảo trì'!$B$6:$B$405,"&gt;="&amp;N$5,'Nhật ký bảo trì'!$B$6:$B$405,"&lt;="&amp;EOMONTH(N$5,0))&gt;0,"✔",IF(((EOMONTH(N$5,0)&gt;='Kế hoạch định kỳ'!$W123)*(INT((EOMONTH(N$5,0)-'Kế hoạch định kỳ'!$W123)/'Kế hoạch định kỳ'!$X123)+1)-(N$5-1&gt;='Kế hoạch định kỳ'!$W123)*(INT((N$5-1-'Kế hoạch định kỳ'!$W123)/'Kế hoạch định kỳ'!$X123)+1))&gt;0,IF(EOMONTH(N$5,0)&lt;'Tổng quan'!$B$11,"✖","○"),"")))</f>
        <v/>
      </c>
      <c r="O123" s="61" t="str">
        <f>IF($A123="","",IF(COUNTIFS('Nhật ký bảo trì'!$D$6:$D$405,$A123,'Nhật ký bảo trì'!$Q$6:$Q$405,"Hoàn thành",'Nhật ký bảo trì'!$B$6:$B$405,"&gt;="&amp;O$5,'Nhật ký bảo trì'!$B$6:$B$405,"&lt;="&amp;EOMONTH(O$5,0))&gt;0,"✔",IF(((EOMONTH(O$5,0)&gt;='Kế hoạch định kỳ'!$W123)*(INT((EOMONTH(O$5,0)-'Kế hoạch định kỳ'!$W123)/'Kế hoạch định kỳ'!$X123)+1)-(O$5-1&gt;='Kế hoạch định kỳ'!$W123)*(INT((O$5-1-'Kế hoạch định kỳ'!$W123)/'Kế hoạch định kỳ'!$X123)+1))&gt;0,IF(EOMONTH(O$5,0)&lt;'Tổng quan'!$B$11,"✖","○"),"")))</f>
        <v/>
      </c>
      <c r="P123" s="61" t="str">
        <f>IF($A123="","",IF(COUNTIFS('Nhật ký bảo trì'!$D$6:$D$405,$A123,'Nhật ký bảo trì'!$Q$6:$Q$405,"Hoàn thành",'Nhật ký bảo trì'!$B$6:$B$405,"&gt;="&amp;P$5,'Nhật ký bảo trì'!$B$6:$B$405,"&lt;="&amp;EOMONTH(P$5,0))&gt;0,"✔",IF(((EOMONTH(P$5,0)&gt;='Kế hoạch định kỳ'!$W123)*(INT((EOMONTH(P$5,0)-'Kế hoạch định kỳ'!$W123)/'Kế hoạch định kỳ'!$X123)+1)-(P$5-1&gt;='Kế hoạch định kỳ'!$W123)*(INT((P$5-1-'Kế hoạch định kỳ'!$W123)/'Kế hoạch định kỳ'!$X123)+1))&gt;0,IF(EOMONTH(P$5,0)&lt;'Tổng quan'!$B$11,"✖","○"),"")))</f>
        <v/>
      </c>
      <c r="Q123" s="30" t="str">
        <f>IF($A123="","",COUNTIFS('Nhật ký bảo trì'!$D$6:$D$405,$A123,'Nhật ký bảo trì'!$Q$6:$Q$405,"Hoàn thành",'Nhật ký bảo trì'!$B$6:$B$405,"&gt;="&amp;DATE('Tổng quan'!$B$6,1,1),'Nhật ký bảo trì'!$B$6:$B$405,"&lt;="&amp;DATE('Tổng quan'!$B$6,12,31)))</f>
        <v/>
      </c>
      <c r="R123" s="30" t="str">
        <f t="shared" si="1"/>
        <v/>
      </c>
    </row>
    <row r="124" ht="24.0" customHeight="1">
      <c r="A124" s="10" t="str">
        <f>IF('Kế hoạch định kỳ'!$B124="","",'Kế hoạch định kỳ'!$B124)</f>
        <v/>
      </c>
      <c r="B124" s="14" t="str">
        <f>IF('Kế hoạch định kỳ'!$B124="","",'Kế hoạch định kỳ'!$D124)</f>
        <v/>
      </c>
      <c r="C124" s="18" t="str">
        <f>IF('Kế hoạch định kỳ'!$B124="","",'Kế hoạch định kỳ'!$F124)</f>
        <v/>
      </c>
      <c r="D124" s="10" t="str">
        <f>IF('Kế hoạch định kỳ'!$B124="","",IF('Kế hoạch định kỳ'!$I124&lt;&gt;"",'Kế hoạch định kỳ'!$I124&amp;" ngày",'Kế hoạch định kỳ'!$H124))</f>
        <v/>
      </c>
      <c r="E124" s="24" t="str">
        <f>IF($A124="","",IF(COUNTIFS('Nhật ký bảo trì'!$D$6:$D$405,$A124,'Nhật ký bảo trì'!$Q$6:$Q$405,"Hoàn thành",'Nhật ký bảo trì'!$B$6:$B$405,"&gt;="&amp;E$5,'Nhật ký bảo trì'!$B$6:$B$405,"&lt;="&amp;EOMONTH(E$5,0))&gt;0,"✔",IF(((EOMONTH(E$5,0)&gt;='Kế hoạch định kỳ'!$W124)*(INT((EOMONTH(E$5,0)-'Kế hoạch định kỳ'!$W124)/'Kế hoạch định kỳ'!$X124)+1)-(E$5-1&gt;='Kế hoạch định kỳ'!$W124)*(INT((E$5-1-'Kế hoạch định kỳ'!$W124)/'Kế hoạch định kỳ'!$X124)+1))&gt;0,IF(EOMONTH(E$5,0)&lt;'Tổng quan'!$B$11,"✖","○"),"")))</f>
        <v/>
      </c>
      <c r="F124" s="24" t="str">
        <f>IF($A124="","",IF(COUNTIFS('Nhật ký bảo trì'!$D$6:$D$405,$A124,'Nhật ký bảo trì'!$Q$6:$Q$405,"Hoàn thành",'Nhật ký bảo trì'!$B$6:$B$405,"&gt;="&amp;F$5,'Nhật ký bảo trì'!$B$6:$B$405,"&lt;="&amp;EOMONTH(F$5,0))&gt;0,"✔",IF(((EOMONTH(F$5,0)&gt;='Kế hoạch định kỳ'!$W124)*(INT((EOMONTH(F$5,0)-'Kế hoạch định kỳ'!$W124)/'Kế hoạch định kỳ'!$X124)+1)-(F$5-1&gt;='Kế hoạch định kỳ'!$W124)*(INT((F$5-1-'Kế hoạch định kỳ'!$W124)/'Kế hoạch định kỳ'!$X124)+1))&gt;0,IF(EOMONTH(F$5,0)&lt;'Tổng quan'!$B$11,"✖","○"),"")))</f>
        <v/>
      </c>
      <c r="G124" s="24" t="str">
        <f>IF($A124="","",IF(COUNTIFS('Nhật ký bảo trì'!$D$6:$D$405,$A124,'Nhật ký bảo trì'!$Q$6:$Q$405,"Hoàn thành",'Nhật ký bảo trì'!$B$6:$B$405,"&gt;="&amp;G$5,'Nhật ký bảo trì'!$B$6:$B$405,"&lt;="&amp;EOMONTH(G$5,0))&gt;0,"✔",IF(((EOMONTH(G$5,0)&gt;='Kế hoạch định kỳ'!$W124)*(INT((EOMONTH(G$5,0)-'Kế hoạch định kỳ'!$W124)/'Kế hoạch định kỳ'!$X124)+1)-(G$5-1&gt;='Kế hoạch định kỳ'!$W124)*(INT((G$5-1-'Kế hoạch định kỳ'!$W124)/'Kế hoạch định kỳ'!$X124)+1))&gt;0,IF(EOMONTH(G$5,0)&lt;'Tổng quan'!$B$11,"✖","○"),"")))</f>
        <v/>
      </c>
      <c r="H124" s="24" t="str">
        <f>IF($A124="","",IF(COUNTIFS('Nhật ký bảo trì'!$D$6:$D$405,$A124,'Nhật ký bảo trì'!$Q$6:$Q$405,"Hoàn thành",'Nhật ký bảo trì'!$B$6:$B$405,"&gt;="&amp;H$5,'Nhật ký bảo trì'!$B$6:$B$405,"&lt;="&amp;EOMONTH(H$5,0))&gt;0,"✔",IF(((EOMONTH(H$5,0)&gt;='Kế hoạch định kỳ'!$W124)*(INT((EOMONTH(H$5,0)-'Kế hoạch định kỳ'!$W124)/'Kế hoạch định kỳ'!$X124)+1)-(H$5-1&gt;='Kế hoạch định kỳ'!$W124)*(INT((H$5-1-'Kế hoạch định kỳ'!$W124)/'Kế hoạch định kỳ'!$X124)+1))&gt;0,IF(EOMONTH(H$5,0)&lt;'Tổng quan'!$B$11,"✖","○"),"")))</f>
        <v/>
      </c>
      <c r="I124" s="24" t="str">
        <f>IF($A124="","",IF(COUNTIFS('Nhật ký bảo trì'!$D$6:$D$405,$A124,'Nhật ký bảo trì'!$Q$6:$Q$405,"Hoàn thành",'Nhật ký bảo trì'!$B$6:$B$405,"&gt;="&amp;I$5,'Nhật ký bảo trì'!$B$6:$B$405,"&lt;="&amp;EOMONTH(I$5,0))&gt;0,"✔",IF(((EOMONTH(I$5,0)&gt;='Kế hoạch định kỳ'!$W124)*(INT((EOMONTH(I$5,0)-'Kế hoạch định kỳ'!$W124)/'Kế hoạch định kỳ'!$X124)+1)-(I$5-1&gt;='Kế hoạch định kỳ'!$W124)*(INT((I$5-1-'Kế hoạch định kỳ'!$W124)/'Kế hoạch định kỳ'!$X124)+1))&gt;0,IF(EOMONTH(I$5,0)&lt;'Tổng quan'!$B$11,"✖","○"),"")))</f>
        <v/>
      </c>
      <c r="J124" s="24" t="str">
        <f>IF($A124="","",IF(COUNTIFS('Nhật ký bảo trì'!$D$6:$D$405,$A124,'Nhật ký bảo trì'!$Q$6:$Q$405,"Hoàn thành",'Nhật ký bảo trì'!$B$6:$B$405,"&gt;="&amp;J$5,'Nhật ký bảo trì'!$B$6:$B$405,"&lt;="&amp;EOMONTH(J$5,0))&gt;0,"✔",IF(((EOMONTH(J$5,0)&gt;='Kế hoạch định kỳ'!$W124)*(INT((EOMONTH(J$5,0)-'Kế hoạch định kỳ'!$W124)/'Kế hoạch định kỳ'!$X124)+1)-(J$5-1&gt;='Kế hoạch định kỳ'!$W124)*(INT((J$5-1-'Kế hoạch định kỳ'!$W124)/'Kế hoạch định kỳ'!$X124)+1))&gt;0,IF(EOMONTH(J$5,0)&lt;'Tổng quan'!$B$11,"✖","○"),"")))</f>
        <v/>
      </c>
      <c r="K124" s="24" t="str">
        <f>IF($A124="","",IF(COUNTIFS('Nhật ký bảo trì'!$D$6:$D$405,$A124,'Nhật ký bảo trì'!$Q$6:$Q$405,"Hoàn thành",'Nhật ký bảo trì'!$B$6:$B$405,"&gt;="&amp;K$5,'Nhật ký bảo trì'!$B$6:$B$405,"&lt;="&amp;EOMONTH(K$5,0))&gt;0,"✔",IF(((EOMONTH(K$5,0)&gt;='Kế hoạch định kỳ'!$W124)*(INT((EOMONTH(K$5,0)-'Kế hoạch định kỳ'!$W124)/'Kế hoạch định kỳ'!$X124)+1)-(K$5-1&gt;='Kế hoạch định kỳ'!$W124)*(INT((K$5-1-'Kế hoạch định kỳ'!$W124)/'Kế hoạch định kỳ'!$X124)+1))&gt;0,IF(EOMONTH(K$5,0)&lt;'Tổng quan'!$B$11,"✖","○"),"")))</f>
        <v/>
      </c>
      <c r="L124" s="24" t="str">
        <f>IF($A124="","",IF(COUNTIFS('Nhật ký bảo trì'!$D$6:$D$405,$A124,'Nhật ký bảo trì'!$Q$6:$Q$405,"Hoàn thành",'Nhật ký bảo trì'!$B$6:$B$405,"&gt;="&amp;L$5,'Nhật ký bảo trì'!$B$6:$B$405,"&lt;="&amp;EOMONTH(L$5,0))&gt;0,"✔",IF(((EOMONTH(L$5,0)&gt;='Kế hoạch định kỳ'!$W124)*(INT((EOMONTH(L$5,0)-'Kế hoạch định kỳ'!$W124)/'Kế hoạch định kỳ'!$X124)+1)-(L$5-1&gt;='Kế hoạch định kỳ'!$W124)*(INT((L$5-1-'Kế hoạch định kỳ'!$W124)/'Kế hoạch định kỳ'!$X124)+1))&gt;0,IF(EOMONTH(L$5,0)&lt;'Tổng quan'!$B$11,"✖","○"),"")))</f>
        <v/>
      </c>
      <c r="M124" s="24" t="str">
        <f>IF($A124="","",IF(COUNTIFS('Nhật ký bảo trì'!$D$6:$D$405,$A124,'Nhật ký bảo trì'!$Q$6:$Q$405,"Hoàn thành",'Nhật ký bảo trì'!$B$6:$B$405,"&gt;="&amp;M$5,'Nhật ký bảo trì'!$B$6:$B$405,"&lt;="&amp;EOMONTH(M$5,0))&gt;0,"✔",IF(((EOMONTH(M$5,0)&gt;='Kế hoạch định kỳ'!$W124)*(INT((EOMONTH(M$5,0)-'Kế hoạch định kỳ'!$W124)/'Kế hoạch định kỳ'!$X124)+1)-(M$5-1&gt;='Kế hoạch định kỳ'!$W124)*(INT((M$5-1-'Kế hoạch định kỳ'!$W124)/'Kế hoạch định kỳ'!$X124)+1))&gt;0,IF(EOMONTH(M$5,0)&lt;'Tổng quan'!$B$11,"✖","○"),"")))</f>
        <v/>
      </c>
      <c r="N124" s="24" t="str">
        <f>IF($A124="","",IF(COUNTIFS('Nhật ký bảo trì'!$D$6:$D$405,$A124,'Nhật ký bảo trì'!$Q$6:$Q$405,"Hoàn thành",'Nhật ký bảo trì'!$B$6:$B$405,"&gt;="&amp;N$5,'Nhật ký bảo trì'!$B$6:$B$405,"&lt;="&amp;EOMONTH(N$5,0))&gt;0,"✔",IF(((EOMONTH(N$5,0)&gt;='Kế hoạch định kỳ'!$W124)*(INT((EOMONTH(N$5,0)-'Kế hoạch định kỳ'!$W124)/'Kế hoạch định kỳ'!$X124)+1)-(N$5-1&gt;='Kế hoạch định kỳ'!$W124)*(INT((N$5-1-'Kế hoạch định kỳ'!$W124)/'Kế hoạch định kỳ'!$X124)+1))&gt;0,IF(EOMONTH(N$5,0)&lt;'Tổng quan'!$B$11,"✖","○"),"")))</f>
        <v/>
      </c>
      <c r="O124" s="24" t="str">
        <f>IF($A124="","",IF(COUNTIFS('Nhật ký bảo trì'!$D$6:$D$405,$A124,'Nhật ký bảo trì'!$Q$6:$Q$405,"Hoàn thành",'Nhật ký bảo trì'!$B$6:$B$405,"&gt;="&amp;O$5,'Nhật ký bảo trì'!$B$6:$B$405,"&lt;="&amp;EOMONTH(O$5,0))&gt;0,"✔",IF(((EOMONTH(O$5,0)&gt;='Kế hoạch định kỳ'!$W124)*(INT((EOMONTH(O$5,0)-'Kế hoạch định kỳ'!$W124)/'Kế hoạch định kỳ'!$X124)+1)-(O$5-1&gt;='Kế hoạch định kỳ'!$W124)*(INT((O$5-1-'Kế hoạch định kỳ'!$W124)/'Kế hoạch định kỳ'!$X124)+1))&gt;0,IF(EOMONTH(O$5,0)&lt;'Tổng quan'!$B$11,"✖","○"),"")))</f>
        <v/>
      </c>
      <c r="P124" s="24" t="str">
        <f>IF($A124="","",IF(COUNTIFS('Nhật ký bảo trì'!$D$6:$D$405,$A124,'Nhật ký bảo trì'!$Q$6:$Q$405,"Hoàn thành",'Nhật ký bảo trì'!$B$6:$B$405,"&gt;="&amp;P$5,'Nhật ký bảo trì'!$B$6:$B$405,"&lt;="&amp;EOMONTH(P$5,0))&gt;0,"✔",IF(((EOMONTH(P$5,0)&gt;='Kế hoạch định kỳ'!$W124)*(INT((EOMONTH(P$5,0)-'Kế hoạch định kỳ'!$W124)/'Kế hoạch định kỳ'!$X124)+1)-(P$5-1&gt;='Kế hoạch định kỳ'!$W124)*(INT((P$5-1-'Kế hoạch định kỳ'!$W124)/'Kế hoạch định kỳ'!$X124)+1))&gt;0,IF(EOMONTH(P$5,0)&lt;'Tổng quan'!$B$11,"✖","○"),"")))</f>
        <v/>
      </c>
      <c r="Q124" s="16" t="str">
        <f>IF($A124="","",COUNTIFS('Nhật ký bảo trì'!$D$6:$D$405,$A124,'Nhật ký bảo trì'!$Q$6:$Q$405,"Hoàn thành",'Nhật ký bảo trì'!$B$6:$B$405,"&gt;="&amp;DATE('Tổng quan'!$B$6,1,1),'Nhật ký bảo trì'!$B$6:$B$405,"&lt;="&amp;DATE('Tổng quan'!$B$6,12,31)))</f>
        <v/>
      </c>
      <c r="R124" s="16" t="str">
        <f t="shared" si="1"/>
        <v/>
      </c>
    </row>
    <row r="125" ht="24.0" customHeight="1">
      <c r="A125" s="26" t="str">
        <f>IF('Kế hoạch định kỳ'!$B125="","",'Kế hoạch định kỳ'!$B125)</f>
        <v/>
      </c>
      <c r="B125" s="28" t="str">
        <f>IF('Kế hoạch định kỳ'!$B125="","",'Kế hoạch định kỳ'!$D125)</f>
        <v/>
      </c>
      <c r="C125" s="56" t="str">
        <f>IF('Kế hoạch định kỳ'!$B125="","",'Kế hoạch định kỳ'!$F125)</f>
        <v/>
      </c>
      <c r="D125" s="26" t="str">
        <f>IF('Kế hoạch định kỳ'!$B125="","",IF('Kế hoạch định kỳ'!$I125&lt;&gt;"",'Kế hoạch định kỳ'!$I125&amp;" ngày",'Kế hoạch định kỳ'!$H125))</f>
        <v/>
      </c>
      <c r="E125" s="61" t="str">
        <f>IF($A125="","",IF(COUNTIFS('Nhật ký bảo trì'!$D$6:$D$405,$A125,'Nhật ký bảo trì'!$Q$6:$Q$405,"Hoàn thành",'Nhật ký bảo trì'!$B$6:$B$405,"&gt;="&amp;E$5,'Nhật ký bảo trì'!$B$6:$B$405,"&lt;="&amp;EOMONTH(E$5,0))&gt;0,"✔",IF(((EOMONTH(E$5,0)&gt;='Kế hoạch định kỳ'!$W125)*(INT((EOMONTH(E$5,0)-'Kế hoạch định kỳ'!$W125)/'Kế hoạch định kỳ'!$X125)+1)-(E$5-1&gt;='Kế hoạch định kỳ'!$W125)*(INT((E$5-1-'Kế hoạch định kỳ'!$W125)/'Kế hoạch định kỳ'!$X125)+1))&gt;0,IF(EOMONTH(E$5,0)&lt;'Tổng quan'!$B$11,"✖","○"),"")))</f>
        <v/>
      </c>
      <c r="F125" s="61" t="str">
        <f>IF($A125="","",IF(COUNTIFS('Nhật ký bảo trì'!$D$6:$D$405,$A125,'Nhật ký bảo trì'!$Q$6:$Q$405,"Hoàn thành",'Nhật ký bảo trì'!$B$6:$B$405,"&gt;="&amp;F$5,'Nhật ký bảo trì'!$B$6:$B$405,"&lt;="&amp;EOMONTH(F$5,0))&gt;0,"✔",IF(((EOMONTH(F$5,0)&gt;='Kế hoạch định kỳ'!$W125)*(INT((EOMONTH(F$5,0)-'Kế hoạch định kỳ'!$W125)/'Kế hoạch định kỳ'!$X125)+1)-(F$5-1&gt;='Kế hoạch định kỳ'!$W125)*(INT((F$5-1-'Kế hoạch định kỳ'!$W125)/'Kế hoạch định kỳ'!$X125)+1))&gt;0,IF(EOMONTH(F$5,0)&lt;'Tổng quan'!$B$11,"✖","○"),"")))</f>
        <v/>
      </c>
      <c r="G125" s="61" t="str">
        <f>IF($A125="","",IF(COUNTIFS('Nhật ký bảo trì'!$D$6:$D$405,$A125,'Nhật ký bảo trì'!$Q$6:$Q$405,"Hoàn thành",'Nhật ký bảo trì'!$B$6:$B$405,"&gt;="&amp;G$5,'Nhật ký bảo trì'!$B$6:$B$405,"&lt;="&amp;EOMONTH(G$5,0))&gt;0,"✔",IF(((EOMONTH(G$5,0)&gt;='Kế hoạch định kỳ'!$W125)*(INT((EOMONTH(G$5,0)-'Kế hoạch định kỳ'!$W125)/'Kế hoạch định kỳ'!$X125)+1)-(G$5-1&gt;='Kế hoạch định kỳ'!$W125)*(INT((G$5-1-'Kế hoạch định kỳ'!$W125)/'Kế hoạch định kỳ'!$X125)+1))&gt;0,IF(EOMONTH(G$5,0)&lt;'Tổng quan'!$B$11,"✖","○"),"")))</f>
        <v/>
      </c>
      <c r="H125" s="61" t="str">
        <f>IF($A125="","",IF(COUNTIFS('Nhật ký bảo trì'!$D$6:$D$405,$A125,'Nhật ký bảo trì'!$Q$6:$Q$405,"Hoàn thành",'Nhật ký bảo trì'!$B$6:$B$405,"&gt;="&amp;H$5,'Nhật ký bảo trì'!$B$6:$B$405,"&lt;="&amp;EOMONTH(H$5,0))&gt;0,"✔",IF(((EOMONTH(H$5,0)&gt;='Kế hoạch định kỳ'!$W125)*(INT((EOMONTH(H$5,0)-'Kế hoạch định kỳ'!$W125)/'Kế hoạch định kỳ'!$X125)+1)-(H$5-1&gt;='Kế hoạch định kỳ'!$W125)*(INT((H$5-1-'Kế hoạch định kỳ'!$W125)/'Kế hoạch định kỳ'!$X125)+1))&gt;0,IF(EOMONTH(H$5,0)&lt;'Tổng quan'!$B$11,"✖","○"),"")))</f>
        <v/>
      </c>
      <c r="I125" s="61" t="str">
        <f>IF($A125="","",IF(COUNTIFS('Nhật ký bảo trì'!$D$6:$D$405,$A125,'Nhật ký bảo trì'!$Q$6:$Q$405,"Hoàn thành",'Nhật ký bảo trì'!$B$6:$B$405,"&gt;="&amp;I$5,'Nhật ký bảo trì'!$B$6:$B$405,"&lt;="&amp;EOMONTH(I$5,0))&gt;0,"✔",IF(((EOMONTH(I$5,0)&gt;='Kế hoạch định kỳ'!$W125)*(INT((EOMONTH(I$5,0)-'Kế hoạch định kỳ'!$W125)/'Kế hoạch định kỳ'!$X125)+1)-(I$5-1&gt;='Kế hoạch định kỳ'!$W125)*(INT((I$5-1-'Kế hoạch định kỳ'!$W125)/'Kế hoạch định kỳ'!$X125)+1))&gt;0,IF(EOMONTH(I$5,0)&lt;'Tổng quan'!$B$11,"✖","○"),"")))</f>
        <v/>
      </c>
      <c r="J125" s="61" t="str">
        <f>IF($A125="","",IF(COUNTIFS('Nhật ký bảo trì'!$D$6:$D$405,$A125,'Nhật ký bảo trì'!$Q$6:$Q$405,"Hoàn thành",'Nhật ký bảo trì'!$B$6:$B$405,"&gt;="&amp;J$5,'Nhật ký bảo trì'!$B$6:$B$405,"&lt;="&amp;EOMONTH(J$5,0))&gt;0,"✔",IF(((EOMONTH(J$5,0)&gt;='Kế hoạch định kỳ'!$W125)*(INT((EOMONTH(J$5,0)-'Kế hoạch định kỳ'!$W125)/'Kế hoạch định kỳ'!$X125)+1)-(J$5-1&gt;='Kế hoạch định kỳ'!$W125)*(INT((J$5-1-'Kế hoạch định kỳ'!$W125)/'Kế hoạch định kỳ'!$X125)+1))&gt;0,IF(EOMONTH(J$5,0)&lt;'Tổng quan'!$B$11,"✖","○"),"")))</f>
        <v/>
      </c>
      <c r="K125" s="61" t="str">
        <f>IF($A125="","",IF(COUNTIFS('Nhật ký bảo trì'!$D$6:$D$405,$A125,'Nhật ký bảo trì'!$Q$6:$Q$405,"Hoàn thành",'Nhật ký bảo trì'!$B$6:$B$405,"&gt;="&amp;K$5,'Nhật ký bảo trì'!$B$6:$B$405,"&lt;="&amp;EOMONTH(K$5,0))&gt;0,"✔",IF(((EOMONTH(K$5,0)&gt;='Kế hoạch định kỳ'!$W125)*(INT((EOMONTH(K$5,0)-'Kế hoạch định kỳ'!$W125)/'Kế hoạch định kỳ'!$X125)+1)-(K$5-1&gt;='Kế hoạch định kỳ'!$W125)*(INT((K$5-1-'Kế hoạch định kỳ'!$W125)/'Kế hoạch định kỳ'!$X125)+1))&gt;0,IF(EOMONTH(K$5,0)&lt;'Tổng quan'!$B$11,"✖","○"),"")))</f>
        <v/>
      </c>
      <c r="L125" s="61" t="str">
        <f>IF($A125="","",IF(COUNTIFS('Nhật ký bảo trì'!$D$6:$D$405,$A125,'Nhật ký bảo trì'!$Q$6:$Q$405,"Hoàn thành",'Nhật ký bảo trì'!$B$6:$B$405,"&gt;="&amp;L$5,'Nhật ký bảo trì'!$B$6:$B$405,"&lt;="&amp;EOMONTH(L$5,0))&gt;0,"✔",IF(((EOMONTH(L$5,0)&gt;='Kế hoạch định kỳ'!$W125)*(INT((EOMONTH(L$5,0)-'Kế hoạch định kỳ'!$W125)/'Kế hoạch định kỳ'!$X125)+1)-(L$5-1&gt;='Kế hoạch định kỳ'!$W125)*(INT((L$5-1-'Kế hoạch định kỳ'!$W125)/'Kế hoạch định kỳ'!$X125)+1))&gt;0,IF(EOMONTH(L$5,0)&lt;'Tổng quan'!$B$11,"✖","○"),"")))</f>
        <v/>
      </c>
      <c r="M125" s="61" t="str">
        <f>IF($A125="","",IF(COUNTIFS('Nhật ký bảo trì'!$D$6:$D$405,$A125,'Nhật ký bảo trì'!$Q$6:$Q$405,"Hoàn thành",'Nhật ký bảo trì'!$B$6:$B$405,"&gt;="&amp;M$5,'Nhật ký bảo trì'!$B$6:$B$405,"&lt;="&amp;EOMONTH(M$5,0))&gt;0,"✔",IF(((EOMONTH(M$5,0)&gt;='Kế hoạch định kỳ'!$W125)*(INT((EOMONTH(M$5,0)-'Kế hoạch định kỳ'!$W125)/'Kế hoạch định kỳ'!$X125)+1)-(M$5-1&gt;='Kế hoạch định kỳ'!$W125)*(INT((M$5-1-'Kế hoạch định kỳ'!$W125)/'Kế hoạch định kỳ'!$X125)+1))&gt;0,IF(EOMONTH(M$5,0)&lt;'Tổng quan'!$B$11,"✖","○"),"")))</f>
        <v/>
      </c>
      <c r="N125" s="61" t="str">
        <f>IF($A125="","",IF(COUNTIFS('Nhật ký bảo trì'!$D$6:$D$405,$A125,'Nhật ký bảo trì'!$Q$6:$Q$405,"Hoàn thành",'Nhật ký bảo trì'!$B$6:$B$405,"&gt;="&amp;N$5,'Nhật ký bảo trì'!$B$6:$B$405,"&lt;="&amp;EOMONTH(N$5,0))&gt;0,"✔",IF(((EOMONTH(N$5,0)&gt;='Kế hoạch định kỳ'!$W125)*(INT((EOMONTH(N$5,0)-'Kế hoạch định kỳ'!$W125)/'Kế hoạch định kỳ'!$X125)+1)-(N$5-1&gt;='Kế hoạch định kỳ'!$W125)*(INT((N$5-1-'Kế hoạch định kỳ'!$W125)/'Kế hoạch định kỳ'!$X125)+1))&gt;0,IF(EOMONTH(N$5,0)&lt;'Tổng quan'!$B$11,"✖","○"),"")))</f>
        <v/>
      </c>
      <c r="O125" s="61" t="str">
        <f>IF($A125="","",IF(COUNTIFS('Nhật ký bảo trì'!$D$6:$D$405,$A125,'Nhật ký bảo trì'!$Q$6:$Q$405,"Hoàn thành",'Nhật ký bảo trì'!$B$6:$B$405,"&gt;="&amp;O$5,'Nhật ký bảo trì'!$B$6:$B$405,"&lt;="&amp;EOMONTH(O$5,0))&gt;0,"✔",IF(((EOMONTH(O$5,0)&gt;='Kế hoạch định kỳ'!$W125)*(INT((EOMONTH(O$5,0)-'Kế hoạch định kỳ'!$W125)/'Kế hoạch định kỳ'!$X125)+1)-(O$5-1&gt;='Kế hoạch định kỳ'!$W125)*(INT((O$5-1-'Kế hoạch định kỳ'!$W125)/'Kế hoạch định kỳ'!$X125)+1))&gt;0,IF(EOMONTH(O$5,0)&lt;'Tổng quan'!$B$11,"✖","○"),"")))</f>
        <v/>
      </c>
      <c r="P125" s="61" t="str">
        <f>IF($A125="","",IF(COUNTIFS('Nhật ký bảo trì'!$D$6:$D$405,$A125,'Nhật ký bảo trì'!$Q$6:$Q$405,"Hoàn thành",'Nhật ký bảo trì'!$B$6:$B$405,"&gt;="&amp;P$5,'Nhật ký bảo trì'!$B$6:$B$405,"&lt;="&amp;EOMONTH(P$5,0))&gt;0,"✔",IF(((EOMONTH(P$5,0)&gt;='Kế hoạch định kỳ'!$W125)*(INT((EOMONTH(P$5,0)-'Kế hoạch định kỳ'!$W125)/'Kế hoạch định kỳ'!$X125)+1)-(P$5-1&gt;='Kế hoạch định kỳ'!$W125)*(INT((P$5-1-'Kế hoạch định kỳ'!$W125)/'Kế hoạch định kỳ'!$X125)+1))&gt;0,IF(EOMONTH(P$5,0)&lt;'Tổng quan'!$B$11,"✖","○"),"")))</f>
        <v/>
      </c>
      <c r="Q125" s="30" t="str">
        <f>IF($A125="","",COUNTIFS('Nhật ký bảo trì'!$D$6:$D$405,$A125,'Nhật ký bảo trì'!$Q$6:$Q$405,"Hoàn thành",'Nhật ký bảo trì'!$B$6:$B$405,"&gt;="&amp;DATE('Tổng quan'!$B$6,1,1),'Nhật ký bảo trì'!$B$6:$B$405,"&lt;="&amp;DATE('Tổng quan'!$B$6,12,31)))</f>
        <v/>
      </c>
      <c r="R125" s="30" t="str">
        <f t="shared" si="1"/>
        <v/>
      </c>
    </row>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R1"/>
    <mergeCell ref="A2:R2"/>
  </mergeCells>
  <conditionalFormatting sqref="E6:P125">
    <cfRule type="cellIs" dxfId="1" priority="1" operator="equal">
      <formula>"✔"</formula>
    </cfRule>
  </conditionalFormatting>
  <conditionalFormatting sqref="E6:P125">
    <cfRule type="cellIs" dxfId="0" priority="2" operator="equal">
      <formula>"✖"</formula>
    </cfRule>
  </conditionalFormatting>
  <conditionalFormatting sqref="E6:P125">
    <cfRule type="cellIs" dxfId="5" priority="3" operator="equal">
      <formula>"○"</formula>
    </cfRule>
  </conditionalFormatting>
  <printOptions/>
  <pageMargins bottom="1.0" footer="0.0" header="0.0" left="0.75" right="0.75" top="1.0"/>
  <pageSetup fitToHeight="0" paperSize="8"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xSplit="6.0" ySplit="5.0" topLeftCell="G6" activePane="bottomRight" state="frozen"/>
      <selection activeCell="G1" sqref="G1" pane="topRight"/>
      <selection activeCell="A6" sqref="A6" pane="bottomLeft"/>
      <selection activeCell="G6" sqref="G6" pane="bottomRight"/>
    </sheetView>
  </sheetViews>
  <sheetFormatPr customHeight="1" defaultColWidth="14.43" defaultRowHeight="15.0"/>
  <cols>
    <col customWidth="1" min="1" max="1" width="6.0"/>
    <col customWidth="1" min="2" max="2" width="13.0"/>
    <col customWidth="1" min="3" max="3" width="20.0"/>
    <col customWidth="1" min="4" max="4" width="12.0"/>
    <col customWidth="1" min="5" max="5" width="11.0"/>
    <col customWidth="1" min="6" max="6" width="28.0"/>
    <col customWidth="1" min="7" max="7" width="18.0"/>
    <col customWidth="1" min="8" max="8" width="42.0"/>
    <col customWidth="1" min="9" max="9" width="18.0"/>
    <col customWidth="1" min="10" max="10" width="11.0"/>
    <col customWidth="1" min="11" max="11" width="9.0"/>
    <col customWidth="1" min="12" max="14" width="13.0"/>
    <col customWidth="1" min="15" max="15" width="14.0"/>
    <col customWidth="1" min="16" max="16" width="26.0"/>
    <col customWidth="1" min="17" max="17" width="20.0"/>
    <col customWidth="1" min="18" max="18" width="22.0"/>
    <col customWidth="1" min="19" max="19" width="32.0"/>
    <col customWidth="1" min="20" max="26" width="8.71"/>
  </cols>
  <sheetData>
    <row r="1" ht="42.0" customHeight="1">
      <c r="A1" s="1" t="s">
        <v>267</v>
      </c>
      <c r="B1" s="2"/>
      <c r="C1" s="2"/>
      <c r="D1" s="2"/>
      <c r="E1" s="2"/>
      <c r="F1" s="2"/>
      <c r="G1" s="2"/>
      <c r="H1" s="2"/>
      <c r="I1" s="2"/>
      <c r="J1" s="2"/>
      <c r="K1" s="2"/>
      <c r="L1" s="2"/>
      <c r="M1" s="2"/>
      <c r="N1" s="2"/>
      <c r="O1" s="2"/>
      <c r="P1" s="2"/>
      <c r="Q1" s="2"/>
      <c r="R1" s="2"/>
      <c r="S1" s="3"/>
    </row>
    <row r="2" ht="19.5" customHeight="1">
      <c r="A2" s="4" t="s">
        <v>268</v>
      </c>
    </row>
    <row r="4" ht="24.0" customHeight="1">
      <c r="A4" s="5" t="s">
        <v>269</v>
      </c>
      <c r="B4" s="2"/>
      <c r="C4" s="2"/>
      <c r="D4" s="2"/>
      <c r="E4" s="2"/>
      <c r="F4" s="2"/>
      <c r="G4" s="2"/>
      <c r="H4" s="3"/>
      <c r="I4" s="6" t="s">
        <v>270</v>
      </c>
      <c r="J4" s="2"/>
      <c r="K4" s="3"/>
      <c r="L4" s="5" t="s">
        <v>271</v>
      </c>
      <c r="M4" s="2"/>
      <c r="N4" s="2"/>
      <c r="O4" s="3"/>
      <c r="P4" s="6" t="s">
        <v>272</v>
      </c>
      <c r="Q4" s="2"/>
      <c r="R4" s="2"/>
      <c r="S4" s="3"/>
    </row>
    <row r="5" ht="51.75" customHeight="1">
      <c r="A5" s="7" t="s">
        <v>13</v>
      </c>
      <c r="B5" s="7" t="s">
        <v>273</v>
      </c>
      <c r="C5" s="7" t="s">
        <v>274</v>
      </c>
      <c r="D5" s="7" t="s">
        <v>275</v>
      </c>
      <c r="E5" s="7" t="s">
        <v>15</v>
      </c>
      <c r="F5" s="7" t="s">
        <v>17</v>
      </c>
      <c r="G5" s="7" t="s">
        <v>18</v>
      </c>
      <c r="H5" s="7" t="s">
        <v>276</v>
      </c>
      <c r="I5" s="7" t="s">
        <v>277</v>
      </c>
      <c r="J5" s="7" t="s">
        <v>278</v>
      </c>
      <c r="K5" s="7" t="s">
        <v>279</v>
      </c>
      <c r="L5" s="7" t="s">
        <v>247</v>
      </c>
      <c r="M5" s="7" t="s">
        <v>248</v>
      </c>
      <c r="N5" s="7" t="s">
        <v>249</v>
      </c>
      <c r="O5" s="7" t="s">
        <v>250</v>
      </c>
      <c r="P5" s="7" t="s">
        <v>280</v>
      </c>
      <c r="Q5" s="7" t="s">
        <v>281</v>
      </c>
      <c r="R5" s="7" t="s">
        <v>282</v>
      </c>
      <c r="S5" s="7" t="s">
        <v>283</v>
      </c>
    </row>
    <row r="6" ht="25.5" customHeight="1">
      <c r="A6" s="10">
        <f t="shared" ref="A6:A405" si="1">IF($E6="","",ROW()-5)</f>
        <v>1</v>
      </c>
      <c r="B6" s="13">
        <v>46038.0</v>
      </c>
      <c r="C6" s="11" t="s">
        <v>284</v>
      </c>
      <c r="D6" s="11" t="s">
        <v>149</v>
      </c>
      <c r="E6" s="11" t="s">
        <v>112</v>
      </c>
      <c r="F6" s="14" t="str">
        <f t="array" ref="F6">IF($E6="","",IFERROR(INDEX('Danh mục thiết bị'!$C$6:$C$65,MATCH($E6,'Danh mục thiết bị'!$B$6:$B$65,0)),"Mã TB không tồn tại"))</f>
        <v>Trạm biến áp 1000kVA</v>
      </c>
      <c r="G6" s="14" t="str">
        <f t="array" ref="G6">IF($E6="","",IFERROR(INDEX('Danh mục thiết bị'!$D$6:$D$65,MATCH($E6,'Danh mục thiết bị'!$B$6:$B$65,0)),""))</f>
        <v>Hệ thống điện</v>
      </c>
      <c r="H6" s="15" t="s">
        <v>154</v>
      </c>
      <c r="I6" s="12" t="s">
        <v>107</v>
      </c>
      <c r="J6" s="19">
        <v>4.0</v>
      </c>
      <c r="K6" s="19">
        <v>0.0</v>
      </c>
      <c r="L6" s="20">
        <v>480000.0</v>
      </c>
      <c r="M6" s="20">
        <v>1200000.0</v>
      </c>
      <c r="N6" s="20">
        <v>0.0</v>
      </c>
      <c r="O6" s="84">
        <f t="shared" ref="O6:O405" si="2">IF($E6="","",N($L6)+N($M6)+N($N6))</f>
        <v>1680000</v>
      </c>
      <c r="P6" s="15" t="s">
        <v>162</v>
      </c>
      <c r="Q6" s="11" t="s">
        <v>285</v>
      </c>
      <c r="R6" s="10" t="str">
        <f t="array" ref="R6">IF($E6="","",IF($B6="","Thiếu ngày thực hiện",IF(AND($D6&lt;&gt;"",IFERROR(INDEX('Kế hoạch định kỳ'!$C$6:$C$125,MATCH($D6,'Kế hoạch định kỳ'!$B$6:$B$125,0)),"")&lt;&gt;$E6),"Mã TB không khớp công việc",IF(AND(OR($C6="Bảo trì định kỳ",$C6="Hiệu chuẩn – kiểm định"),$D6=""),"Thiếu mã công việc kế hoạch",IF($Q6="","Thiếu kết quả","OK")))))</f>
        <v>OK</v>
      </c>
      <c r="S6" s="15"/>
    </row>
    <row r="7" ht="25.5" customHeight="1">
      <c r="A7" s="26">
        <f t="shared" si="1"/>
        <v>2</v>
      </c>
      <c r="B7" s="32">
        <v>46047.0</v>
      </c>
      <c r="C7" s="27" t="s">
        <v>286</v>
      </c>
      <c r="D7" s="27" t="s">
        <v>163</v>
      </c>
      <c r="E7" s="27" t="s">
        <v>112</v>
      </c>
      <c r="F7" s="28" t="str">
        <f t="array" ref="F7">IF($E7="","",IFERROR(INDEX('Danh mục thiết bị'!$C$6:$C$65,MATCH($E7,'Danh mục thiết bị'!$B$6:$B$65,0)),"Mã TB không tồn tại"))</f>
        <v>Trạm biến áp 1000kVA</v>
      </c>
      <c r="G7" s="28" t="str">
        <f t="array" ref="G7">IF($E7="","",IFERROR(INDEX('Danh mục thiết bị'!$D$6:$D$65,MATCH($E7,'Danh mục thiết bị'!$B$6:$B$65,0)),""))</f>
        <v>Hệ thống điện</v>
      </c>
      <c r="H7" s="29" t="s">
        <v>164</v>
      </c>
      <c r="I7" s="31" t="s">
        <v>107</v>
      </c>
      <c r="J7" s="34">
        <v>3.0</v>
      </c>
      <c r="K7" s="34">
        <v>0.0</v>
      </c>
      <c r="L7" s="35">
        <v>360000.0</v>
      </c>
      <c r="M7" s="35">
        <v>0.0</v>
      </c>
      <c r="N7" s="35">
        <v>4500000.0</v>
      </c>
      <c r="O7" s="85">
        <f t="shared" si="2"/>
        <v>4860000</v>
      </c>
      <c r="P7" s="29" t="s">
        <v>172</v>
      </c>
      <c r="Q7" s="27" t="s">
        <v>285</v>
      </c>
      <c r="R7" s="26" t="str">
        <f t="array" ref="R7">IF($E7="","",IF($B7="","Thiếu ngày thực hiện",IF(AND($D7&lt;&gt;"",IFERROR(INDEX('Kế hoạch định kỳ'!$C$6:$C$125,MATCH($D7,'Kế hoạch định kỳ'!$B$6:$B$125,0)),"")&lt;&gt;$E7),"Mã TB không khớp công việc",IF(AND(OR($C7="Bảo trì định kỳ",$C7="Hiệu chuẩn – kiểm định"),$D7=""),"Thiếu mã công việc kế hoạch",IF($Q7="","Thiếu kết quả","OK")))))</f>
        <v>OK</v>
      </c>
      <c r="S7" s="29"/>
    </row>
    <row r="8" ht="25.5" customHeight="1">
      <c r="A8" s="10">
        <f t="shared" si="1"/>
        <v>3</v>
      </c>
      <c r="B8" s="13">
        <v>46061.0</v>
      </c>
      <c r="C8" s="11" t="s">
        <v>284</v>
      </c>
      <c r="D8" s="11" t="s">
        <v>228</v>
      </c>
      <c r="E8" s="11" t="s">
        <v>216</v>
      </c>
      <c r="F8" s="14" t="str">
        <f t="array" ref="F8">IF($E8="","",IFERROR(INDEX('Danh mục thiết bị'!$C$6:$C$65,MATCH($E8,'Danh mục thiết bị'!$B$6:$B$65,0)),"Mã TB không tồn tại"))</f>
        <v>Máy chủ và thiết bị mạng</v>
      </c>
      <c r="G8" s="14" t="str">
        <f t="array" ref="G8">IF($E8="","",IFERROR(INDEX('Danh mục thiết bị'!$D$6:$D$65,MATCH($E8,'Danh mục thiết bị'!$B$6:$B$65,0)),""))</f>
        <v>Thiết bị CNTT</v>
      </c>
      <c r="H8" s="15" t="s">
        <v>229</v>
      </c>
      <c r="I8" s="12" t="s">
        <v>223</v>
      </c>
      <c r="J8" s="19">
        <v>2.0</v>
      </c>
      <c r="K8" s="19">
        <v>0.0</v>
      </c>
      <c r="L8" s="20">
        <v>240000.0</v>
      </c>
      <c r="M8" s="20">
        <v>200000.0</v>
      </c>
      <c r="N8" s="20">
        <v>0.0</v>
      </c>
      <c r="O8" s="84">
        <f t="shared" si="2"/>
        <v>440000</v>
      </c>
      <c r="P8" s="15" t="s">
        <v>230</v>
      </c>
      <c r="Q8" s="11" t="s">
        <v>285</v>
      </c>
      <c r="R8" s="10" t="str">
        <f t="array" ref="R8">IF($E8="","",IF($B8="","Thiếu ngày thực hiện",IF(AND($D8&lt;&gt;"",IFERROR(INDEX('Kế hoạch định kỳ'!$C$6:$C$125,MATCH($D8,'Kế hoạch định kỳ'!$B$6:$B$125,0)),"")&lt;&gt;$E8),"Mã TB không khớp công việc",IF(AND(OR($C8="Bảo trì định kỳ",$C8="Hiệu chuẩn – kiểm định"),$D8=""),"Thiếu mã công việc kế hoạch",IF($Q8="","Thiếu kết quả","OK")))))</f>
        <v>OK</v>
      </c>
      <c r="S8" s="15"/>
    </row>
    <row r="9" ht="25.5" customHeight="1">
      <c r="A9" s="26">
        <f t="shared" si="1"/>
        <v>4</v>
      </c>
      <c r="B9" s="32">
        <v>46074.0</v>
      </c>
      <c r="C9" s="27" t="s">
        <v>284</v>
      </c>
      <c r="D9" s="27" t="s">
        <v>76</v>
      </c>
      <c r="E9" s="27" t="s">
        <v>58</v>
      </c>
      <c r="F9" s="28" t="str">
        <f t="array" ref="F9">IF($E9="","",IFERROR(INDEX('Danh mục thiết bị'!$C$6:$C$65,MATCH($E9,'Danh mục thiết bị'!$B$6:$B$65,0)),"Mã TB không tồn tại"))</f>
        <v>Máy in Flexo 6 màu</v>
      </c>
      <c r="G9" s="28" t="str">
        <f t="array" ref="G9">IF($E9="","",IFERROR(INDEX('Danh mục thiết bị'!$D$6:$D$65,MATCH($E9,'Danh mục thiết bị'!$B$6:$B$65,0)),""))</f>
        <v>Máy sản xuất</v>
      </c>
      <c r="H9" s="29" t="s">
        <v>77</v>
      </c>
      <c r="I9" s="31" t="s">
        <v>74</v>
      </c>
      <c r="J9" s="34">
        <v>2.0</v>
      </c>
      <c r="K9" s="34">
        <v>0.0</v>
      </c>
      <c r="L9" s="35">
        <v>240000.0</v>
      </c>
      <c r="M9" s="35">
        <v>1500000.0</v>
      </c>
      <c r="N9" s="35">
        <v>0.0</v>
      </c>
      <c r="O9" s="85">
        <f t="shared" si="2"/>
        <v>1740000</v>
      </c>
      <c r="P9" s="29" t="s">
        <v>86</v>
      </c>
      <c r="Q9" s="27" t="s">
        <v>285</v>
      </c>
      <c r="R9" s="26" t="str">
        <f t="array" ref="R9">IF($E9="","",IF($B9="","Thiếu ngày thực hiện",IF(AND($D9&lt;&gt;"",IFERROR(INDEX('Kế hoạch định kỳ'!$C$6:$C$125,MATCH($D9,'Kế hoạch định kỳ'!$B$6:$B$125,0)),"")&lt;&gt;$E9),"Mã TB không khớp công việc",IF(AND(OR($C9="Bảo trì định kỳ",$C9="Hiệu chuẩn – kiểm định"),$D9=""),"Thiếu mã công việc kế hoạch",IF($Q9="","Thiếu kết quả","OK")))))</f>
        <v>OK</v>
      </c>
      <c r="S9" s="29"/>
    </row>
    <row r="10" ht="25.5" customHeight="1">
      <c r="A10" s="10">
        <f t="shared" si="1"/>
        <v>5</v>
      </c>
      <c r="B10" s="13">
        <v>46087.0</v>
      </c>
      <c r="C10" s="11" t="s">
        <v>284</v>
      </c>
      <c r="D10" s="11" t="s">
        <v>173</v>
      </c>
      <c r="E10" s="11" t="s">
        <v>134</v>
      </c>
      <c r="F10" s="14" t="str">
        <f t="array" ref="F10">IF($E10="","",IFERROR(INDEX('Danh mục thiết bị'!$C$6:$C$65,MATCH($E10,'Danh mục thiết bị'!$B$6:$B$65,0)),"Mã TB không tồn tại"))</f>
        <v>Hệ thống điều hòa trung tâm Chiller</v>
      </c>
      <c r="G10" s="14" t="str">
        <f t="array" ref="G10">IF($E10="","",IFERROR(INDEX('Danh mục thiết bị'!$D$6:$D$65,MATCH($E10,'Danh mục thiết bị'!$B$6:$B$65,0)),""))</f>
        <v>Điều hòa – thông gió</v>
      </c>
      <c r="H10" s="15" t="s">
        <v>178</v>
      </c>
      <c r="I10" s="12" t="s">
        <v>102</v>
      </c>
      <c r="J10" s="19">
        <v>5.0</v>
      </c>
      <c r="K10" s="19">
        <v>0.0</v>
      </c>
      <c r="L10" s="20">
        <v>600000.0</v>
      </c>
      <c r="M10" s="20">
        <v>2800000.0</v>
      </c>
      <c r="N10" s="20">
        <v>0.0</v>
      </c>
      <c r="O10" s="84">
        <f t="shared" si="2"/>
        <v>3400000</v>
      </c>
      <c r="P10" s="15" t="s">
        <v>179</v>
      </c>
      <c r="Q10" s="11" t="s">
        <v>285</v>
      </c>
      <c r="R10" s="10" t="str">
        <f t="array" ref="R10">IF($E10="","",IF($B10="","Thiếu ngày thực hiện",IF(AND($D10&lt;&gt;"",IFERROR(INDEX('Kế hoạch định kỳ'!$C$6:$C$125,MATCH($D10,'Kế hoạch định kỳ'!$B$6:$B$125,0)),"")&lt;&gt;$E10),"Mã TB không khớp công việc",IF(AND(OR($C10="Bảo trì định kỳ",$C10="Hiệu chuẩn – kiểm định"),$D10=""),"Thiếu mã công việc kế hoạch",IF($Q10="","Thiếu kết quả","OK")))))</f>
        <v>OK</v>
      </c>
      <c r="S10" s="15"/>
    </row>
    <row r="11" ht="25.5" customHeight="1">
      <c r="A11" s="26">
        <f t="shared" si="1"/>
        <v>6</v>
      </c>
      <c r="B11" s="32">
        <v>46090.0</v>
      </c>
      <c r="C11" s="27" t="s">
        <v>284</v>
      </c>
      <c r="D11" s="27" t="s">
        <v>92</v>
      </c>
      <c r="E11" s="27" t="s">
        <v>80</v>
      </c>
      <c r="F11" s="28" t="str">
        <f t="array" ref="F11">IF($E11="","",IFERROR(INDEX('Danh mục thiết bị'!$C$6:$C$65,MATCH($E11,'Danh mục thiết bị'!$B$6:$B$65,0)),"Mã TB không tồn tại"))</f>
        <v>Máy cắt thành phẩm tự động</v>
      </c>
      <c r="G11" s="28" t="str">
        <f t="array" ref="G11">IF($E11="","",IFERROR(INDEX('Danh mục thiết bị'!$D$6:$D$65,MATCH($E11,'Danh mục thiết bị'!$B$6:$B$65,0)),""))</f>
        <v>Máy sản xuất</v>
      </c>
      <c r="H11" s="29" t="s">
        <v>93</v>
      </c>
      <c r="I11" s="31" t="s">
        <v>74</v>
      </c>
      <c r="J11" s="34">
        <v>2.0</v>
      </c>
      <c r="K11" s="34">
        <v>0.0</v>
      </c>
      <c r="L11" s="35">
        <v>240000.0</v>
      </c>
      <c r="M11" s="35">
        <v>2500000.0</v>
      </c>
      <c r="N11" s="35">
        <v>0.0</v>
      </c>
      <c r="O11" s="85">
        <f t="shared" si="2"/>
        <v>2740000</v>
      </c>
      <c r="P11" s="29" t="s">
        <v>104</v>
      </c>
      <c r="Q11" s="27" t="s">
        <v>285</v>
      </c>
      <c r="R11" s="26" t="str">
        <f t="array" ref="R11">IF($E11="","",IF($B11="","Thiếu ngày thực hiện",IF(AND($D11&lt;&gt;"",IFERROR(INDEX('Kế hoạch định kỳ'!$C$6:$C$125,MATCH($D11,'Kế hoạch định kỳ'!$B$6:$B$125,0)),"")&lt;&gt;$E11),"Mã TB không khớp công việc",IF(AND(OR($C11="Bảo trì định kỳ",$C11="Hiệu chuẩn – kiểm định"),$D11=""),"Thiếu mã công việc kế hoạch",IF($Q11="","Thiếu kết quả","OK")))))</f>
        <v>OK</v>
      </c>
      <c r="S11" s="29"/>
    </row>
    <row r="12" ht="25.5" customHeight="1">
      <c r="A12" s="10">
        <f t="shared" si="1"/>
        <v>7</v>
      </c>
      <c r="B12" s="13">
        <v>46091.0</v>
      </c>
      <c r="C12" s="11" t="s">
        <v>284</v>
      </c>
      <c r="D12" s="11" t="s">
        <v>87</v>
      </c>
      <c r="E12" s="11" t="s">
        <v>58</v>
      </c>
      <c r="F12" s="14" t="str">
        <f t="array" ref="F12">IF($E12="","",IFERROR(INDEX('Danh mục thiết bị'!$C$6:$C$65,MATCH($E12,'Danh mục thiết bị'!$B$6:$B$65,0)),"Mã TB không tồn tại"))</f>
        <v>Máy in Flexo 6 màu</v>
      </c>
      <c r="G12" s="14" t="str">
        <f t="array" ref="G12">IF($E12="","",IFERROR(INDEX('Danh mục thiết bị'!$D$6:$D$65,MATCH($E12,'Danh mục thiết bị'!$B$6:$B$65,0)),""))</f>
        <v>Máy sản xuất</v>
      </c>
      <c r="H12" s="15" t="s">
        <v>88</v>
      </c>
      <c r="I12" s="12" t="s">
        <v>67</v>
      </c>
      <c r="J12" s="19">
        <v>16.0</v>
      </c>
      <c r="K12" s="19">
        <v>0.0</v>
      </c>
      <c r="L12" s="20">
        <v>1920000.0</v>
      </c>
      <c r="M12" s="20">
        <v>1.2E7</v>
      </c>
      <c r="N12" s="20">
        <v>0.0</v>
      </c>
      <c r="O12" s="84">
        <f t="shared" si="2"/>
        <v>13920000</v>
      </c>
      <c r="P12" s="15" t="s">
        <v>91</v>
      </c>
      <c r="Q12" s="11" t="s">
        <v>285</v>
      </c>
      <c r="R12" s="10" t="str">
        <f t="array" ref="R12">IF($E12="","",IF($B12="","Thiếu ngày thực hiện",IF(AND($D12&lt;&gt;"",IFERROR(INDEX('Kế hoạch định kỳ'!$C$6:$C$125,MATCH($D12,'Kế hoạch định kỳ'!$B$6:$B$125,0)),"")&lt;&gt;$E12),"Mã TB không khớp công việc",IF(AND(OR($C12="Bảo trì định kỳ",$C12="Hiệu chuẩn – kiểm định"),$D12=""),"Thiếu mã công việc kế hoạch",IF($Q12="","Thiếu kết quả","OK")))))</f>
        <v>OK</v>
      </c>
      <c r="S12" s="15"/>
    </row>
    <row r="13" ht="25.5" customHeight="1">
      <c r="A13" s="26">
        <f t="shared" si="1"/>
        <v>8</v>
      </c>
      <c r="B13" s="32">
        <v>46095.0</v>
      </c>
      <c r="C13" s="27" t="s">
        <v>287</v>
      </c>
      <c r="D13" s="27"/>
      <c r="E13" s="27" t="s">
        <v>58</v>
      </c>
      <c r="F13" s="28" t="str">
        <f t="array" ref="F13">IF($E13="","",IFERROR(INDEX('Danh mục thiết bị'!$C$6:$C$65,MATCH($E13,'Danh mục thiết bị'!$B$6:$B$65,0)),"Mã TB không tồn tại"))</f>
        <v>Máy in Flexo 6 màu</v>
      </c>
      <c r="G13" s="28" t="str">
        <f t="array" ref="G13">IF($E13="","",IFERROR(INDEX('Danh mục thiết bị'!$D$6:$D$65,MATCH($E13,'Danh mục thiết bị'!$B$6:$B$65,0)),""))</f>
        <v>Máy sản xuất</v>
      </c>
      <c r="H13" s="29" t="s">
        <v>288</v>
      </c>
      <c r="I13" s="31" t="s">
        <v>74</v>
      </c>
      <c r="J13" s="34">
        <v>8.0</v>
      </c>
      <c r="K13" s="34">
        <v>6.0</v>
      </c>
      <c r="L13" s="35">
        <v>960000.0</v>
      </c>
      <c r="M13" s="35">
        <v>4500000.0</v>
      </c>
      <c r="N13" s="35">
        <v>0.0</v>
      </c>
      <c r="O13" s="85">
        <f t="shared" si="2"/>
        <v>5460000</v>
      </c>
      <c r="P13" s="29" t="s">
        <v>289</v>
      </c>
      <c r="Q13" s="27" t="s">
        <v>285</v>
      </c>
      <c r="R13" s="26" t="str">
        <f t="array" ref="R13">IF($E13="","",IF($B13="","Thiếu ngày thực hiện",IF(AND($D13&lt;&gt;"",IFERROR(INDEX('Kế hoạch định kỳ'!$C$6:$C$125,MATCH($D13,'Kế hoạch định kỳ'!$B$6:$B$125,0)),"")&lt;&gt;$E13),"Mã TB không khớp công việc",IF(AND(OR($C13="Bảo trì định kỳ",$C13="Hiệu chuẩn – kiểm định"),$D13=""),"Thiếu mã công việc kế hoạch",IF($Q13="","Thiếu kết quả","OK")))))</f>
        <v>OK</v>
      </c>
      <c r="S13" s="29" t="s">
        <v>290</v>
      </c>
    </row>
    <row r="14" ht="25.5" customHeight="1">
      <c r="A14" s="10">
        <f t="shared" si="1"/>
        <v>9</v>
      </c>
      <c r="B14" s="13">
        <v>46128.0</v>
      </c>
      <c r="C14" s="11" t="s">
        <v>284</v>
      </c>
      <c r="D14" s="11" t="s">
        <v>149</v>
      </c>
      <c r="E14" s="11" t="s">
        <v>112</v>
      </c>
      <c r="F14" s="14" t="str">
        <f t="array" ref="F14">IF($E14="","",IFERROR(INDEX('Danh mục thiết bị'!$C$6:$C$65,MATCH($E14,'Danh mục thiết bị'!$B$6:$B$65,0)),"Mã TB không tồn tại"))</f>
        <v>Trạm biến áp 1000kVA</v>
      </c>
      <c r="G14" s="14" t="str">
        <f t="array" ref="G14">IF($E14="","",IFERROR(INDEX('Danh mục thiết bị'!$D$6:$D$65,MATCH($E14,'Danh mục thiết bị'!$B$6:$B$65,0)),""))</f>
        <v>Hệ thống điện</v>
      </c>
      <c r="H14" s="15" t="s">
        <v>154</v>
      </c>
      <c r="I14" s="12" t="s">
        <v>107</v>
      </c>
      <c r="J14" s="19">
        <v>4.0</v>
      </c>
      <c r="K14" s="19">
        <v>0.0</v>
      </c>
      <c r="L14" s="20">
        <v>480000.0</v>
      </c>
      <c r="M14" s="20">
        <v>1200000.0</v>
      </c>
      <c r="N14" s="20">
        <v>0.0</v>
      </c>
      <c r="O14" s="84">
        <f t="shared" si="2"/>
        <v>1680000</v>
      </c>
      <c r="P14" s="15" t="s">
        <v>162</v>
      </c>
      <c r="Q14" s="11" t="s">
        <v>285</v>
      </c>
      <c r="R14" s="10" t="str">
        <f t="array" ref="R14">IF($E14="","",IF($B14="","Thiếu ngày thực hiện",IF(AND($D14&lt;&gt;"",IFERROR(INDEX('Kế hoạch định kỳ'!$C$6:$C$125,MATCH($D14,'Kế hoạch định kỳ'!$B$6:$B$125,0)),"")&lt;&gt;$E14),"Mã TB không khớp công việc",IF(AND(OR($C14="Bảo trì định kỳ",$C14="Hiệu chuẩn – kiểm định"),$D14=""),"Thiếu mã công việc kế hoạch",IF($Q14="","Thiếu kết quả","OK")))))</f>
        <v>OK</v>
      </c>
      <c r="S14" s="15"/>
    </row>
    <row r="15" ht="25.5" customHeight="1">
      <c r="A15" s="26">
        <f t="shared" si="1"/>
        <v>10</v>
      </c>
      <c r="B15" s="32">
        <v>46150.0</v>
      </c>
      <c r="C15" s="27" t="s">
        <v>284</v>
      </c>
      <c r="D15" s="27" t="s">
        <v>92</v>
      </c>
      <c r="E15" s="27" t="s">
        <v>80</v>
      </c>
      <c r="F15" s="28" t="str">
        <f t="array" ref="F15">IF($E15="","",IFERROR(INDEX('Danh mục thiết bị'!$C$6:$C$65,MATCH($E15,'Danh mục thiết bị'!$B$6:$B$65,0)),"Mã TB không tồn tại"))</f>
        <v>Máy cắt thành phẩm tự động</v>
      </c>
      <c r="G15" s="28" t="str">
        <f t="array" ref="G15">IF($E15="","",IFERROR(INDEX('Danh mục thiết bị'!$D$6:$D$65,MATCH($E15,'Danh mục thiết bị'!$B$6:$B$65,0)),""))</f>
        <v>Máy sản xuất</v>
      </c>
      <c r="H15" s="29" t="s">
        <v>93</v>
      </c>
      <c r="I15" s="31" t="s">
        <v>74</v>
      </c>
      <c r="J15" s="34">
        <v>2.0</v>
      </c>
      <c r="K15" s="34">
        <v>0.0</v>
      </c>
      <c r="L15" s="35">
        <v>240000.0</v>
      </c>
      <c r="M15" s="35">
        <v>2500000.0</v>
      </c>
      <c r="N15" s="35">
        <v>0.0</v>
      </c>
      <c r="O15" s="85">
        <f t="shared" si="2"/>
        <v>2740000</v>
      </c>
      <c r="P15" s="29" t="s">
        <v>104</v>
      </c>
      <c r="Q15" s="27" t="s">
        <v>285</v>
      </c>
      <c r="R15" s="26" t="str">
        <f t="array" ref="R15">IF($E15="","",IF($B15="","Thiếu ngày thực hiện",IF(AND($D15&lt;&gt;"",IFERROR(INDEX('Kế hoạch định kỳ'!$C$6:$C$125,MATCH($D15,'Kế hoạch định kỳ'!$B$6:$B$125,0)),"")&lt;&gt;$E15),"Mã TB không khớp công việc",IF(AND(OR($C15="Bảo trì định kỳ",$C15="Hiệu chuẩn – kiểm định"),$D15=""),"Thiếu mã công việc kế hoạch",IF($Q15="","Thiếu kết quả","OK")))))</f>
        <v>OK</v>
      </c>
      <c r="S15" s="29"/>
    </row>
    <row r="16" ht="25.5" customHeight="1">
      <c r="A16" s="10">
        <f t="shared" si="1"/>
        <v>11</v>
      </c>
      <c r="B16" s="13">
        <v>46151.0</v>
      </c>
      <c r="C16" s="11" t="s">
        <v>284</v>
      </c>
      <c r="D16" s="11" t="s">
        <v>228</v>
      </c>
      <c r="E16" s="11" t="s">
        <v>216</v>
      </c>
      <c r="F16" s="14" t="str">
        <f t="array" ref="F16">IF($E16="","",IFERROR(INDEX('Danh mục thiết bị'!$C$6:$C$65,MATCH($E16,'Danh mục thiết bị'!$B$6:$B$65,0)),"Mã TB không tồn tại"))</f>
        <v>Máy chủ và thiết bị mạng</v>
      </c>
      <c r="G16" s="14" t="str">
        <f t="array" ref="G16">IF($E16="","",IFERROR(INDEX('Danh mục thiết bị'!$D$6:$D$65,MATCH($E16,'Danh mục thiết bị'!$B$6:$B$65,0)),""))</f>
        <v>Thiết bị CNTT</v>
      </c>
      <c r="H16" s="15" t="s">
        <v>229</v>
      </c>
      <c r="I16" s="12" t="s">
        <v>223</v>
      </c>
      <c r="J16" s="19">
        <v>2.0</v>
      </c>
      <c r="K16" s="19">
        <v>0.0</v>
      </c>
      <c r="L16" s="20">
        <v>240000.0</v>
      </c>
      <c r="M16" s="20">
        <v>200000.0</v>
      </c>
      <c r="N16" s="20">
        <v>0.0</v>
      </c>
      <c r="O16" s="84">
        <f t="shared" si="2"/>
        <v>440000</v>
      </c>
      <c r="P16" s="15" t="s">
        <v>230</v>
      </c>
      <c r="Q16" s="11" t="s">
        <v>285</v>
      </c>
      <c r="R16" s="10" t="str">
        <f t="array" ref="R16">IF($E16="","",IF($B16="","Thiếu ngày thực hiện",IF(AND($D16&lt;&gt;"",IFERROR(INDEX('Kế hoạch định kỳ'!$C$6:$C$125,MATCH($D16,'Kế hoạch định kỳ'!$B$6:$B$125,0)),"")&lt;&gt;$E16),"Mã TB không khớp công việc",IF(AND(OR($C16="Bảo trì định kỳ",$C16="Hiệu chuẩn – kiểm định"),$D16=""),"Thiếu mã công việc kế hoạch",IF($Q16="","Thiếu kết quả","OK")))))</f>
        <v>OK</v>
      </c>
      <c r="S16" s="15"/>
    </row>
    <row r="17" ht="25.5" customHeight="1">
      <c r="A17" s="26">
        <f t="shared" si="1"/>
        <v>12</v>
      </c>
      <c r="B17" s="32">
        <v>46154.0</v>
      </c>
      <c r="C17" s="27" t="s">
        <v>286</v>
      </c>
      <c r="D17" s="27" t="s">
        <v>125</v>
      </c>
      <c r="E17" s="27" t="s">
        <v>96</v>
      </c>
      <c r="F17" s="28" t="str">
        <f t="array" ref="F17">IF($E17="","",IFERROR(INDEX('Danh mục thiết bị'!$C$6:$C$65,MATCH($E17,'Danh mục thiết bị'!$B$6:$B$65,0)),"Mã TB không tồn tại"))</f>
        <v>Máy nén khí trục vít 75kW</v>
      </c>
      <c r="G17" s="28" t="str">
        <f t="array" ref="G17">IF($E17="","",IFERROR(INDEX('Danh mục thiết bị'!$D$6:$D$65,MATCH($E17,'Danh mục thiết bị'!$B$6:$B$65,0)),""))</f>
        <v>Máy nén khí</v>
      </c>
      <c r="H17" s="29" t="s">
        <v>128</v>
      </c>
      <c r="I17" s="31" t="s">
        <v>107</v>
      </c>
      <c r="J17" s="34">
        <v>3.0</v>
      </c>
      <c r="K17" s="34">
        <v>0.0</v>
      </c>
      <c r="L17" s="35">
        <v>360000.0</v>
      </c>
      <c r="M17" s="35">
        <v>0.0</v>
      </c>
      <c r="N17" s="35">
        <v>3000000.0</v>
      </c>
      <c r="O17" s="85">
        <f t="shared" si="2"/>
        <v>3360000</v>
      </c>
      <c r="P17" s="29" t="s">
        <v>146</v>
      </c>
      <c r="Q17" s="27" t="s">
        <v>285</v>
      </c>
      <c r="R17" s="26" t="str">
        <f t="array" ref="R17">IF($E17="","",IF($B17="","Thiếu ngày thực hiện",IF(AND($D17&lt;&gt;"",IFERROR(INDEX('Kế hoạch định kỳ'!$C$6:$C$125,MATCH($D17,'Kế hoạch định kỳ'!$B$6:$B$125,0)),"")&lt;&gt;$E17),"Mã TB không khớp công việc",IF(AND(OR($C17="Bảo trì định kỳ",$C17="Hiệu chuẩn – kiểm định"),$D17=""),"Thiếu mã công việc kế hoạch",IF($Q17="","Thiếu kết quả","OK")))))</f>
        <v>OK</v>
      </c>
      <c r="S17" s="29"/>
    </row>
    <row r="18" ht="25.5" customHeight="1">
      <c r="A18" s="10">
        <f t="shared" si="1"/>
        <v>13</v>
      </c>
      <c r="B18" s="13">
        <v>46160.0</v>
      </c>
      <c r="C18" s="11" t="s">
        <v>284</v>
      </c>
      <c r="D18" s="11" t="s">
        <v>214</v>
      </c>
      <c r="E18" s="11" t="s">
        <v>206</v>
      </c>
      <c r="F18" s="14" t="str">
        <f t="array" ref="F18">IF($E18="","",IFERROR(INDEX('Danh mục thiết bị'!$C$6:$C$65,MATCH($E18,'Danh mục thiết bị'!$B$6:$B$65,0)),"Mã TB không tồn tại"))</f>
        <v>Máy dán thùng carton tự động</v>
      </c>
      <c r="G18" s="14" t="str">
        <f t="array" ref="G18">IF($E18="","",IFERROR(INDEX('Danh mục thiết bị'!$D$6:$D$65,MATCH($E18,'Danh mục thiết bị'!$B$6:$B$65,0)),""))</f>
        <v>Máy sản xuất</v>
      </c>
      <c r="H18" s="15" t="s">
        <v>215</v>
      </c>
      <c r="I18" s="12" t="s">
        <v>74</v>
      </c>
      <c r="J18" s="19">
        <v>3.0</v>
      </c>
      <c r="K18" s="19">
        <v>0.0</v>
      </c>
      <c r="L18" s="20">
        <v>360000.0</v>
      </c>
      <c r="M18" s="20">
        <v>1800000.0</v>
      </c>
      <c r="N18" s="20">
        <v>0.0</v>
      </c>
      <c r="O18" s="84">
        <f t="shared" si="2"/>
        <v>2160000</v>
      </c>
      <c r="P18" s="15" t="s">
        <v>225</v>
      </c>
      <c r="Q18" s="11" t="s">
        <v>285</v>
      </c>
      <c r="R18" s="10" t="str">
        <f t="array" ref="R18">IF($E18="","",IF($B18="","Thiếu ngày thực hiện",IF(AND($D18&lt;&gt;"",IFERROR(INDEX('Kế hoạch định kỳ'!$C$6:$C$125,MATCH($D18,'Kế hoạch định kỳ'!$B$6:$B$125,0)),"")&lt;&gt;$E18),"Mã TB không khớp công việc",IF(AND(OR($C18="Bảo trì định kỳ",$C18="Hiệu chuẩn – kiểm định"),$D18=""),"Thiếu mã công việc kế hoạch",IF($Q18="","Thiếu kết quả","OK")))))</f>
        <v>OK</v>
      </c>
      <c r="S18" s="15"/>
    </row>
    <row r="19" ht="25.5" customHeight="1">
      <c r="A19" s="26">
        <f t="shared" si="1"/>
        <v>14</v>
      </c>
      <c r="B19" s="32">
        <v>46164.0</v>
      </c>
      <c r="C19" s="27" t="s">
        <v>284</v>
      </c>
      <c r="D19" s="27" t="s">
        <v>76</v>
      </c>
      <c r="E19" s="27" t="s">
        <v>58</v>
      </c>
      <c r="F19" s="28" t="str">
        <f t="array" ref="F19">IF($E19="","",IFERROR(INDEX('Danh mục thiết bị'!$C$6:$C$65,MATCH($E19,'Danh mục thiết bị'!$B$6:$B$65,0)),"Mã TB không tồn tại"))</f>
        <v>Máy in Flexo 6 màu</v>
      </c>
      <c r="G19" s="28" t="str">
        <f t="array" ref="G19">IF($E19="","",IFERROR(INDEX('Danh mục thiết bị'!$D$6:$D$65,MATCH($E19,'Danh mục thiết bị'!$B$6:$B$65,0)),""))</f>
        <v>Máy sản xuất</v>
      </c>
      <c r="H19" s="29" t="s">
        <v>77</v>
      </c>
      <c r="I19" s="31" t="s">
        <v>74</v>
      </c>
      <c r="J19" s="34">
        <v>2.0</v>
      </c>
      <c r="K19" s="34">
        <v>0.0</v>
      </c>
      <c r="L19" s="35">
        <v>240000.0</v>
      </c>
      <c r="M19" s="35">
        <v>1500000.0</v>
      </c>
      <c r="N19" s="35">
        <v>0.0</v>
      </c>
      <c r="O19" s="85">
        <f t="shared" si="2"/>
        <v>1740000</v>
      </c>
      <c r="P19" s="29" t="s">
        <v>86</v>
      </c>
      <c r="Q19" s="27" t="s">
        <v>285</v>
      </c>
      <c r="R19" s="26" t="str">
        <f t="array" ref="R19">IF($E19="","",IF($B19="","Thiếu ngày thực hiện",IF(AND($D19&lt;&gt;"",IFERROR(INDEX('Kế hoạch định kỳ'!$C$6:$C$125,MATCH($D19,'Kế hoạch định kỳ'!$B$6:$B$125,0)),"")&lt;&gt;$E19),"Mã TB không khớp công việc",IF(AND(OR($C19="Bảo trì định kỳ",$C19="Hiệu chuẩn – kiểm định"),$D19=""),"Thiếu mã công việc kế hoạch",IF($Q19="","Thiếu kết quả","OK")))))</f>
        <v>OK</v>
      </c>
      <c r="S19" s="29"/>
    </row>
    <row r="20" ht="25.5" customHeight="1">
      <c r="A20" s="10">
        <f t="shared" si="1"/>
        <v>15</v>
      </c>
      <c r="B20" s="13">
        <v>46170.0</v>
      </c>
      <c r="C20" s="11" t="s">
        <v>284</v>
      </c>
      <c r="D20" s="11" t="s">
        <v>231</v>
      </c>
      <c r="E20" s="11" t="s">
        <v>165</v>
      </c>
      <c r="F20" s="14" t="str">
        <f t="array" ref="F20">IF($E20="","",IFERROR(INDEX('Danh mục thiết bị'!$C$6:$C$65,MATCH($E20,'Danh mục thiết bị'!$B$6:$B$65,0)),"Mã TB không tồn tại"))</f>
        <v>Băng tải đóng gói số 2</v>
      </c>
      <c r="G20" s="14" t="str">
        <f t="array" ref="G20">IF($E20="","",IFERROR(INDEX('Danh mục thiết bị'!$D$6:$D$65,MATCH($E20,'Danh mục thiết bị'!$B$6:$B$65,0)),""))</f>
        <v>Băng tải – nâng hạ</v>
      </c>
      <c r="H20" s="15" t="s">
        <v>232</v>
      </c>
      <c r="I20" s="12" t="s">
        <v>107</v>
      </c>
      <c r="J20" s="19">
        <v>1.0</v>
      </c>
      <c r="K20" s="19">
        <v>0.0</v>
      </c>
      <c r="L20" s="20">
        <v>120000.0</v>
      </c>
      <c r="M20" s="20">
        <v>0.0</v>
      </c>
      <c r="N20" s="20">
        <v>0.0</v>
      </c>
      <c r="O20" s="84">
        <f t="shared" si="2"/>
        <v>120000</v>
      </c>
      <c r="P20" s="15"/>
      <c r="Q20" s="11" t="s">
        <v>285</v>
      </c>
      <c r="R20" s="10" t="str">
        <f t="array" ref="R20">IF($E20="","",IF($B20="","Thiếu ngày thực hiện",IF(AND($D20&lt;&gt;"",IFERROR(INDEX('Kế hoạch định kỳ'!$C$6:$C$125,MATCH($D20,'Kế hoạch định kỳ'!$B$6:$B$125,0)),"")&lt;&gt;$E20),"Mã TB không khớp công việc",IF(AND(OR($C20="Bảo trì định kỳ",$C20="Hiệu chuẩn – kiểm định"),$D20=""),"Thiếu mã công việc kế hoạch",IF($Q20="","Thiếu kết quả","OK")))))</f>
        <v>OK</v>
      </c>
      <c r="S20" s="15"/>
    </row>
    <row r="21" ht="25.5" customHeight="1">
      <c r="A21" s="26">
        <f t="shared" si="1"/>
        <v>16</v>
      </c>
      <c r="B21" s="32">
        <v>46175.0</v>
      </c>
      <c r="C21" s="27" t="s">
        <v>287</v>
      </c>
      <c r="D21" s="27"/>
      <c r="E21" s="27" t="s">
        <v>96</v>
      </c>
      <c r="F21" s="28" t="str">
        <f t="array" ref="F21">IF($E21="","",IFERROR(INDEX('Danh mục thiết bị'!$C$6:$C$65,MATCH($E21,'Danh mục thiết bị'!$B$6:$B$65,0)),"Mã TB không tồn tại"))</f>
        <v>Máy nén khí trục vít 75kW</v>
      </c>
      <c r="G21" s="28" t="str">
        <f t="array" ref="G21">IF($E21="","",IFERROR(INDEX('Danh mục thiết bị'!$D$6:$D$65,MATCH($E21,'Danh mục thiết bị'!$B$6:$B$65,0)),""))</f>
        <v>Máy nén khí</v>
      </c>
      <c r="H21" s="29" t="s">
        <v>291</v>
      </c>
      <c r="I21" s="31" t="s">
        <v>74</v>
      </c>
      <c r="J21" s="34">
        <v>4.0</v>
      </c>
      <c r="K21" s="34">
        <v>3.0</v>
      </c>
      <c r="L21" s="35">
        <v>480000.0</v>
      </c>
      <c r="M21" s="35">
        <v>1200000.0</v>
      </c>
      <c r="N21" s="35">
        <v>0.0</v>
      </c>
      <c r="O21" s="85">
        <f t="shared" si="2"/>
        <v>1680000</v>
      </c>
      <c r="P21" s="29" t="s">
        <v>292</v>
      </c>
      <c r="Q21" s="27" t="s">
        <v>285</v>
      </c>
      <c r="R21" s="26" t="str">
        <f t="array" ref="R21">IF($E21="","",IF($B21="","Thiếu ngày thực hiện",IF(AND($D21&lt;&gt;"",IFERROR(INDEX('Kế hoạch định kỳ'!$C$6:$C$125,MATCH($D21,'Kế hoạch định kỳ'!$B$6:$B$125,0)),"")&lt;&gt;$E21),"Mã TB không khớp công việc",IF(AND(OR($C21="Bảo trì định kỳ",$C21="Hiệu chuẩn – kiểm định"),$D21=""),"Thiếu mã công việc kế hoạch",IF($Q21="","Thiếu kết quả","OK")))))</f>
        <v>OK</v>
      </c>
      <c r="S21" s="29" t="s">
        <v>293</v>
      </c>
    </row>
    <row r="22" ht="25.5" customHeight="1">
      <c r="A22" s="10">
        <f t="shared" si="1"/>
        <v>17</v>
      </c>
      <c r="B22" s="13">
        <v>46177.0</v>
      </c>
      <c r="C22" s="11" t="s">
        <v>284</v>
      </c>
      <c r="D22" s="11" t="s">
        <v>173</v>
      </c>
      <c r="E22" s="11" t="s">
        <v>134</v>
      </c>
      <c r="F22" s="14" t="str">
        <f t="array" ref="F22">IF($E22="","",IFERROR(INDEX('Danh mục thiết bị'!$C$6:$C$65,MATCH($E22,'Danh mục thiết bị'!$B$6:$B$65,0)),"Mã TB không tồn tại"))</f>
        <v>Hệ thống điều hòa trung tâm Chiller</v>
      </c>
      <c r="G22" s="14" t="str">
        <f t="array" ref="G22">IF($E22="","",IFERROR(INDEX('Danh mục thiết bị'!$D$6:$D$65,MATCH($E22,'Danh mục thiết bị'!$B$6:$B$65,0)),""))</f>
        <v>Điều hòa – thông gió</v>
      </c>
      <c r="H22" s="15" t="s">
        <v>178</v>
      </c>
      <c r="I22" s="12" t="s">
        <v>102</v>
      </c>
      <c r="J22" s="19">
        <v>5.0</v>
      </c>
      <c r="K22" s="19">
        <v>0.0</v>
      </c>
      <c r="L22" s="20">
        <v>600000.0</v>
      </c>
      <c r="M22" s="20">
        <v>2800000.0</v>
      </c>
      <c r="N22" s="20">
        <v>0.0</v>
      </c>
      <c r="O22" s="84">
        <f t="shared" si="2"/>
        <v>3400000</v>
      </c>
      <c r="P22" s="15" t="s">
        <v>179</v>
      </c>
      <c r="Q22" s="11" t="s">
        <v>285</v>
      </c>
      <c r="R22" s="10" t="str">
        <f t="array" ref="R22">IF($E22="","",IF($B22="","Thiếu ngày thực hiện",IF(AND($D22&lt;&gt;"",IFERROR(INDEX('Kế hoạch định kỳ'!$C$6:$C$125,MATCH($D22,'Kế hoạch định kỳ'!$B$6:$B$125,0)),"")&lt;&gt;$E22),"Mã TB không khớp công việc",IF(AND(OR($C22="Bảo trì định kỳ",$C22="Hiệu chuẩn – kiểm định"),$D22=""),"Thiếu mã công việc kế hoạch",IF($Q22="","Thiếu kết quả","OK")))))</f>
        <v>OK</v>
      </c>
      <c r="S22" s="15"/>
    </row>
    <row r="23" ht="25.5" customHeight="1">
      <c r="A23" s="26">
        <f t="shared" si="1"/>
        <v>18</v>
      </c>
      <c r="B23" s="32">
        <v>46193.0</v>
      </c>
      <c r="C23" s="27" t="s">
        <v>284</v>
      </c>
      <c r="D23" s="27" t="s">
        <v>120</v>
      </c>
      <c r="E23" s="27" t="s">
        <v>96</v>
      </c>
      <c r="F23" s="28" t="str">
        <f t="array" ref="F23">IF($E23="","",IFERROR(INDEX('Danh mục thiết bị'!$C$6:$C$65,MATCH($E23,'Danh mục thiết bị'!$B$6:$B$65,0)),"Mã TB không tồn tại"))</f>
        <v>Máy nén khí trục vít 75kW</v>
      </c>
      <c r="G23" s="28" t="str">
        <f t="array" ref="G23">IF($E23="","",IFERROR(INDEX('Danh mục thiết bị'!$D$6:$D$65,MATCH($E23,'Danh mục thiết bị'!$B$6:$B$65,0)),""))</f>
        <v>Máy nén khí</v>
      </c>
      <c r="H23" s="29" t="s">
        <v>121</v>
      </c>
      <c r="I23" s="31" t="s">
        <v>74</v>
      </c>
      <c r="J23" s="34">
        <v>4.0</v>
      </c>
      <c r="K23" s="34">
        <v>0.0</v>
      </c>
      <c r="L23" s="35">
        <v>480000.0</v>
      </c>
      <c r="M23" s="35">
        <v>6500000.0</v>
      </c>
      <c r="N23" s="35">
        <v>0.0</v>
      </c>
      <c r="O23" s="85">
        <f t="shared" si="2"/>
        <v>6980000</v>
      </c>
      <c r="P23" s="29" t="s">
        <v>124</v>
      </c>
      <c r="Q23" s="27" t="s">
        <v>285</v>
      </c>
      <c r="R23" s="26" t="str">
        <f t="array" ref="R23">IF($E23="","",IF($B23="","Thiếu ngày thực hiện",IF(AND($D23&lt;&gt;"",IFERROR(INDEX('Kế hoạch định kỳ'!$C$6:$C$125,MATCH($D23,'Kế hoạch định kỳ'!$B$6:$B$125,0)),"")&lt;&gt;$E23),"Mã TB không khớp công việc",IF(AND(OR($C23="Bảo trì định kỳ",$C23="Hiệu chuẩn – kiểm định"),$D23=""),"Thiếu mã công việc kế hoạch",IF($Q23="","Thiếu kết quả","OK")))))</f>
        <v>OK</v>
      </c>
      <c r="S23" s="29"/>
    </row>
    <row r="24" ht="25.5" customHeight="1">
      <c r="A24" s="10">
        <f t="shared" si="1"/>
        <v>19</v>
      </c>
      <c r="B24" s="13">
        <v>46201.0</v>
      </c>
      <c r="C24" s="11" t="s">
        <v>284</v>
      </c>
      <c r="D24" s="11" t="s">
        <v>105</v>
      </c>
      <c r="E24" s="11" t="s">
        <v>80</v>
      </c>
      <c r="F24" s="14" t="str">
        <f t="array" ref="F24">IF($E24="","",IFERROR(INDEX('Danh mục thiết bị'!$C$6:$C$65,MATCH($E24,'Danh mục thiết bị'!$B$6:$B$65,0)),"Mã TB không tồn tại"))</f>
        <v>Máy cắt thành phẩm tự động</v>
      </c>
      <c r="G24" s="14" t="str">
        <f t="array" ref="G24">IF($E24="","",IFERROR(INDEX('Danh mục thiết bị'!$D$6:$D$65,MATCH($E24,'Danh mục thiết bị'!$B$6:$B$65,0)),""))</f>
        <v>Máy sản xuất</v>
      </c>
      <c r="H24" s="15" t="s">
        <v>106</v>
      </c>
      <c r="I24" s="12" t="s">
        <v>107</v>
      </c>
      <c r="J24" s="19">
        <v>1.5</v>
      </c>
      <c r="K24" s="19">
        <v>0.0</v>
      </c>
      <c r="L24" s="20">
        <v>180000.0</v>
      </c>
      <c r="M24" s="20">
        <v>200000.0</v>
      </c>
      <c r="N24" s="20">
        <v>0.0</v>
      </c>
      <c r="O24" s="84">
        <f t="shared" si="2"/>
        <v>380000</v>
      </c>
      <c r="P24" s="15" t="s">
        <v>108</v>
      </c>
      <c r="Q24" s="11" t="s">
        <v>285</v>
      </c>
      <c r="R24" s="10" t="str">
        <f t="array" ref="R24">IF($E24="","",IF($B24="","Thiếu ngày thực hiện",IF(AND($D24&lt;&gt;"",IFERROR(INDEX('Kế hoạch định kỳ'!$C$6:$C$125,MATCH($D24,'Kế hoạch định kỳ'!$B$6:$B$125,0)),"")&lt;&gt;$E24),"Mã TB không khớp công việc",IF(AND(OR($C24="Bảo trì định kỳ",$C24="Hiệu chuẩn – kiểm định"),$D24=""),"Thiếu mã công việc kế hoạch",IF($Q24="","Thiếu kết quả","OK")))))</f>
        <v>OK</v>
      </c>
      <c r="S24" s="15"/>
    </row>
    <row r="25" ht="25.5" customHeight="1">
      <c r="A25" s="26">
        <f t="shared" si="1"/>
        <v>20</v>
      </c>
      <c r="B25" s="32">
        <v>46204.0</v>
      </c>
      <c r="C25" s="27" t="s">
        <v>284</v>
      </c>
      <c r="D25" s="27" t="s">
        <v>205</v>
      </c>
      <c r="E25" s="27" t="s">
        <v>198</v>
      </c>
      <c r="F25" s="28" t="str">
        <f t="array" ref="F25">IF($E25="","",IFERROR(INDEX('Danh mục thiết bị'!$C$6:$C$65,MATCH($E25,'Danh mục thiết bị'!$B$6:$B$65,0)),"Mã TB không tồn tại"))</f>
        <v>Xe nâng điện 2,5 tấn #2</v>
      </c>
      <c r="G25" s="28" t="str">
        <f t="array" ref="G25">IF($E25="","",IFERROR(INDEX('Danh mục thiết bị'!$D$6:$D$65,MATCH($E25,'Danh mục thiết bị'!$B$6:$B$65,0)),""))</f>
        <v>Phương tiện – xe nâng</v>
      </c>
      <c r="H25" s="29" t="s">
        <v>197</v>
      </c>
      <c r="I25" s="31" t="s">
        <v>102</v>
      </c>
      <c r="J25" s="34">
        <v>1.5</v>
      </c>
      <c r="K25" s="34">
        <v>0.0</v>
      </c>
      <c r="L25" s="35">
        <v>180000.0</v>
      </c>
      <c r="M25" s="35">
        <v>150000.0</v>
      </c>
      <c r="N25" s="35">
        <v>0.0</v>
      </c>
      <c r="O25" s="85">
        <f t="shared" si="2"/>
        <v>330000</v>
      </c>
      <c r="P25" s="29" t="s">
        <v>201</v>
      </c>
      <c r="Q25" s="27" t="s">
        <v>285</v>
      </c>
      <c r="R25" s="26" t="str">
        <f t="array" ref="R25">IF($E25="","",IF($B25="","Thiếu ngày thực hiện",IF(AND($D25&lt;&gt;"",IFERROR(INDEX('Kế hoạch định kỳ'!$C$6:$C$125,MATCH($D25,'Kế hoạch định kỳ'!$B$6:$B$125,0)),"")&lt;&gt;$E25),"Mã TB không khớp công việc",IF(AND(OR($C25="Bảo trì định kỳ",$C25="Hiệu chuẩn – kiểm định"),$D25=""),"Thiếu mã công việc kế hoạch",IF($Q25="","Thiếu kết quả","OK")))))</f>
        <v>OK</v>
      </c>
      <c r="S25" s="29"/>
    </row>
    <row r="26" ht="25.5" customHeight="1">
      <c r="A26" s="10">
        <f t="shared" si="1"/>
        <v>21</v>
      </c>
      <c r="B26" s="13">
        <v>46210.0</v>
      </c>
      <c r="C26" s="11" t="s">
        <v>284</v>
      </c>
      <c r="D26" s="11" t="s">
        <v>92</v>
      </c>
      <c r="E26" s="11" t="s">
        <v>80</v>
      </c>
      <c r="F26" s="14" t="str">
        <f t="array" ref="F26">IF($E26="","",IFERROR(INDEX('Danh mục thiết bị'!$C$6:$C$65,MATCH($E26,'Danh mục thiết bị'!$B$6:$B$65,0)),"Mã TB không tồn tại"))</f>
        <v>Máy cắt thành phẩm tự động</v>
      </c>
      <c r="G26" s="14" t="str">
        <f t="array" ref="G26">IF($E26="","",IFERROR(INDEX('Danh mục thiết bị'!$D$6:$D$65,MATCH($E26,'Danh mục thiết bị'!$B$6:$B$65,0)),""))</f>
        <v>Máy sản xuất</v>
      </c>
      <c r="H26" s="15" t="s">
        <v>93</v>
      </c>
      <c r="I26" s="12" t="s">
        <v>74</v>
      </c>
      <c r="J26" s="19">
        <v>2.0</v>
      </c>
      <c r="K26" s="19">
        <v>0.0</v>
      </c>
      <c r="L26" s="20">
        <v>240000.0</v>
      </c>
      <c r="M26" s="20">
        <v>2500000.0</v>
      </c>
      <c r="N26" s="20">
        <v>0.0</v>
      </c>
      <c r="O26" s="84">
        <f t="shared" si="2"/>
        <v>2740000</v>
      </c>
      <c r="P26" s="15" t="s">
        <v>104</v>
      </c>
      <c r="Q26" s="11" t="s">
        <v>285</v>
      </c>
      <c r="R26" s="10" t="str">
        <f t="array" ref="R26">IF($E26="","",IF($B26="","Thiếu ngày thực hiện",IF(AND($D26&lt;&gt;"",IFERROR(INDEX('Kế hoạch định kỳ'!$C$6:$C$125,MATCH($D26,'Kế hoạch định kỳ'!$B$6:$B$125,0)),"")&lt;&gt;$E26),"Mã TB không khớp công việc",IF(AND(OR($C26="Bảo trì định kỳ",$C26="Hiệu chuẩn – kiểm định"),$D26=""),"Thiếu mã công việc kế hoạch",IF($Q26="","Thiếu kết quả","OK")))))</f>
        <v>OK</v>
      </c>
      <c r="S26" s="15"/>
    </row>
    <row r="27" ht="25.5" customHeight="1">
      <c r="A27" s="26">
        <f t="shared" si="1"/>
        <v>22</v>
      </c>
      <c r="B27" s="32">
        <v>46210.0</v>
      </c>
      <c r="C27" s="27" t="s">
        <v>284</v>
      </c>
      <c r="D27" s="27" t="s">
        <v>194</v>
      </c>
      <c r="E27" s="27" t="s">
        <v>165</v>
      </c>
      <c r="F27" s="28" t="str">
        <f t="array" ref="F27">IF($E27="","",IFERROR(INDEX('Danh mục thiết bị'!$C$6:$C$65,MATCH($E27,'Danh mục thiết bị'!$B$6:$B$65,0)),"Mã TB không tồn tại"))</f>
        <v>Băng tải đóng gói số 2</v>
      </c>
      <c r="G27" s="28" t="str">
        <f t="array" ref="G27">IF($E27="","",IFERROR(INDEX('Danh mục thiết bị'!$D$6:$D$65,MATCH($E27,'Danh mục thiết bị'!$B$6:$B$65,0)),""))</f>
        <v>Băng tải – nâng hạ</v>
      </c>
      <c r="H27" s="29" t="s">
        <v>195</v>
      </c>
      <c r="I27" s="31" t="s">
        <v>74</v>
      </c>
      <c r="J27" s="34">
        <v>2.0</v>
      </c>
      <c r="K27" s="34">
        <v>0.0</v>
      </c>
      <c r="L27" s="35">
        <v>240000.0</v>
      </c>
      <c r="M27" s="35">
        <v>250000.0</v>
      </c>
      <c r="N27" s="35">
        <v>0.0</v>
      </c>
      <c r="O27" s="85">
        <f t="shared" si="2"/>
        <v>490000</v>
      </c>
      <c r="P27" s="29" t="s">
        <v>108</v>
      </c>
      <c r="Q27" s="27" t="s">
        <v>285</v>
      </c>
      <c r="R27" s="26" t="str">
        <f t="array" ref="R27">IF($E27="","",IF($B27="","Thiếu ngày thực hiện",IF(AND($D27&lt;&gt;"",IFERROR(INDEX('Kế hoạch định kỳ'!$C$6:$C$125,MATCH($D27,'Kế hoạch định kỳ'!$B$6:$B$125,0)),"")&lt;&gt;$E27),"Mã TB không khớp công việc",IF(AND(OR($C27="Bảo trì định kỳ",$C27="Hiệu chuẩn – kiểm định"),$D27=""),"Thiếu mã công việc kế hoạch",IF($Q27="","Thiếu kết quả","OK")))))</f>
        <v>OK</v>
      </c>
      <c r="S27" s="29"/>
    </row>
    <row r="28" ht="25.5" customHeight="1">
      <c r="A28" s="10">
        <f t="shared" si="1"/>
        <v>23</v>
      </c>
      <c r="B28" s="13">
        <v>46215.0</v>
      </c>
      <c r="C28" s="11" t="s">
        <v>284</v>
      </c>
      <c r="D28" s="11" t="s">
        <v>231</v>
      </c>
      <c r="E28" s="11" t="s">
        <v>165</v>
      </c>
      <c r="F28" s="14" t="str">
        <f t="array" ref="F28">IF($E28="","",IFERROR(INDEX('Danh mục thiết bị'!$C$6:$C$65,MATCH($E28,'Danh mục thiết bị'!$B$6:$B$65,0)),"Mã TB không tồn tại"))</f>
        <v>Băng tải đóng gói số 2</v>
      </c>
      <c r="G28" s="14" t="str">
        <f t="array" ref="G28">IF($E28="","",IFERROR(INDEX('Danh mục thiết bị'!$D$6:$D$65,MATCH($E28,'Danh mục thiết bị'!$B$6:$B$65,0)),""))</f>
        <v>Băng tải – nâng hạ</v>
      </c>
      <c r="H28" s="15" t="s">
        <v>232</v>
      </c>
      <c r="I28" s="12" t="s">
        <v>107</v>
      </c>
      <c r="J28" s="19">
        <v>1.0</v>
      </c>
      <c r="K28" s="19">
        <v>0.0</v>
      </c>
      <c r="L28" s="20">
        <v>120000.0</v>
      </c>
      <c r="M28" s="20">
        <v>0.0</v>
      </c>
      <c r="N28" s="20">
        <v>0.0</v>
      </c>
      <c r="O28" s="84">
        <f t="shared" si="2"/>
        <v>120000</v>
      </c>
      <c r="P28" s="15"/>
      <c r="Q28" s="11" t="s">
        <v>285</v>
      </c>
      <c r="R28" s="10" t="str">
        <f t="array" ref="R28">IF($E28="","",IF($B28="","Thiếu ngày thực hiện",IF(AND($D28&lt;&gt;"",IFERROR(INDEX('Kế hoạch định kỳ'!$C$6:$C$125,MATCH($D28,'Kế hoạch định kỳ'!$B$6:$B$125,0)),"")&lt;&gt;$E28),"Mã TB không khớp công việc",IF(AND(OR($C28="Bảo trì định kỳ",$C28="Hiệu chuẩn – kiểm định"),$D28=""),"Thiếu mã công việc kế hoạch",IF($Q28="","Thiếu kết quả","OK")))))</f>
        <v>OK</v>
      </c>
      <c r="S28" s="15"/>
    </row>
    <row r="29" ht="25.5" customHeight="1">
      <c r="A29" s="26">
        <f t="shared" si="1"/>
        <v>24</v>
      </c>
      <c r="B29" s="32">
        <v>46217.0</v>
      </c>
      <c r="C29" s="27" t="s">
        <v>284</v>
      </c>
      <c r="D29" s="27" t="s">
        <v>60</v>
      </c>
      <c r="E29" s="27" t="s">
        <v>58</v>
      </c>
      <c r="F29" s="28" t="str">
        <f t="array" ref="F29">IF($E29="","",IFERROR(INDEX('Danh mục thiết bị'!$C$6:$C$65,MATCH($E29,'Danh mục thiết bị'!$B$6:$B$65,0)),"Mã TB không tồn tại"))</f>
        <v>Máy in Flexo 6 màu</v>
      </c>
      <c r="G29" s="28" t="str">
        <f t="array" ref="G29">IF($E29="","",IFERROR(INDEX('Danh mục thiết bị'!$D$6:$D$65,MATCH($E29,'Danh mục thiết bị'!$B$6:$B$65,0)),""))</f>
        <v>Máy sản xuất</v>
      </c>
      <c r="H29" s="29" t="s">
        <v>69</v>
      </c>
      <c r="I29" s="31" t="s">
        <v>74</v>
      </c>
      <c r="J29" s="34">
        <v>3.0</v>
      </c>
      <c r="K29" s="34">
        <v>0.0</v>
      </c>
      <c r="L29" s="35">
        <v>360000.0</v>
      </c>
      <c r="M29" s="35">
        <v>400000.0</v>
      </c>
      <c r="N29" s="35">
        <v>0.0</v>
      </c>
      <c r="O29" s="85">
        <f t="shared" si="2"/>
        <v>760000</v>
      </c>
      <c r="P29" s="29" t="s">
        <v>75</v>
      </c>
      <c r="Q29" s="27" t="s">
        <v>285</v>
      </c>
      <c r="R29" s="26" t="str">
        <f t="array" ref="R29">IF($E29="","",IF($B29="","Thiếu ngày thực hiện",IF(AND($D29&lt;&gt;"",IFERROR(INDEX('Kế hoạch định kỳ'!$C$6:$C$125,MATCH($D29,'Kế hoạch định kỳ'!$B$6:$B$125,0)),"")&lt;&gt;$E29),"Mã TB không khớp công việc",IF(AND(OR($C29="Bảo trì định kỳ",$C29="Hiệu chuẩn – kiểm định"),$D29=""),"Thiếu mã công việc kế hoạch",IF($Q29="","Thiếu kết quả","OK")))))</f>
        <v>OK</v>
      </c>
      <c r="S29" s="29"/>
    </row>
    <row r="30" ht="25.5" customHeight="1">
      <c r="A30" s="10">
        <f t="shared" si="1"/>
        <v>25</v>
      </c>
      <c r="B30" s="13">
        <v>46218.0</v>
      </c>
      <c r="C30" s="11" t="s">
        <v>284</v>
      </c>
      <c r="D30" s="11" t="s">
        <v>149</v>
      </c>
      <c r="E30" s="11" t="s">
        <v>112</v>
      </c>
      <c r="F30" s="14" t="str">
        <f t="array" ref="F30">IF($E30="","",IFERROR(INDEX('Danh mục thiết bị'!$C$6:$C$65,MATCH($E30,'Danh mục thiết bị'!$B$6:$B$65,0)),"Mã TB không tồn tại"))</f>
        <v>Trạm biến áp 1000kVA</v>
      </c>
      <c r="G30" s="14" t="str">
        <f t="array" ref="G30">IF($E30="","",IFERROR(INDEX('Danh mục thiết bị'!$D$6:$D$65,MATCH($E30,'Danh mục thiết bị'!$B$6:$B$65,0)),""))</f>
        <v>Hệ thống điện</v>
      </c>
      <c r="H30" s="15" t="s">
        <v>154</v>
      </c>
      <c r="I30" s="12" t="s">
        <v>107</v>
      </c>
      <c r="J30" s="19">
        <v>4.0</v>
      </c>
      <c r="K30" s="19">
        <v>0.0</v>
      </c>
      <c r="L30" s="20">
        <v>480000.0</v>
      </c>
      <c r="M30" s="20">
        <v>1200000.0</v>
      </c>
      <c r="N30" s="20">
        <v>0.0</v>
      </c>
      <c r="O30" s="84">
        <f t="shared" si="2"/>
        <v>1680000</v>
      </c>
      <c r="P30" s="15" t="s">
        <v>162</v>
      </c>
      <c r="Q30" s="11" t="s">
        <v>285</v>
      </c>
      <c r="R30" s="10" t="str">
        <f t="array" ref="R30">IF($E30="","",IF($B30="","Thiếu ngày thực hiện",IF(AND($D30&lt;&gt;"",IFERROR(INDEX('Kế hoạch định kỳ'!$C$6:$C$125,MATCH($D30,'Kế hoạch định kỳ'!$B$6:$B$125,0)),"")&lt;&gt;$E30),"Mã TB không khớp công việc",IF(AND(OR($C30="Bảo trì định kỳ",$C30="Hiệu chuẩn – kiểm định"),$D30=""),"Thiếu mã công việc kế hoạch",IF($Q30="","Thiếu kết quả","OK")))))</f>
        <v>OK</v>
      </c>
      <c r="S30" s="15"/>
    </row>
    <row r="31" ht="25.5" customHeight="1">
      <c r="A31" s="26">
        <f t="shared" si="1"/>
        <v>26</v>
      </c>
      <c r="B31" s="32">
        <v>46218.0</v>
      </c>
      <c r="C31" s="27" t="s">
        <v>294</v>
      </c>
      <c r="D31" s="27"/>
      <c r="E31" s="27" t="s">
        <v>112</v>
      </c>
      <c r="F31" s="28" t="str">
        <f t="array" ref="F31">IF($E31="","",IFERROR(INDEX('Danh mục thiết bị'!$C$6:$C$65,MATCH($E31,'Danh mục thiết bị'!$B$6:$B$65,0)),"Mã TB không tồn tại"))</f>
        <v>Trạm biến áp 1000kVA</v>
      </c>
      <c r="G31" s="28" t="str">
        <f t="array" ref="G31">IF($E31="","",IFERROR(INDEX('Danh mục thiết bị'!$D$6:$D$65,MATCH($E31,'Danh mục thiết bị'!$B$6:$B$65,0)),""))</f>
        <v>Hệ thống điện</v>
      </c>
      <c r="H31" s="29" t="s">
        <v>295</v>
      </c>
      <c r="I31" s="31" t="s">
        <v>107</v>
      </c>
      <c r="J31" s="34">
        <v>5.0</v>
      </c>
      <c r="K31" s="34">
        <v>0.0</v>
      </c>
      <c r="L31" s="35">
        <v>600000.0</v>
      </c>
      <c r="M31" s="35">
        <v>2000000.0</v>
      </c>
      <c r="N31" s="35">
        <v>0.0</v>
      </c>
      <c r="O31" s="85">
        <f t="shared" si="2"/>
        <v>2600000</v>
      </c>
      <c r="P31" s="29" t="s">
        <v>296</v>
      </c>
      <c r="Q31" s="27" t="s">
        <v>285</v>
      </c>
      <c r="R31" s="26" t="str">
        <f t="array" ref="R31">IF($E31="","",IF($B31="","Thiếu ngày thực hiện",IF(AND($D31&lt;&gt;"",IFERROR(INDEX('Kế hoạch định kỳ'!$C$6:$C$125,MATCH($D31,'Kế hoạch định kỳ'!$B$6:$B$125,0)),"")&lt;&gt;$E31),"Mã TB không khớp công việc",IF(AND(OR($C31="Bảo trì định kỳ",$C31="Hiệu chuẩn – kiểm định"),$D31=""),"Thiếu mã công việc kế hoạch",IF($Q31="","Thiếu kết quả","OK")))))</f>
        <v>OK</v>
      </c>
      <c r="S31" s="29" t="s">
        <v>297</v>
      </c>
    </row>
    <row r="32" ht="25.5" customHeight="1">
      <c r="A32" s="10">
        <f t="shared" si="1"/>
        <v>27</v>
      </c>
      <c r="B32" s="13">
        <v>46220.0</v>
      </c>
      <c r="C32" s="11" t="s">
        <v>284</v>
      </c>
      <c r="D32" s="11" t="s">
        <v>211</v>
      </c>
      <c r="E32" s="11" t="s">
        <v>206</v>
      </c>
      <c r="F32" s="14" t="str">
        <f t="array" ref="F32">IF($E32="","",IFERROR(INDEX('Danh mục thiết bị'!$C$6:$C$65,MATCH($E32,'Danh mục thiết bị'!$B$6:$B$65,0)),"Mã TB không tồn tại"))</f>
        <v>Máy dán thùng carton tự động</v>
      </c>
      <c r="G32" s="14" t="str">
        <f t="array" ref="G32">IF($E32="","",IFERROR(INDEX('Danh mục thiết bị'!$D$6:$D$65,MATCH($E32,'Danh mục thiết bị'!$B$6:$B$65,0)),""))</f>
        <v>Máy sản xuất</v>
      </c>
      <c r="H32" s="15" t="s">
        <v>212</v>
      </c>
      <c r="I32" s="12" t="s">
        <v>74</v>
      </c>
      <c r="J32" s="19">
        <v>2.0</v>
      </c>
      <c r="K32" s="19">
        <v>0.0</v>
      </c>
      <c r="L32" s="20">
        <v>240000.0</v>
      </c>
      <c r="M32" s="20">
        <v>300000.0</v>
      </c>
      <c r="N32" s="20">
        <v>0.0</v>
      </c>
      <c r="O32" s="84">
        <f t="shared" si="2"/>
        <v>540000</v>
      </c>
      <c r="P32" s="15" t="s">
        <v>213</v>
      </c>
      <c r="Q32" s="11" t="s">
        <v>285</v>
      </c>
      <c r="R32" s="10" t="str">
        <f t="array" ref="R32">IF($E32="","",IF($B32="","Thiếu ngày thực hiện",IF(AND($D32&lt;&gt;"",IFERROR(INDEX('Kế hoạch định kỳ'!$C$6:$C$125,MATCH($D32,'Kế hoạch định kỳ'!$B$6:$B$125,0)),"")&lt;&gt;$E32),"Mã TB không khớp công việc",IF(AND(OR($C32="Bảo trì định kỳ",$C32="Hiệu chuẩn – kiểm định"),$D32=""),"Thiếu mã công việc kế hoạch",IF($Q32="","Thiếu kết quả","OK")))))</f>
        <v>OK</v>
      </c>
      <c r="S32" s="15"/>
    </row>
    <row r="33" ht="25.5" customHeight="1">
      <c r="A33" s="26">
        <f t="shared" si="1"/>
        <v>28</v>
      </c>
      <c r="B33" s="32">
        <v>46231.0</v>
      </c>
      <c r="C33" s="27" t="s">
        <v>284</v>
      </c>
      <c r="D33" s="27" t="s">
        <v>105</v>
      </c>
      <c r="E33" s="27" t="s">
        <v>80</v>
      </c>
      <c r="F33" s="28" t="str">
        <f t="array" ref="F33">IF($E33="","",IFERROR(INDEX('Danh mục thiết bị'!$C$6:$C$65,MATCH($E33,'Danh mục thiết bị'!$B$6:$B$65,0)),"Mã TB không tồn tại"))</f>
        <v>Máy cắt thành phẩm tự động</v>
      </c>
      <c r="G33" s="28" t="str">
        <f t="array" ref="G33">IF($E33="","",IFERROR(INDEX('Danh mục thiết bị'!$D$6:$D$65,MATCH($E33,'Danh mục thiết bị'!$B$6:$B$65,0)),""))</f>
        <v>Máy sản xuất</v>
      </c>
      <c r="H33" s="29" t="s">
        <v>106</v>
      </c>
      <c r="I33" s="31" t="s">
        <v>107</v>
      </c>
      <c r="J33" s="34">
        <v>1.5</v>
      </c>
      <c r="K33" s="34">
        <v>0.0</v>
      </c>
      <c r="L33" s="35">
        <v>180000.0</v>
      </c>
      <c r="M33" s="35">
        <v>200000.0</v>
      </c>
      <c r="N33" s="35">
        <v>0.0</v>
      </c>
      <c r="O33" s="85">
        <f t="shared" si="2"/>
        <v>380000</v>
      </c>
      <c r="P33" s="29" t="s">
        <v>108</v>
      </c>
      <c r="Q33" s="27" t="s">
        <v>285</v>
      </c>
      <c r="R33" s="26" t="str">
        <f t="array" ref="R33">IF($E33="","",IF($B33="","Thiếu ngày thực hiện",IF(AND($D33&lt;&gt;"",IFERROR(INDEX('Kế hoạch định kỳ'!$C$6:$C$125,MATCH($D33,'Kế hoạch định kỳ'!$B$6:$B$125,0)),"")&lt;&gt;$E33),"Mã TB không khớp công việc",IF(AND(OR($C33="Bảo trì định kỳ",$C33="Hiệu chuẩn – kiểm định"),$D33=""),"Thiếu mã công việc kế hoạch",IF($Q33="","Thiếu kết quả","OK")))))</f>
        <v>OK</v>
      </c>
      <c r="S33" s="29"/>
    </row>
    <row r="34" ht="25.5" customHeight="1">
      <c r="A34" s="10">
        <f t="shared" si="1"/>
        <v>29</v>
      </c>
      <c r="B34" s="13">
        <v>46233.0</v>
      </c>
      <c r="C34" s="11" t="s">
        <v>284</v>
      </c>
      <c r="D34" s="11" t="s">
        <v>196</v>
      </c>
      <c r="E34" s="11" t="s">
        <v>182</v>
      </c>
      <c r="F34" s="14" t="str">
        <f t="array" ref="F34">IF($E34="","",IFERROR(INDEX('Danh mục thiết bị'!$C$6:$C$65,MATCH($E34,'Danh mục thiết bị'!$B$6:$B$65,0)),"Mã TB không tồn tại"))</f>
        <v>Xe nâng điện 2,5 tấn #1</v>
      </c>
      <c r="G34" s="14" t="str">
        <f t="array" ref="G34">IF($E34="","",IFERROR(INDEX('Danh mục thiết bị'!$D$6:$D$65,MATCH($E34,'Danh mục thiết bị'!$B$6:$B$65,0)),""))</f>
        <v>Phương tiện – xe nâng</v>
      </c>
      <c r="H34" s="15" t="s">
        <v>197</v>
      </c>
      <c r="I34" s="12" t="s">
        <v>102</v>
      </c>
      <c r="J34" s="19">
        <v>1.5</v>
      </c>
      <c r="K34" s="19">
        <v>0.0</v>
      </c>
      <c r="L34" s="20">
        <v>180000.0</v>
      </c>
      <c r="M34" s="20">
        <v>150000.0</v>
      </c>
      <c r="N34" s="20">
        <v>0.0</v>
      </c>
      <c r="O34" s="84">
        <f t="shared" si="2"/>
        <v>330000</v>
      </c>
      <c r="P34" s="15" t="s">
        <v>201</v>
      </c>
      <c r="Q34" s="11" t="s">
        <v>285</v>
      </c>
      <c r="R34" s="10" t="str">
        <f t="array" ref="R34">IF($E34="","",IF($B34="","Thiếu ngày thực hiện",IF(AND($D34&lt;&gt;"",IFERROR(INDEX('Kế hoạch định kỳ'!$C$6:$C$125,MATCH($D34,'Kế hoạch định kỳ'!$B$6:$B$125,0)),"")&lt;&gt;$E34),"Mã TB không khớp công việc",IF(AND(OR($C34="Bảo trì định kỳ",$C34="Hiệu chuẩn – kiểm định"),$D34=""),"Thiếu mã công việc kế hoạch",IF($Q34="","Thiếu kết quả","OK")))))</f>
        <v>OK</v>
      </c>
      <c r="S34" s="15"/>
    </row>
    <row r="35" ht="25.5" customHeight="1">
      <c r="A35" s="26">
        <f t="shared" si="1"/>
        <v>30</v>
      </c>
      <c r="B35" s="32">
        <v>46234.0</v>
      </c>
      <c r="C35" s="27" t="s">
        <v>284</v>
      </c>
      <c r="D35" s="27" t="s">
        <v>205</v>
      </c>
      <c r="E35" s="27" t="s">
        <v>198</v>
      </c>
      <c r="F35" s="28" t="str">
        <f t="array" ref="F35">IF($E35="","",IFERROR(INDEX('Danh mục thiết bị'!$C$6:$C$65,MATCH($E35,'Danh mục thiết bị'!$B$6:$B$65,0)),"Mã TB không tồn tại"))</f>
        <v>Xe nâng điện 2,5 tấn #2</v>
      </c>
      <c r="G35" s="28" t="str">
        <f t="array" ref="G35">IF($E35="","",IFERROR(INDEX('Danh mục thiết bị'!$D$6:$D$65,MATCH($E35,'Danh mục thiết bị'!$B$6:$B$65,0)),""))</f>
        <v>Phương tiện – xe nâng</v>
      </c>
      <c r="H35" s="29" t="s">
        <v>197</v>
      </c>
      <c r="I35" s="31" t="s">
        <v>102</v>
      </c>
      <c r="J35" s="34">
        <v>1.5</v>
      </c>
      <c r="K35" s="34">
        <v>0.0</v>
      </c>
      <c r="L35" s="35">
        <v>180000.0</v>
      </c>
      <c r="M35" s="35">
        <v>150000.0</v>
      </c>
      <c r="N35" s="35">
        <v>0.0</v>
      </c>
      <c r="O35" s="85">
        <f t="shared" si="2"/>
        <v>330000</v>
      </c>
      <c r="P35" s="29" t="s">
        <v>201</v>
      </c>
      <c r="Q35" s="27" t="s">
        <v>285</v>
      </c>
      <c r="R35" s="26" t="str">
        <f t="array" ref="R35">IF($E35="","",IF($B35="","Thiếu ngày thực hiện",IF(AND($D35&lt;&gt;"",IFERROR(INDEX('Kế hoạch định kỳ'!$C$6:$C$125,MATCH($D35,'Kế hoạch định kỳ'!$B$6:$B$125,0)),"")&lt;&gt;$E35),"Mã TB không khớp công việc",IF(AND(OR($C35="Bảo trì định kỳ",$C35="Hiệu chuẩn – kiểm định"),$D35=""),"Thiếu mã công việc kế hoạch",IF($Q35="","Thiếu kết quả","OK")))))</f>
        <v>OK</v>
      </c>
      <c r="S35" s="29"/>
    </row>
    <row r="36" ht="25.5" customHeight="1">
      <c r="A36" s="10">
        <f t="shared" si="1"/>
        <v>31</v>
      </c>
      <c r="B36" s="13">
        <v>46235.0</v>
      </c>
      <c r="C36" s="11" t="s">
        <v>284</v>
      </c>
      <c r="D36" s="11" t="s">
        <v>226</v>
      </c>
      <c r="E36" s="11" t="s">
        <v>216</v>
      </c>
      <c r="F36" s="14" t="str">
        <f t="array" ref="F36">IF($E36="","",IFERROR(INDEX('Danh mục thiết bị'!$C$6:$C$65,MATCH($E36,'Danh mục thiết bị'!$B$6:$B$65,0)),"Mã TB không tồn tại"))</f>
        <v>Máy chủ và thiết bị mạng</v>
      </c>
      <c r="G36" s="14" t="str">
        <f t="array" ref="G36">IF($E36="","",IFERROR(INDEX('Danh mục thiết bị'!$D$6:$D$65,MATCH($E36,'Danh mục thiết bị'!$B$6:$B$65,0)),""))</f>
        <v>Thiết bị CNTT</v>
      </c>
      <c r="H36" s="15" t="s">
        <v>227</v>
      </c>
      <c r="I36" s="12" t="s">
        <v>223</v>
      </c>
      <c r="J36" s="19">
        <v>2.0</v>
      </c>
      <c r="K36" s="19">
        <v>0.0</v>
      </c>
      <c r="L36" s="20">
        <v>240000.0</v>
      </c>
      <c r="M36" s="20">
        <v>0.0</v>
      </c>
      <c r="N36" s="20">
        <v>0.0</v>
      </c>
      <c r="O36" s="84">
        <f t="shared" si="2"/>
        <v>240000</v>
      </c>
      <c r="P36" s="15"/>
      <c r="Q36" s="11" t="s">
        <v>285</v>
      </c>
      <c r="R36" s="10" t="str">
        <f t="array" ref="R36">IF($E36="","",IF($B36="","Thiếu ngày thực hiện",IF(AND($D36&lt;&gt;"",IFERROR(INDEX('Kế hoạch định kỳ'!$C$6:$C$125,MATCH($D36,'Kế hoạch định kỳ'!$B$6:$B$125,0)),"")&lt;&gt;$E36),"Mã TB không khớp công việc",IF(AND(OR($C36="Bảo trì định kỳ",$C36="Hiệu chuẩn – kiểm định"),$D36=""),"Thiếu mã công việc kế hoạch",IF($Q36="","Thiếu kết quả","OK")))))</f>
        <v>OK</v>
      </c>
      <c r="S36" s="15"/>
    </row>
    <row r="37" ht="25.5" customHeight="1">
      <c r="A37" s="26">
        <f t="shared" si="1"/>
        <v>32</v>
      </c>
      <c r="B37" s="32">
        <v>46240.0</v>
      </c>
      <c r="C37" s="27" t="s">
        <v>284</v>
      </c>
      <c r="D37" s="27" t="s">
        <v>194</v>
      </c>
      <c r="E37" s="27" t="s">
        <v>165</v>
      </c>
      <c r="F37" s="28" t="str">
        <f t="array" ref="F37">IF($E37="","",IFERROR(INDEX('Danh mục thiết bị'!$C$6:$C$65,MATCH($E37,'Danh mục thiết bị'!$B$6:$B$65,0)),"Mã TB không tồn tại"))</f>
        <v>Băng tải đóng gói số 2</v>
      </c>
      <c r="G37" s="28" t="str">
        <f t="array" ref="G37">IF($E37="","",IFERROR(INDEX('Danh mục thiết bị'!$D$6:$D$65,MATCH($E37,'Danh mục thiết bị'!$B$6:$B$65,0)),""))</f>
        <v>Băng tải – nâng hạ</v>
      </c>
      <c r="H37" s="29" t="s">
        <v>195</v>
      </c>
      <c r="I37" s="31" t="s">
        <v>74</v>
      </c>
      <c r="J37" s="34">
        <v>2.0</v>
      </c>
      <c r="K37" s="34">
        <v>0.0</v>
      </c>
      <c r="L37" s="35">
        <v>240000.0</v>
      </c>
      <c r="M37" s="35">
        <v>250000.0</v>
      </c>
      <c r="N37" s="35">
        <v>0.0</v>
      </c>
      <c r="O37" s="85">
        <f t="shared" si="2"/>
        <v>490000</v>
      </c>
      <c r="P37" s="29" t="s">
        <v>108</v>
      </c>
      <c r="Q37" s="27" t="s">
        <v>285</v>
      </c>
      <c r="R37" s="26" t="str">
        <f t="array" ref="R37">IF($E37="","",IF($B37="","Thiếu ngày thực hiện",IF(AND($D37&lt;&gt;"",IFERROR(INDEX('Kế hoạch định kỳ'!$C$6:$C$125,MATCH($D37,'Kế hoạch định kỳ'!$B$6:$B$125,0)),"")&lt;&gt;$E37),"Mã TB không khớp công việc",IF(AND(OR($C37="Bảo trì định kỳ",$C37="Hiệu chuẩn – kiểm định"),$D37=""),"Thiếu mã công việc kế hoạch",IF($Q37="","Thiếu kết quả","OK")))))</f>
        <v>OK</v>
      </c>
      <c r="S37" s="29"/>
    </row>
    <row r="38" ht="25.5" customHeight="1">
      <c r="A38" s="10">
        <f t="shared" si="1"/>
        <v>33</v>
      </c>
      <c r="B38" s="13">
        <v>46241.0</v>
      </c>
      <c r="C38" s="11" t="s">
        <v>284</v>
      </c>
      <c r="D38" s="11" t="s">
        <v>228</v>
      </c>
      <c r="E38" s="11" t="s">
        <v>216</v>
      </c>
      <c r="F38" s="14" t="str">
        <f t="array" ref="F38">IF($E38="","",IFERROR(INDEX('Danh mục thiết bị'!$C$6:$C$65,MATCH($E38,'Danh mục thiết bị'!$B$6:$B$65,0)),"Mã TB không tồn tại"))</f>
        <v>Máy chủ và thiết bị mạng</v>
      </c>
      <c r="G38" s="14" t="str">
        <f t="array" ref="G38">IF($E38="","",IFERROR(INDEX('Danh mục thiết bị'!$D$6:$D$65,MATCH($E38,'Danh mục thiết bị'!$B$6:$B$65,0)),""))</f>
        <v>Thiết bị CNTT</v>
      </c>
      <c r="H38" s="15" t="s">
        <v>229</v>
      </c>
      <c r="I38" s="12" t="s">
        <v>223</v>
      </c>
      <c r="J38" s="19">
        <v>2.0</v>
      </c>
      <c r="K38" s="19">
        <v>0.0</v>
      </c>
      <c r="L38" s="20">
        <v>240000.0</v>
      </c>
      <c r="M38" s="20">
        <v>200000.0</v>
      </c>
      <c r="N38" s="20">
        <v>0.0</v>
      </c>
      <c r="O38" s="84">
        <f t="shared" si="2"/>
        <v>440000</v>
      </c>
      <c r="P38" s="15" t="s">
        <v>230</v>
      </c>
      <c r="Q38" s="11" t="s">
        <v>285</v>
      </c>
      <c r="R38" s="10" t="str">
        <f t="array" ref="R38">IF($E38="","",IF($B38="","Thiếu ngày thực hiện",IF(AND($D38&lt;&gt;"",IFERROR(INDEX('Kế hoạch định kỳ'!$C$6:$C$125,MATCH($D38,'Kế hoạch định kỳ'!$B$6:$B$125,0)),"")&lt;&gt;$E38),"Mã TB không khớp công việc",IF(AND(OR($C38="Bảo trì định kỳ",$C38="Hiệu chuẩn – kiểm định"),$D38=""),"Thiếu mã công việc kế hoạch",IF($Q38="","Thiếu kết quả","OK")))))</f>
        <v>OK</v>
      </c>
      <c r="S38" s="15"/>
    </row>
    <row r="39" ht="25.5" customHeight="1">
      <c r="A39" s="26">
        <f t="shared" si="1"/>
        <v>34</v>
      </c>
      <c r="B39" s="32">
        <v>46247.0</v>
      </c>
      <c r="C39" s="27" t="s">
        <v>284</v>
      </c>
      <c r="D39" s="27" t="s">
        <v>60</v>
      </c>
      <c r="E39" s="27" t="s">
        <v>58</v>
      </c>
      <c r="F39" s="28" t="str">
        <f t="array" ref="F39">IF($E39="","",IFERROR(INDEX('Danh mục thiết bị'!$C$6:$C$65,MATCH($E39,'Danh mục thiết bị'!$B$6:$B$65,0)),"Mã TB không tồn tại"))</f>
        <v>Máy in Flexo 6 màu</v>
      </c>
      <c r="G39" s="28" t="str">
        <f t="array" ref="G39">IF($E39="","",IFERROR(INDEX('Danh mục thiết bị'!$D$6:$D$65,MATCH($E39,'Danh mục thiết bị'!$B$6:$B$65,0)),""))</f>
        <v>Máy sản xuất</v>
      </c>
      <c r="H39" s="29" t="s">
        <v>69</v>
      </c>
      <c r="I39" s="31" t="s">
        <v>74</v>
      </c>
      <c r="J39" s="34">
        <v>3.0</v>
      </c>
      <c r="K39" s="34">
        <v>0.0</v>
      </c>
      <c r="L39" s="35">
        <v>360000.0</v>
      </c>
      <c r="M39" s="35">
        <v>400000.0</v>
      </c>
      <c r="N39" s="35">
        <v>0.0</v>
      </c>
      <c r="O39" s="85">
        <f t="shared" si="2"/>
        <v>760000</v>
      </c>
      <c r="P39" s="29" t="s">
        <v>75</v>
      </c>
      <c r="Q39" s="27" t="s">
        <v>285</v>
      </c>
      <c r="R39" s="26" t="str">
        <f t="array" ref="R39">IF($E39="","",IF($B39="","Thiếu ngày thực hiện",IF(AND($D39&lt;&gt;"",IFERROR(INDEX('Kế hoạch định kỳ'!$C$6:$C$125,MATCH($D39,'Kế hoạch định kỳ'!$B$6:$B$125,0)),"")&lt;&gt;$E39),"Mã TB không khớp công việc",IF(AND(OR($C39="Bảo trì định kỳ",$C39="Hiệu chuẩn – kiểm định"),$D39=""),"Thiếu mã công việc kế hoạch",IF($Q39="","Thiếu kết quả","OK")))))</f>
        <v>OK</v>
      </c>
      <c r="S39" s="29"/>
    </row>
    <row r="40" ht="25.5" customHeight="1">
      <c r="A40" s="10">
        <f t="shared" si="1"/>
        <v>35</v>
      </c>
      <c r="B40" s="13">
        <v>46250.0</v>
      </c>
      <c r="C40" s="11" t="s">
        <v>284</v>
      </c>
      <c r="D40" s="11" t="s">
        <v>211</v>
      </c>
      <c r="E40" s="11" t="s">
        <v>206</v>
      </c>
      <c r="F40" s="14" t="str">
        <f t="array" ref="F40">IF($E40="","",IFERROR(INDEX('Danh mục thiết bị'!$C$6:$C$65,MATCH($E40,'Danh mục thiết bị'!$B$6:$B$65,0)),"Mã TB không tồn tại"))</f>
        <v>Máy dán thùng carton tự động</v>
      </c>
      <c r="G40" s="14" t="str">
        <f t="array" ref="G40">IF($E40="","",IFERROR(INDEX('Danh mục thiết bị'!$D$6:$D$65,MATCH($E40,'Danh mục thiết bị'!$B$6:$B$65,0)),""))</f>
        <v>Máy sản xuất</v>
      </c>
      <c r="H40" s="15" t="s">
        <v>212</v>
      </c>
      <c r="I40" s="12" t="s">
        <v>74</v>
      </c>
      <c r="J40" s="19">
        <v>2.0</v>
      </c>
      <c r="K40" s="19">
        <v>0.0</v>
      </c>
      <c r="L40" s="20">
        <v>240000.0</v>
      </c>
      <c r="M40" s="20">
        <v>300000.0</v>
      </c>
      <c r="N40" s="20">
        <v>0.0</v>
      </c>
      <c r="O40" s="84">
        <f t="shared" si="2"/>
        <v>540000</v>
      </c>
      <c r="P40" s="15" t="s">
        <v>213</v>
      </c>
      <c r="Q40" s="11" t="s">
        <v>285</v>
      </c>
      <c r="R40" s="10" t="str">
        <f t="array" ref="R40">IF($E40="","",IF($B40="","Thiếu ngày thực hiện",IF(AND($D40&lt;&gt;"",IFERROR(INDEX('Kế hoạch định kỳ'!$C$6:$C$125,MATCH($D40,'Kế hoạch định kỳ'!$B$6:$B$125,0)),"")&lt;&gt;$E40),"Mã TB không khớp công việc",IF(AND(OR($C40="Bảo trì định kỳ",$C40="Hiệu chuẩn – kiểm định"),$D40=""),"Thiếu mã công việc kế hoạch",IF($Q40="","Thiếu kết quả","OK")))))</f>
        <v>OK</v>
      </c>
      <c r="S40" s="15"/>
    </row>
    <row r="41" ht="25.5" customHeight="1">
      <c r="A41" s="26">
        <f t="shared" si="1"/>
        <v>36</v>
      </c>
      <c r="B41" s="32">
        <v>46253.0</v>
      </c>
      <c r="C41" s="27" t="s">
        <v>287</v>
      </c>
      <c r="D41" s="27"/>
      <c r="E41" s="27" t="s">
        <v>80</v>
      </c>
      <c r="F41" s="28" t="str">
        <f t="array" ref="F41">IF($E41="","",IFERROR(INDEX('Danh mục thiết bị'!$C$6:$C$65,MATCH($E41,'Danh mục thiết bị'!$B$6:$B$65,0)),"Mã TB không tồn tại"))</f>
        <v>Máy cắt thành phẩm tự động</v>
      </c>
      <c r="G41" s="28" t="str">
        <f t="array" ref="G41">IF($E41="","",IFERROR(INDEX('Danh mục thiết bị'!$D$6:$D$65,MATCH($E41,'Danh mục thiết bị'!$B$6:$B$65,0)),""))</f>
        <v>Máy sản xuất</v>
      </c>
      <c r="H41" s="29" t="s">
        <v>298</v>
      </c>
      <c r="I41" s="31" t="s">
        <v>107</v>
      </c>
      <c r="J41" s="34">
        <v>2.5</v>
      </c>
      <c r="K41" s="34">
        <v>2.0</v>
      </c>
      <c r="L41" s="35">
        <v>300000.0</v>
      </c>
      <c r="M41" s="35">
        <v>850000.0</v>
      </c>
      <c r="N41" s="35">
        <v>0.0</v>
      </c>
      <c r="O41" s="85">
        <f t="shared" si="2"/>
        <v>1150000</v>
      </c>
      <c r="P41" s="29" t="s">
        <v>299</v>
      </c>
      <c r="Q41" s="27" t="s">
        <v>285</v>
      </c>
      <c r="R41" s="26" t="str">
        <f t="array" ref="R41">IF($E41="","",IF($B41="","Thiếu ngày thực hiện",IF(AND($D41&lt;&gt;"",IFERROR(INDEX('Kế hoạch định kỳ'!$C$6:$C$125,MATCH($D41,'Kế hoạch định kỳ'!$B$6:$B$125,0)),"")&lt;&gt;$E41),"Mã TB không khớp công việc",IF(AND(OR($C41="Bảo trì định kỳ",$C41="Hiệu chuẩn – kiểm định"),$D41=""),"Thiếu mã công việc kế hoạch",IF($Q41="","Thiếu kết quả","OK")))))</f>
        <v>OK</v>
      </c>
      <c r="S41" s="29"/>
    </row>
    <row r="42" ht="25.5" customHeight="1">
      <c r="A42" s="10">
        <f t="shared" si="1"/>
        <v>37</v>
      </c>
      <c r="B42" s="13">
        <v>46254.0</v>
      </c>
      <c r="C42" s="11" t="s">
        <v>284</v>
      </c>
      <c r="D42" s="11" t="s">
        <v>76</v>
      </c>
      <c r="E42" s="11" t="s">
        <v>58</v>
      </c>
      <c r="F42" s="14" t="str">
        <f t="array" ref="F42">IF($E42="","",IFERROR(INDEX('Danh mục thiết bị'!$C$6:$C$65,MATCH($E42,'Danh mục thiết bị'!$B$6:$B$65,0)),"Mã TB không tồn tại"))</f>
        <v>Máy in Flexo 6 màu</v>
      </c>
      <c r="G42" s="14" t="str">
        <f t="array" ref="G42">IF($E42="","",IFERROR(INDEX('Danh mục thiết bị'!$D$6:$D$65,MATCH($E42,'Danh mục thiết bị'!$B$6:$B$65,0)),""))</f>
        <v>Máy sản xuất</v>
      </c>
      <c r="H42" s="15" t="s">
        <v>77</v>
      </c>
      <c r="I42" s="12" t="s">
        <v>74</v>
      </c>
      <c r="J42" s="19">
        <v>2.0</v>
      </c>
      <c r="K42" s="19">
        <v>0.0</v>
      </c>
      <c r="L42" s="20">
        <v>240000.0</v>
      </c>
      <c r="M42" s="20">
        <v>1500000.0</v>
      </c>
      <c r="N42" s="20">
        <v>0.0</v>
      </c>
      <c r="O42" s="84">
        <f t="shared" si="2"/>
        <v>1740000</v>
      </c>
      <c r="P42" s="15" t="s">
        <v>86</v>
      </c>
      <c r="Q42" s="11" t="s">
        <v>285</v>
      </c>
      <c r="R42" s="10" t="str">
        <f t="array" ref="R42">IF($E42="","",IF($B42="","Thiếu ngày thực hiện",IF(AND($D42&lt;&gt;"",IFERROR(INDEX('Kế hoạch định kỳ'!$C$6:$C$125,MATCH($D42,'Kế hoạch định kỳ'!$B$6:$B$125,0)),"")&lt;&gt;$E42),"Mã TB không khớp công việc",IF(AND(OR($C42="Bảo trì định kỳ",$C42="Hiệu chuẩn – kiểm định"),$D42=""),"Thiếu mã công việc kế hoạch",IF($Q42="","Thiếu kết quả","OK")))))</f>
        <v>OK</v>
      </c>
      <c r="S42" s="15"/>
    </row>
    <row r="43" ht="25.5" customHeight="1">
      <c r="A43" s="26">
        <f t="shared" si="1"/>
        <v>38</v>
      </c>
      <c r="B43" s="32">
        <v>46260.0</v>
      </c>
      <c r="C43" s="27" t="s">
        <v>284</v>
      </c>
      <c r="D43" s="27" t="s">
        <v>231</v>
      </c>
      <c r="E43" s="27" t="s">
        <v>165</v>
      </c>
      <c r="F43" s="28" t="str">
        <f t="array" ref="F43">IF($E43="","",IFERROR(INDEX('Danh mục thiết bị'!$C$6:$C$65,MATCH($E43,'Danh mục thiết bị'!$B$6:$B$65,0)),"Mã TB không tồn tại"))</f>
        <v>Băng tải đóng gói số 2</v>
      </c>
      <c r="G43" s="28" t="str">
        <f t="array" ref="G43">IF($E43="","",IFERROR(INDEX('Danh mục thiết bị'!$D$6:$D$65,MATCH($E43,'Danh mục thiết bị'!$B$6:$B$65,0)),""))</f>
        <v>Băng tải – nâng hạ</v>
      </c>
      <c r="H43" s="29" t="s">
        <v>232</v>
      </c>
      <c r="I43" s="31" t="s">
        <v>107</v>
      </c>
      <c r="J43" s="34">
        <v>1.0</v>
      </c>
      <c r="K43" s="34">
        <v>0.0</v>
      </c>
      <c r="L43" s="35">
        <v>120000.0</v>
      </c>
      <c r="M43" s="35">
        <v>0.0</v>
      </c>
      <c r="N43" s="35">
        <v>0.0</v>
      </c>
      <c r="O43" s="85">
        <f t="shared" si="2"/>
        <v>120000</v>
      </c>
      <c r="P43" s="29"/>
      <c r="Q43" s="27" t="s">
        <v>285</v>
      </c>
      <c r="R43" s="26" t="str">
        <f t="array" ref="R43">IF($E43="","",IF($B43="","Thiếu ngày thực hiện",IF(AND($D43&lt;&gt;"",IFERROR(INDEX('Kế hoạch định kỳ'!$C$6:$C$125,MATCH($D43,'Kế hoạch định kỳ'!$B$6:$B$125,0)),"")&lt;&gt;$E43),"Mã TB không khớp công việc",IF(AND(OR($C43="Bảo trì định kỳ",$C43="Hiệu chuẩn – kiểm định"),$D43=""),"Thiếu mã công việc kế hoạch",IF($Q43="","Thiếu kết quả","OK")))))</f>
        <v>OK</v>
      </c>
      <c r="S43" s="29"/>
    </row>
    <row r="44" ht="25.5" customHeight="1">
      <c r="A44" s="10">
        <f t="shared" si="1"/>
        <v>39</v>
      </c>
      <c r="B44" s="13">
        <v>46261.0</v>
      </c>
      <c r="C44" s="11" t="s">
        <v>284</v>
      </c>
      <c r="D44" s="11" t="s">
        <v>105</v>
      </c>
      <c r="E44" s="11" t="s">
        <v>80</v>
      </c>
      <c r="F44" s="14" t="str">
        <f t="array" ref="F44">IF($E44="","",IFERROR(INDEX('Danh mục thiết bị'!$C$6:$C$65,MATCH($E44,'Danh mục thiết bị'!$B$6:$B$65,0)),"Mã TB không tồn tại"))</f>
        <v>Máy cắt thành phẩm tự động</v>
      </c>
      <c r="G44" s="14" t="str">
        <f t="array" ref="G44">IF($E44="","",IFERROR(INDEX('Danh mục thiết bị'!$D$6:$D$65,MATCH($E44,'Danh mục thiết bị'!$B$6:$B$65,0)),""))</f>
        <v>Máy sản xuất</v>
      </c>
      <c r="H44" s="15" t="s">
        <v>106</v>
      </c>
      <c r="I44" s="12" t="s">
        <v>107</v>
      </c>
      <c r="J44" s="19">
        <v>1.5</v>
      </c>
      <c r="K44" s="19">
        <v>0.0</v>
      </c>
      <c r="L44" s="20">
        <v>180000.0</v>
      </c>
      <c r="M44" s="20">
        <v>200000.0</v>
      </c>
      <c r="N44" s="20">
        <v>0.0</v>
      </c>
      <c r="O44" s="84">
        <f t="shared" si="2"/>
        <v>380000</v>
      </c>
      <c r="P44" s="15" t="s">
        <v>108</v>
      </c>
      <c r="Q44" s="11" t="s">
        <v>285</v>
      </c>
      <c r="R44" s="10" t="str">
        <f t="array" ref="R44">IF($E44="","",IF($B44="","Thiếu ngày thực hiện",IF(AND($D44&lt;&gt;"",IFERROR(INDEX('Kế hoạch định kỳ'!$C$6:$C$125,MATCH($D44,'Kế hoạch định kỳ'!$B$6:$B$125,0)),"")&lt;&gt;$E44),"Mã TB không khớp công việc",IF(AND(OR($C44="Bảo trì định kỳ",$C44="Hiệu chuẩn – kiểm định"),$D44=""),"Thiếu mã công việc kế hoạch",IF($Q44="","Thiếu kết quả","OK")))))</f>
        <v>OK</v>
      </c>
      <c r="S44" s="15"/>
    </row>
    <row r="45" ht="25.5" customHeight="1">
      <c r="A45" s="26">
        <f t="shared" si="1"/>
        <v>40</v>
      </c>
      <c r="B45" s="32">
        <v>46263.0</v>
      </c>
      <c r="C45" s="27" t="s">
        <v>284</v>
      </c>
      <c r="D45" s="27" t="s">
        <v>196</v>
      </c>
      <c r="E45" s="27" t="s">
        <v>182</v>
      </c>
      <c r="F45" s="28" t="str">
        <f t="array" ref="F45">IF($E45="","",IFERROR(INDEX('Danh mục thiết bị'!$C$6:$C$65,MATCH($E45,'Danh mục thiết bị'!$B$6:$B$65,0)),"Mã TB không tồn tại"))</f>
        <v>Xe nâng điện 2,5 tấn #1</v>
      </c>
      <c r="G45" s="28" t="str">
        <f t="array" ref="G45">IF($E45="","",IFERROR(INDEX('Danh mục thiết bị'!$D$6:$D$65,MATCH($E45,'Danh mục thiết bị'!$B$6:$B$65,0)),""))</f>
        <v>Phương tiện – xe nâng</v>
      </c>
      <c r="H45" s="29" t="s">
        <v>197</v>
      </c>
      <c r="I45" s="31" t="s">
        <v>102</v>
      </c>
      <c r="J45" s="34">
        <v>1.5</v>
      </c>
      <c r="K45" s="34">
        <v>0.0</v>
      </c>
      <c r="L45" s="35">
        <v>180000.0</v>
      </c>
      <c r="M45" s="35">
        <v>150000.0</v>
      </c>
      <c r="N45" s="35">
        <v>0.0</v>
      </c>
      <c r="O45" s="85">
        <f t="shared" si="2"/>
        <v>330000</v>
      </c>
      <c r="P45" s="29" t="s">
        <v>201</v>
      </c>
      <c r="Q45" s="27" t="s">
        <v>285</v>
      </c>
      <c r="R45" s="26" t="str">
        <f t="array" ref="R45">IF($E45="","",IF($B45="","Thiếu ngày thực hiện",IF(AND($D45&lt;&gt;"",IFERROR(INDEX('Kế hoạch định kỳ'!$C$6:$C$125,MATCH($D45,'Kế hoạch định kỳ'!$B$6:$B$125,0)),"")&lt;&gt;$E45),"Mã TB không khớp công việc",IF(AND(OR($C45="Bảo trì định kỳ",$C45="Hiệu chuẩn – kiểm định"),$D45=""),"Thiếu mã công việc kế hoạch",IF($Q45="","Thiếu kết quả","OK")))))</f>
        <v>OK</v>
      </c>
      <c r="S45" s="29"/>
    </row>
    <row r="46" ht="25.5" customHeight="1">
      <c r="A46" s="10">
        <f t="shared" si="1"/>
        <v>41</v>
      </c>
      <c r="B46" s="13">
        <v>46264.0</v>
      </c>
      <c r="C46" s="11" t="s">
        <v>284</v>
      </c>
      <c r="D46" s="11" t="s">
        <v>205</v>
      </c>
      <c r="E46" s="11" t="s">
        <v>198</v>
      </c>
      <c r="F46" s="14" t="str">
        <f t="array" ref="F46">IF($E46="","",IFERROR(INDEX('Danh mục thiết bị'!$C$6:$C$65,MATCH($E46,'Danh mục thiết bị'!$B$6:$B$65,0)),"Mã TB không tồn tại"))</f>
        <v>Xe nâng điện 2,5 tấn #2</v>
      </c>
      <c r="G46" s="14" t="str">
        <f t="array" ref="G46">IF($E46="","",IFERROR(INDEX('Danh mục thiết bị'!$D$6:$D$65,MATCH($E46,'Danh mục thiết bị'!$B$6:$B$65,0)),""))</f>
        <v>Phương tiện – xe nâng</v>
      </c>
      <c r="H46" s="15" t="s">
        <v>197</v>
      </c>
      <c r="I46" s="12" t="s">
        <v>102</v>
      </c>
      <c r="J46" s="19">
        <v>1.5</v>
      </c>
      <c r="K46" s="19">
        <v>0.0</v>
      </c>
      <c r="L46" s="20">
        <v>180000.0</v>
      </c>
      <c r="M46" s="20">
        <v>150000.0</v>
      </c>
      <c r="N46" s="20">
        <v>0.0</v>
      </c>
      <c r="O46" s="84">
        <f t="shared" si="2"/>
        <v>330000</v>
      </c>
      <c r="P46" s="15" t="s">
        <v>201</v>
      </c>
      <c r="Q46" s="11" t="s">
        <v>285</v>
      </c>
      <c r="R46" s="10" t="str">
        <f t="array" ref="R46">IF($E46="","",IF($B46="","Thiếu ngày thực hiện",IF(AND($D46&lt;&gt;"",IFERROR(INDEX('Kế hoạch định kỳ'!$C$6:$C$125,MATCH($D46,'Kế hoạch định kỳ'!$B$6:$B$125,0)),"")&lt;&gt;$E46),"Mã TB không khớp công việc",IF(AND(OR($C46="Bảo trì định kỳ",$C46="Hiệu chuẩn – kiểm định"),$D46=""),"Thiếu mã công việc kế hoạch",IF($Q46="","Thiếu kết quả","OK")))))</f>
        <v>OK</v>
      </c>
      <c r="S46" s="15"/>
    </row>
    <row r="47" ht="25.5" customHeight="1">
      <c r="A47" s="26">
        <f t="shared" si="1"/>
        <v>42</v>
      </c>
      <c r="B47" s="32">
        <v>46265.0</v>
      </c>
      <c r="C47" s="27" t="s">
        <v>284</v>
      </c>
      <c r="D47" s="27" t="s">
        <v>226</v>
      </c>
      <c r="E47" s="27" t="s">
        <v>216</v>
      </c>
      <c r="F47" s="28" t="str">
        <f t="array" ref="F47">IF($E47="","",IFERROR(INDEX('Danh mục thiết bị'!$C$6:$C$65,MATCH($E47,'Danh mục thiết bị'!$B$6:$B$65,0)),"Mã TB không tồn tại"))</f>
        <v>Máy chủ và thiết bị mạng</v>
      </c>
      <c r="G47" s="28" t="str">
        <f t="array" ref="G47">IF($E47="","",IFERROR(INDEX('Danh mục thiết bị'!$D$6:$D$65,MATCH($E47,'Danh mục thiết bị'!$B$6:$B$65,0)),""))</f>
        <v>Thiết bị CNTT</v>
      </c>
      <c r="H47" s="29" t="s">
        <v>227</v>
      </c>
      <c r="I47" s="31" t="s">
        <v>223</v>
      </c>
      <c r="J47" s="34">
        <v>2.0</v>
      </c>
      <c r="K47" s="34">
        <v>0.0</v>
      </c>
      <c r="L47" s="35">
        <v>240000.0</v>
      </c>
      <c r="M47" s="35">
        <v>0.0</v>
      </c>
      <c r="N47" s="35">
        <v>0.0</v>
      </c>
      <c r="O47" s="85">
        <f t="shared" si="2"/>
        <v>240000</v>
      </c>
      <c r="P47" s="29"/>
      <c r="Q47" s="27" t="s">
        <v>285</v>
      </c>
      <c r="R47" s="26" t="str">
        <f t="array" ref="R47">IF($E47="","",IF($B47="","Thiếu ngày thực hiện",IF(AND($D47&lt;&gt;"",IFERROR(INDEX('Kế hoạch định kỳ'!$C$6:$C$125,MATCH($D47,'Kế hoạch định kỳ'!$B$6:$B$125,0)),"")&lt;&gt;$E47),"Mã TB không khớp công việc",IF(AND(OR($C47="Bảo trì định kỳ",$C47="Hiệu chuẩn – kiểm định"),$D47=""),"Thiếu mã công việc kế hoạch",IF($Q47="","Thiếu kết quả","OK")))))</f>
        <v>OK</v>
      </c>
      <c r="S47" s="29"/>
    </row>
    <row r="48" ht="25.5" customHeight="1">
      <c r="A48" s="10">
        <f t="shared" si="1"/>
        <v>43</v>
      </c>
      <c r="B48" s="13">
        <v>46267.0</v>
      </c>
      <c r="C48" s="11" t="s">
        <v>284</v>
      </c>
      <c r="D48" s="11" t="s">
        <v>173</v>
      </c>
      <c r="E48" s="11" t="s">
        <v>134</v>
      </c>
      <c r="F48" s="14" t="str">
        <f t="array" ref="F48">IF($E48="","",IFERROR(INDEX('Danh mục thiết bị'!$C$6:$C$65,MATCH($E48,'Danh mục thiết bị'!$B$6:$B$65,0)),"Mã TB không tồn tại"))</f>
        <v>Hệ thống điều hòa trung tâm Chiller</v>
      </c>
      <c r="G48" s="14" t="str">
        <f t="array" ref="G48">IF($E48="","",IFERROR(INDEX('Danh mục thiết bị'!$D$6:$D$65,MATCH($E48,'Danh mục thiết bị'!$B$6:$B$65,0)),""))</f>
        <v>Điều hòa – thông gió</v>
      </c>
      <c r="H48" s="15" t="s">
        <v>178</v>
      </c>
      <c r="I48" s="12" t="s">
        <v>102</v>
      </c>
      <c r="J48" s="19">
        <v>5.0</v>
      </c>
      <c r="K48" s="19">
        <v>0.0</v>
      </c>
      <c r="L48" s="20">
        <v>600000.0</v>
      </c>
      <c r="M48" s="20">
        <v>2800000.0</v>
      </c>
      <c r="N48" s="20">
        <v>0.0</v>
      </c>
      <c r="O48" s="84">
        <f t="shared" si="2"/>
        <v>3400000</v>
      </c>
      <c r="P48" s="15" t="s">
        <v>179</v>
      </c>
      <c r="Q48" s="11" t="s">
        <v>285</v>
      </c>
      <c r="R48" s="10" t="str">
        <f t="array" ref="R48">IF($E48="","",IF($B48="","Thiếu ngày thực hiện",IF(AND($D48&lt;&gt;"",IFERROR(INDEX('Kế hoạch định kỳ'!$C$6:$C$125,MATCH($D48,'Kế hoạch định kỳ'!$B$6:$B$125,0)),"")&lt;&gt;$E48),"Mã TB không khớp công việc",IF(AND(OR($C48="Bảo trì định kỳ",$C48="Hiệu chuẩn – kiểm định"),$D48=""),"Thiếu mã công việc kế hoạch",IF($Q48="","Thiếu kết quả","OK")))))</f>
        <v>OK</v>
      </c>
      <c r="S48" s="15"/>
    </row>
    <row r="49" ht="25.5" customHeight="1">
      <c r="A49" s="26">
        <f t="shared" si="1"/>
        <v>44</v>
      </c>
      <c r="B49" s="32">
        <v>46270.0</v>
      </c>
      <c r="C49" s="27" t="s">
        <v>284</v>
      </c>
      <c r="D49" s="27" t="s">
        <v>92</v>
      </c>
      <c r="E49" s="27" t="s">
        <v>80</v>
      </c>
      <c r="F49" s="28" t="str">
        <f t="array" ref="F49">IF($E49="","",IFERROR(INDEX('Danh mục thiết bị'!$C$6:$C$65,MATCH($E49,'Danh mục thiết bị'!$B$6:$B$65,0)),"Mã TB không tồn tại"))</f>
        <v>Máy cắt thành phẩm tự động</v>
      </c>
      <c r="G49" s="28" t="str">
        <f t="array" ref="G49">IF($E49="","",IFERROR(INDEX('Danh mục thiết bị'!$D$6:$D$65,MATCH($E49,'Danh mục thiết bị'!$B$6:$B$65,0)),""))</f>
        <v>Máy sản xuất</v>
      </c>
      <c r="H49" s="29" t="s">
        <v>93</v>
      </c>
      <c r="I49" s="31" t="s">
        <v>74</v>
      </c>
      <c r="J49" s="34">
        <v>2.0</v>
      </c>
      <c r="K49" s="34">
        <v>0.0</v>
      </c>
      <c r="L49" s="35">
        <v>240000.0</v>
      </c>
      <c r="M49" s="35">
        <v>2500000.0</v>
      </c>
      <c r="N49" s="35">
        <v>0.0</v>
      </c>
      <c r="O49" s="85">
        <f t="shared" si="2"/>
        <v>2740000</v>
      </c>
      <c r="P49" s="29" t="s">
        <v>104</v>
      </c>
      <c r="Q49" s="27" t="s">
        <v>285</v>
      </c>
      <c r="R49" s="26" t="str">
        <f t="array" ref="R49">IF($E49="","",IF($B49="","Thiếu ngày thực hiện",IF(AND($D49&lt;&gt;"",IFERROR(INDEX('Kế hoạch định kỳ'!$C$6:$C$125,MATCH($D49,'Kế hoạch định kỳ'!$B$6:$B$125,0)),"")&lt;&gt;$E49),"Mã TB không khớp công việc",IF(AND(OR($C49="Bảo trì định kỳ",$C49="Hiệu chuẩn – kiểm định"),$D49=""),"Thiếu mã công việc kế hoạch",IF($Q49="","Thiếu kết quả","OK")))))</f>
        <v>OK</v>
      </c>
      <c r="S49" s="29"/>
    </row>
    <row r="50" ht="25.5" customHeight="1">
      <c r="A50" s="10">
        <f t="shared" si="1"/>
        <v>45</v>
      </c>
      <c r="B50" s="13">
        <v>46270.0</v>
      </c>
      <c r="C50" s="11" t="s">
        <v>284</v>
      </c>
      <c r="D50" s="11" t="s">
        <v>194</v>
      </c>
      <c r="E50" s="11" t="s">
        <v>165</v>
      </c>
      <c r="F50" s="14" t="str">
        <f t="array" ref="F50">IF($E50="","",IFERROR(INDEX('Danh mục thiết bị'!$C$6:$C$65,MATCH($E50,'Danh mục thiết bị'!$B$6:$B$65,0)),"Mã TB không tồn tại"))</f>
        <v>Băng tải đóng gói số 2</v>
      </c>
      <c r="G50" s="14" t="str">
        <f t="array" ref="G50">IF($E50="","",IFERROR(INDEX('Danh mục thiết bị'!$D$6:$D$65,MATCH($E50,'Danh mục thiết bị'!$B$6:$B$65,0)),""))</f>
        <v>Băng tải – nâng hạ</v>
      </c>
      <c r="H50" s="15" t="s">
        <v>195</v>
      </c>
      <c r="I50" s="12" t="s">
        <v>74</v>
      </c>
      <c r="J50" s="19">
        <v>2.0</v>
      </c>
      <c r="K50" s="19">
        <v>0.0</v>
      </c>
      <c r="L50" s="20">
        <v>240000.0</v>
      </c>
      <c r="M50" s="20">
        <v>250000.0</v>
      </c>
      <c r="N50" s="20">
        <v>0.0</v>
      </c>
      <c r="O50" s="84">
        <f t="shared" si="2"/>
        <v>490000</v>
      </c>
      <c r="P50" s="15" t="s">
        <v>108</v>
      </c>
      <c r="Q50" s="11" t="s">
        <v>285</v>
      </c>
      <c r="R50" s="10" t="str">
        <f t="array" ref="R50">IF($E50="","",IF($B50="","Thiếu ngày thực hiện",IF(AND($D50&lt;&gt;"",IFERROR(INDEX('Kế hoạch định kỳ'!$C$6:$C$125,MATCH($D50,'Kế hoạch định kỳ'!$B$6:$B$125,0)),"")&lt;&gt;$E50),"Mã TB không khớp công việc",IF(AND(OR($C50="Bảo trì định kỳ",$C50="Hiệu chuẩn – kiểm định"),$D50=""),"Thiếu mã công việc kế hoạch",IF($Q50="","Thiếu kết quả","OK")))))</f>
        <v>OK</v>
      </c>
      <c r="S50" s="15"/>
    </row>
    <row r="51" ht="25.5" customHeight="1">
      <c r="A51" s="26">
        <f t="shared" si="1"/>
        <v>46</v>
      </c>
      <c r="B51" s="32">
        <v>46274.0</v>
      </c>
      <c r="C51" s="27" t="s">
        <v>287</v>
      </c>
      <c r="D51" s="27"/>
      <c r="E51" s="27" t="s">
        <v>134</v>
      </c>
      <c r="F51" s="28" t="str">
        <f t="array" ref="F51">IF($E51="","",IFERROR(INDEX('Danh mục thiết bị'!$C$6:$C$65,MATCH($E51,'Danh mục thiết bị'!$B$6:$B$65,0)),"Mã TB không tồn tại"))</f>
        <v>Hệ thống điều hòa trung tâm Chiller</v>
      </c>
      <c r="G51" s="28" t="str">
        <f t="array" ref="G51">IF($E51="","",IFERROR(INDEX('Danh mục thiết bị'!$D$6:$D$65,MATCH($E51,'Danh mục thiết bị'!$B$6:$B$65,0)),""))</f>
        <v>Điều hòa – thông gió</v>
      </c>
      <c r="H51" s="29" t="s">
        <v>300</v>
      </c>
      <c r="I51" s="31" t="s">
        <v>191</v>
      </c>
      <c r="J51" s="34">
        <v>6.0</v>
      </c>
      <c r="K51" s="34">
        <v>5.0</v>
      </c>
      <c r="L51" s="35">
        <v>0.0</v>
      </c>
      <c r="M51" s="35">
        <v>2200000.0</v>
      </c>
      <c r="N51" s="35">
        <v>3000000.0</v>
      </c>
      <c r="O51" s="85">
        <f t="shared" si="2"/>
        <v>5200000</v>
      </c>
      <c r="P51" s="29" t="s">
        <v>301</v>
      </c>
      <c r="Q51" s="27" t="s">
        <v>285</v>
      </c>
      <c r="R51" s="26" t="str">
        <f t="array" ref="R51">IF($E51="","",IF($B51="","Thiếu ngày thực hiện",IF(AND($D51&lt;&gt;"",IFERROR(INDEX('Kế hoạch định kỳ'!$C$6:$C$125,MATCH($D51,'Kế hoạch định kỳ'!$B$6:$B$125,0)),"")&lt;&gt;$E51),"Mã TB không khớp công việc",IF(AND(OR($C51="Bảo trì định kỳ",$C51="Hiệu chuẩn – kiểm định"),$D51=""),"Thiếu mã công việc kế hoạch",IF($Q51="","Thiếu kết quả","OK")))))</f>
        <v>OK</v>
      </c>
      <c r="S51" s="29" t="s">
        <v>302</v>
      </c>
    </row>
    <row r="52" ht="25.5" customHeight="1">
      <c r="A52" s="10">
        <f t="shared" si="1"/>
        <v>47</v>
      </c>
      <c r="B52" s="13">
        <v>46275.0</v>
      </c>
      <c r="C52" s="11" t="s">
        <v>284</v>
      </c>
      <c r="D52" s="11" t="s">
        <v>109</v>
      </c>
      <c r="E52" s="11" t="s">
        <v>96</v>
      </c>
      <c r="F52" s="14" t="str">
        <f t="array" ref="F52">IF($E52="","",IFERROR(INDEX('Danh mục thiết bị'!$C$6:$C$65,MATCH($E52,'Danh mục thiết bị'!$B$6:$B$65,0)),"Mã TB không tồn tại"))</f>
        <v>Máy nén khí trục vít 75kW</v>
      </c>
      <c r="G52" s="14" t="str">
        <f t="array" ref="G52">IF($E52="","",IFERROR(INDEX('Danh mục thiết bị'!$D$6:$D$65,MATCH($E52,'Danh mục thiết bị'!$B$6:$B$65,0)),""))</f>
        <v>Máy nén khí</v>
      </c>
      <c r="H52" s="15" t="s">
        <v>110</v>
      </c>
      <c r="I52" s="12" t="s">
        <v>102</v>
      </c>
      <c r="J52" s="19">
        <v>1.0</v>
      </c>
      <c r="K52" s="19">
        <v>0.0</v>
      </c>
      <c r="L52" s="20">
        <v>120000.0</v>
      </c>
      <c r="M52" s="20">
        <v>300000.0</v>
      </c>
      <c r="N52" s="20">
        <v>0.0</v>
      </c>
      <c r="O52" s="84">
        <f t="shared" si="2"/>
        <v>420000</v>
      </c>
      <c r="P52" s="15" t="s">
        <v>119</v>
      </c>
      <c r="Q52" s="11" t="s">
        <v>285</v>
      </c>
      <c r="R52" s="10" t="str">
        <f t="array" ref="R52">IF($E52="","",IF($B52="","Thiếu ngày thực hiện",IF(AND($D52&lt;&gt;"",IFERROR(INDEX('Kế hoạch định kỳ'!$C$6:$C$125,MATCH($D52,'Kế hoạch định kỳ'!$B$6:$B$125,0)),"")&lt;&gt;$E52),"Mã TB không khớp công việc",IF(AND(OR($C52="Bảo trì định kỳ",$C52="Hiệu chuẩn – kiểm định"),$D52=""),"Thiếu mã công việc kế hoạch",IF($Q52="","Thiếu kết quả","OK")))))</f>
        <v>OK</v>
      </c>
      <c r="S52" s="15"/>
    </row>
    <row r="53" ht="25.5" customHeight="1">
      <c r="A53" s="26">
        <f t="shared" si="1"/>
        <v>48</v>
      </c>
      <c r="B53" s="32">
        <v>46277.0</v>
      </c>
      <c r="C53" s="27" t="s">
        <v>284</v>
      </c>
      <c r="D53" s="27" t="s">
        <v>60</v>
      </c>
      <c r="E53" s="27" t="s">
        <v>58</v>
      </c>
      <c r="F53" s="28" t="str">
        <f t="array" ref="F53">IF($E53="","",IFERROR(INDEX('Danh mục thiết bị'!$C$6:$C$65,MATCH($E53,'Danh mục thiết bị'!$B$6:$B$65,0)),"Mã TB không tồn tại"))</f>
        <v>Máy in Flexo 6 màu</v>
      </c>
      <c r="G53" s="28" t="str">
        <f t="array" ref="G53">IF($E53="","",IFERROR(INDEX('Danh mục thiết bị'!$D$6:$D$65,MATCH($E53,'Danh mục thiết bị'!$B$6:$B$65,0)),""))</f>
        <v>Máy sản xuất</v>
      </c>
      <c r="H53" s="29" t="s">
        <v>69</v>
      </c>
      <c r="I53" s="31" t="s">
        <v>74</v>
      </c>
      <c r="J53" s="34">
        <v>3.0</v>
      </c>
      <c r="K53" s="34">
        <v>0.0</v>
      </c>
      <c r="L53" s="35">
        <v>360000.0</v>
      </c>
      <c r="M53" s="35">
        <v>400000.0</v>
      </c>
      <c r="N53" s="35">
        <v>0.0</v>
      </c>
      <c r="O53" s="85">
        <f t="shared" si="2"/>
        <v>760000</v>
      </c>
      <c r="P53" s="29" t="s">
        <v>75</v>
      </c>
      <c r="Q53" s="27" t="s">
        <v>285</v>
      </c>
      <c r="R53" s="26" t="str">
        <f t="array" ref="R53">IF($E53="","",IF($B53="","Thiếu ngày thực hiện",IF(AND($D53&lt;&gt;"",IFERROR(INDEX('Kế hoạch định kỳ'!$C$6:$C$125,MATCH($D53,'Kế hoạch định kỳ'!$B$6:$B$125,0)),"")&lt;&gt;$E53),"Mã TB không khớp công việc",IF(AND(OR($C53="Bảo trì định kỳ",$C53="Hiệu chuẩn – kiểm định"),$D53=""),"Thiếu mã công việc kế hoạch",IF($Q53="","Thiếu kết quả","OK")))))</f>
        <v>OK</v>
      </c>
      <c r="S53" s="29"/>
    </row>
    <row r="54" ht="25.5" customHeight="1">
      <c r="A54" s="10">
        <f t="shared" si="1"/>
        <v>49</v>
      </c>
      <c r="B54" s="13">
        <v>46280.0</v>
      </c>
      <c r="C54" s="11" t="s">
        <v>284</v>
      </c>
      <c r="D54" s="11" t="s">
        <v>211</v>
      </c>
      <c r="E54" s="11" t="s">
        <v>206</v>
      </c>
      <c r="F54" s="14" t="str">
        <f t="array" ref="F54">IF($E54="","",IFERROR(INDEX('Danh mục thiết bị'!$C$6:$C$65,MATCH($E54,'Danh mục thiết bị'!$B$6:$B$65,0)),"Mã TB không tồn tại"))</f>
        <v>Máy dán thùng carton tự động</v>
      </c>
      <c r="G54" s="14" t="str">
        <f t="array" ref="G54">IF($E54="","",IFERROR(INDEX('Danh mục thiết bị'!$D$6:$D$65,MATCH($E54,'Danh mục thiết bị'!$B$6:$B$65,0)),""))</f>
        <v>Máy sản xuất</v>
      </c>
      <c r="H54" s="15" t="s">
        <v>212</v>
      </c>
      <c r="I54" s="12" t="s">
        <v>74</v>
      </c>
      <c r="J54" s="19">
        <v>2.0</v>
      </c>
      <c r="K54" s="19">
        <v>0.0</v>
      </c>
      <c r="L54" s="20">
        <v>240000.0</v>
      </c>
      <c r="M54" s="20">
        <v>300000.0</v>
      </c>
      <c r="N54" s="20">
        <v>0.0</v>
      </c>
      <c r="O54" s="84">
        <f t="shared" si="2"/>
        <v>540000</v>
      </c>
      <c r="P54" s="15" t="s">
        <v>213</v>
      </c>
      <c r="Q54" s="11" t="s">
        <v>285</v>
      </c>
      <c r="R54" s="10" t="str">
        <f t="array" ref="R54">IF($E54="","",IF($B54="","Thiếu ngày thực hiện",IF(AND($D54&lt;&gt;"",IFERROR(INDEX('Kế hoạch định kỳ'!$C$6:$C$125,MATCH($D54,'Kế hoạch định kỳ'!$B$6:$B$125,0)),"")&lt;&gt;$E54),"Mã TB không khớp công việc",IF(AND(OR($C54="Bảo trì định kỳ",$C54="Hiệu chuẩn – kiểm định"),$D54=""),"Thiếu mã công việc kế hoạch",IF($Q54="","Thiếu kết quả","OK")))))</f>
        <v>OK</v>
      </c>
      <c r="S54" s="15"/>
    </row>
    <row r="55" ht="25.5" customHeight="1">
      <c r="A55" s="26">
        <f t="shared" si="1"/>
        <v>50</v>
      </c>
      <c r="B55" s="32">
        <v>46289.0</v>
      </c>
      <c r="C55" s="27" t="s">
        <v>284</v>
      </c>
      <c r="D55" s="27" t="s">
        <v>109</v>
      </c>
      <c r="E55" s="27" t="s">
        <v>96</v>
      </c>
      <c r="F55" s="28" t="str">
        <f t="array" ref="F55">IF($E55="","",IFERROR(INDEX('Danh mục thiết bị'!$C$6:$C$65,MATCH($E55,'Danh mục thiết bị'!$B$6:$B$65,0)),"Mã TB không tồn tại"))</f>
        <v>Máy nén khí trục vít 75kW</v>
      </c>
      <c r="G55" s="28" t="str">
        <f t="array" ref="G55">IF($E55="","",IFERROR(INDEX('Danh mục thiết bị'!$D$6:$D$65,MATCH($E55,'Danh mục thiết bị'!$B$6:$B$65,0)),""))</f>
        <v>Máy nén khí</v>
      </c>
      <c r="H55" s="29" t="s">
        <v>110</v>
      </c>
      <c r="I55" s="31" t="s">
        <v>102</v>
      </c>
      <c r="J55" s="34">
        <v>1.0</v>
      </c>
      <c r="K55" s="34">
        <v>0.0</v>
      </c>
      <c r="L55" s="35">
        <v>120000.0</v>
      </c>
      <c r="M55" s="35">
        <v>300000.0</v>
      </c>
      <c r="N55" s="35">
        <v>0.0</v>
      </c>
      <c r="O55" s="85">
        <f t="shared" si="2"/>
        <v>420000</v>
      </c>
      <c r="P55" s="29" t="s">
        <v>119</v>
      </c>
      <c r="Q55" s="27" t="s">
        <v>285</v>
      </c>
      <c r="R55" s="26" t="str">
        <f t="array" ref="R55">IF($E55="","",IF($B55="","Thiếu ngày thực hiện",IF(AND($D55&lt;&gt;"",IFERROR(INDEX('Kế hoạch định kỳ'!$C$6:$C$125,MATCH($D55,'Kế hoạch định kỳ'!$B$6:$B$125,0)),"")&lt;&gt;$E55),"Mã TB không khớp công việc",IF(AND(OR($C55="Bảo trì định kỳ",$C55="Hiệu chuẩn – kiểm định"),$D55=""),"Thiếu mã công việc kế hoạch",IF($Q55="","Thiếu kết quả","OK")))))</f>
        <v>OK</v>
      </c>
      <c r="S55" s="29"/>
    </row>
    <row r="56" ht="25.5" customHeight="1">
      <c r="A56" s="10">
        <f t="shared" si="1"/>
        <v>51</v>
      </c>
      <c r="B56" s="13">
        <v>46291.0</v>
      </c>
      <c r="C56" s="11" t="s">
        <v>284</v>
      </c>
      <c r="D56" s="11" t="s">
        <v>105</v>
      </c>
      <c r="E56" s="11" t="s">
        <v>80</v>
      </c>
      <c r="F56" s="14" t="str">
        <f t="array" ref="F56">IF($E56="","",IFERROR(INDEX('Danh mục thiết bị'!$C$6:$C$65,MATCH($E56,'Danh mục thiết bị'!$B$6:$B$65,0)),"Mã TB không tồn tại"))</f>
        <v>Máy cắt thành phẩm tự động</v>
      </c>
      <c r="G56" s="14" t="str">
        <f t="array" ref="G56">IF($E56="","",IFERROR(INDEX('Danh mục thiết bị'!$D$6:$D$65,MATCH($E56,'Danh mục thiết bị'!$B$6:$B$65,0)),""))</f>
        <v>Máy sản xuất</v>
      </c>
      <c r="H56" s="15" t="s">
        <v>106</v>
      </c>
      <c r="I56" s="12" t="s">
        <v>107</v>
      </c>
      <c r="J56" s="19">
        <v>1.5</v>
      </c>
      <c r="K56" s="19">
        <v>0.0</v>
      </c>
      <c r="L56" s="20">
        <v>180000.0</v>
      </c>
      <c r="M56" s="20">
        <v>200000.0</v>
      </c>
      <c r="N56" s="20">
        <v>0.0</v>
      </c>
      <c r="O56" s="84">
        <f t="shared" si="2"/>
        <v>380000</v>
      </c>
      <c r="P56" s="15" t="s">
        <v>108</v>
      </c>
      <c r="Q56" s="11" t="s">
        <v>285</v>
      </c>
      <c r="R56" s="10" t="str">
        <f t="array" ref="R56">IF($E56="","",IF($B56="","Thiếu ngày thực hiện",IF(AND($D56&lt;&gt;"",IFERROR(INDEX('Kế hoạch định kỳ'!$C$6:$C$125,MATCH($D56,'Kế hoạch định kỳ'!$B$6:$B$125,0)),"")&lt;&gt;$E56),"Mã TB không khớp công việc",IF(AND(OR($C56="Bảo trì định kỳ",$C56="Hiệu chuẩn – kiểm định"),$D56=""),"Thiếu mã công việc kế hoạch",IF($Q56="","Thiếu kết quả","OK")))))</f>
        <v>OK</v>
      </c>
      <c r="S56" s="15"/>
    </row>
    <row r="57" ht="25.5" customHeight="1">
      <c r="A57" s="26">
        <f t="shared" si="1"/>
        <v>52</v>
      </c>
      <c r="B57" s="32">
        <v>46293.0</v>
      </c>
      <c r="C57" s="27" t="s">
        <v>284</v>
      </c>
      <c r="D57" s="27" t="s">
        <v>196</v>
      </c>
      <c r="E57" s="27" t="s">
        <v>182</v>
      </c>
      <c r="F57" s="28" t="str">
        <f t="array" ref="F57">IF($E57="","",IFERROR(INDEX('Danh mục thiết bị'!$C$6:$C$65,MATCH($E57,'Danh mục thiết bị'!$B$6:$B$65,0)),"Mã TB không tồn tại"))</f>
        <v>Xe nâng điện 2,5 tấn #1</v>
      </c>
      <c r="G57" s="28" t="str">
        <f t="array" ref="G57">IF($E57="","",IFERROR(INDEX('Danh mục thiết bị'!$D$6:$D$65,MATCH($E57,'Danh mục thiết bị'!$B$6:$B$65,0)),""))</f>
        <v>Phương tiện – xe nâng</v>
      </c>
      <c r="H57" s="29" t="s">
        <v>197</v>
      </c>
      <c r="I57" s="31" t="s">
        <v>102</v>
      </c>
      <c r="J57" s="34">
        <v>1.5</v>
      </c>
      <c r="K57" s="34">
        <v>0.0</v>
      </c>
      <c r="L57" s="35">
        <v>180000.0</v>
      </c>
      <c r="M57" s="35">
        <v>150000.0</v>
      </c>
      <c r="N57" s="35">
        <v>0.0</v>
      </c>
      <c r="O57" s="85">
        <f t="shared" si="2"/>
        <v>330000</v>
      </c>
      <c r="P57" s="29" t="s">
        <v>201</v>
      </c>
      <c r="Q57" s="27" t="s">
        <v>285</v>
      </c>
      <c r="R57" s="26" t="str">
        <f t="array" ref="R57">IF($E57="","",IF($B57="","Thiếu ngày thực hiện",IF(AND($D57&lt;&gt;"",IFERROR(INDEX('Kế hoạch định kỳ'!$C$6:$C$125,MATCH($D57,'Kế hoạch định kỳ'!$B$6:$B$125,0)),"")&lt;&gt;$E57),"Mã TB không khớp công việc",IF(AND(OR($C57="Bảo trì định kỳ",$C57="Hiệu chuẩn – kiểm định"),$D57=""),"Thiếu mã công việc kế hoạch",IF($Q57="","Thiếu kết quả","OK")))))</f>
        <v>OK</v>
      </c>
      <c r="S57" s="29"/>
    </row>
    <row r="58" ht="25.5" customHeight="1">
      <c r="A58" s="10">
        <f t="shared" si="1"/>
        <v>53</v>
      </c>
      <c r="B58" s="13">
        <v>46294.0</v>
      </c>
      <c r="C58" s="11" t="s">
        <v>284</v>
      </c>
      <c r="D58" s="11" t="s">
        <v>205</v>
      </c>
      <c r="E58" s="11" t="s">
        <v>198</v>
      </c>
      <c r="F58" s="14" t="str">
        <f t="array" ref="F58">IF($E58="","",IFERROR(INDEX('Danh mục thiết bị'!$C$6:$C$65,MATCH($E58,'Danh mục thiết bị'!$B$6:$B$65,0)),"Mã TB không tồn tại"))</f>
        <v>Xe nâng điện 2,5 tấn #2</v>
      </c>
      <c r="G58" s="14" t="str">
        <f t="array" ref="G58">IF($E58="","",IFERROR(INDEX('Danh mục thiết bị'!$D$6:$D$65,MATCH($E58,'Danh mục thiết bị'!$B$6:$B$65,0)),""))</f>
        <v>Phương tiện – xe nâng</v>
      </c>
      <c r="H58" s="15" t="s">
        <v>197</v>
      </c>
      <c r="I58" s="12" t="s">
        <v>102</v>
      </c>
      <c r="J58" s="19">
        <v>1.5</v>
      </c>
      <c r="K58" s="19">
        <v>0.0</v>
      </c>
      <c r="L58" s="20">
        <v>180000.0</v>
      </c>
      <c r="M58" s="20">
        <v>150000.0</v>
      </c>
      <c r="N58" s="20">
        <v>0.0</v>
      </c>
      <c r="O58" s="84">
        <f t="shared" si="2"/>
        <v>330000</v>
      </c>
      <c r="P58" s="15" t="s">
        <v>201</v>
      </c>
      <c r="Q58" s="11" t="s">
        <v>285</v>
      </c>
      <c r="R58" s="10" t="str">
        <f t="array" ref="R58">IF($E58="","",IF($B58="","Thiếu ngày thực hiện",IF(AND($D58&lt;&gt;"",IFERROR(INDEX('Kế hoạch định kỳ'!$C$6:$C$125,MATCH($D58,'Kế hoạch định kỳ'!$B$6:$B$125,0)),"")&lt;&gt;$E58),"Mã TB không khớp công việc",IF(AND(OR($C58="Bảo trì định kỳ",$C58="Hiệu chuẩn – kiểm định"),$D58=""),"Thiếu mã công việc kế hoạch",IF($Q58="","Thiếu kết quả","OK")))))</f>
        <v>OK</v>
      </c>
      <c r="S58" s="15"/>
    </row>
    <row r="59" ht="25.5" customHeight="1">
      <c r="A59" s="26">
        <f t="shared" si="1"/>
        <v>54</v>
      </c>
      <c r="B59" s="32">
        <v>46295.0</v>
      </c>
      <c r="C59" s="27" t="s">
        <v>284</v>
      </c>
      <c r="D59" s="27" t="s">
        <v>226</v>
      </c>
      <c r="E59" s="27" t="s">
        <v>216</v>
      </c>
      <c r="F59" s="28" t="str">
        <f t="array" ref="F59">IF($E59="","",IFERROR(INDEX('Danh mục thiết bị'!$C$6:$C$65,MATCH($E59,'Danh mục thiết bị'!$B$6:$B$65,0)),"Mã TB không tồn tại"))</f>
        <v>Máy chủ và thiết bị mạng</v>
      </c>
      <c r="G59" s="28" t="str">
        <f t="array" ref="G59">IF($E59="","",IFERROR(INDEX('Danh mục thiết bị'!$D$6:$D$65,MATCH($E59,'Danh mục thiết bị'!$B$6:$B$65,0)),""))</f>
        <v>Thiết bị CNTT</v>
      </c>
      <c r="H59" s="29" t="s">
        <v>227</v>
      </c>
      <c r="I59" s="31" t="s">
        <v>223</v>
      </c>
      <c r="J59" s="34">
        <v>2.0</v>
      </c>
      <c r="K59" s="34">
        <v>0.0</v>
      </c>
      <c r="L59" s="35">
        <v>240000.0</v>
      </c>
      <c r="M59" s="35">
        <v>0.0</v>
      </c>
      <c r="N59" s="35">
        <v>0.0</v>
      </c>
      <c r="O59" s="85">
        <f t="shared" si="2"/>
        <v>240000</v>
      </c>
      <c r="P59" s="29"/>
      <c r="Q59" s="27" t="s">
        <v>285</v>
      </c>
      <c r="R59" s="26" t="str">
        <f t="array" ref="R59">IF($E59="","",IF($B59="","Thiếu ngày thực hiện",IF(AND($D59&lt;&gt;"",IFERROR(INDEX('Kế hoạch định kỳ'!$C$6:$C$125,MATCH($D59,'Kế hoạch định kỳ'!$B$6:$B$125,0)),"")&lt;&gt;$E59),"Mã TB không khớp công việc",IF(AND(OR($C59="Bảo trì định kỳ",$C59="Hiệu chuẩn – kiểm định"),$D59=""),"Thiếu mã công việc kế hoạch",IF($Q59="","Thiếu kết quả","OK")))))</f>
        <v>OK</v>
      </c>
      <c r="S59" s="29"/>
    </row>
    <row r="60" ht="25.5" customHeight="1">
      <c r="A60" s="10">
        <f t="shared" si="1"/>
        <v>55</v>
      </c>
      <c r="B60" s="13">
        <v>46300.0</v>
      </c>
      <c r="C60" s="11" t="s">
        <v>284</v>
      </c>
      <c r="D60" s="11" t="s">
        <v>194</v>
      </c>
      <c r="E60" s="11" t="s">
        <v>165</v>
      </c>
      <c r="F60" s="14" t="str">
        <f t="array" ref="F60">IF($E60="","",IFERROR(INDEX('Danh mục thiết bị'!$C$6:$C$65,MATCH($E60,'Danh mục thiết bị'!$B$6:$B$65,0)),"Mã TB không tồn tại"))</f>
        <v>Băng tải đóng gói số 2</v>
      </c>
      <c r="G60" s="14" t="str">
        <f t="array" ref="G60">IF($E60="","",IFERROR(INDEX('Danh mục thiết bị'!$D$6:$D$65,MATCH($E60,'Danh mục thiết bị'!$B$6:$B$65,0)),""))</f>
        <v>Băng tải – nâng hạ</v>
      </c>
      <c r="H60" s="15" t="s">
        <v>195</v>
      </c>
      <c r="I60" s="12" t="s">
        <v>74</v>
      </c>
      <c r="J60" s="19">
        <v>2.0</v>
      </c>
      <c r="K60" s="19">
        <v>0.0</v>
      </c>
      <c r="L60" s="20">
        <v>240000.0</v>
      </c>
      <c r="M60" s="20">
        <v>250000.0</v>
      </c>
      <c r="N60" s="20">
        <v>0.0</v>
      </c>
      <c r="O60" s="84">
        <f t="shared" si="2"/>
        <v>490000</v>
      </c>
      <c r="P60" s="15" t="s">
        <v>108</v>
      </c>
      <c r="Q60" s="11" t="s">
        <v>285</v>
      </c>
      <c r="R60" s="10" t="str">
        <f t="array" ref="R60">IF($E60="","",IF($B60="","Thiếu ngày thực hiện",IF(AND($D60&lt;&gt;"",IFERROR(INDEX('Kế hoạch định kỳ'!$C$6:$C$125,MATCH($D60,'Kế hoạch định kỳ'!$B$6:$B$125,0)),"")&lt;&gt;$E60),"Mã TB không khớp công việc",IF(AND(OR($C60="Bảo trì định kỳ",$C60="Hiệu chuẩn – kiểm định"),$D60=""),"Thiếu mã công việc kế hoạch",IF($Q60="","Thiếu kết quả","OK")))))</f>
        <v>OK</v>
      </c>
      <c r="S60" s="15"/>
    </row>
    <row r="61" ht="25.5" customHeight="1">
      <c r="A61" s="26">
        <f t="shared" si="1"/>
        <v>56</v>
      </c>
      <c r="B61" s="32">
        <v>46303.0</v>
      </c>
      <c r="C61" s="27" t="s">
        <v>284</v>
      </c>
      <c r="D61" s="27" t="s">
        <v>109</v>
      </c>
      <c r="E61" s="27" t="s">
        <v>96</v>
      </c>
      <c r="F61" s="28" t="str">
        <f t="array" ref="F61">IF($E61="","",IFERROR(INDEX('Danh mục thiết bị'!$C$6:$C$65,MATCH($E61,'Danh mục thiết bị'!$B$6:$B$65,0)),"Mã TB không tồn tại"))</f>
        <v>Máy nén khí trục vít 75kW</v>
      </c>
      <c r="G61" s="28" t="str">
        <f t="array" ref="G61">IF($E61="","",IFERROR(INDEX('Danh mục thiết bị'!$D$6:$D$65,MATCH($E61,'Danh mục thiết bị'!$B$6:$B$65,0)),""))</f>
        <v>Máy nén khí</v>
      </c>
      <c r="H61" s="29" t="s">
        <v>110</v>
      </c>
      <c r="I61" s="31" t="s">
        <v>102</v>
      </c>
      <c r="J61" s="34">
        <v>1.0</v>
      </c>
      <c r="K61" s="34">
        <v>0.0</v>
      </c>
      <c r="L61" s="35">
        <v>120000.0</v>
      </c>
      <c r="M61" s="35">
        <v>300000.0</v>
      </c>
      <c r="N61" s="35">
        <v>0.0</v>
      </c>
      <c r="O61" s="85">
        <f t="shared" si="2"/>
        <v>420000</v>
      </c>
      <c r="P61" s="29" t="s">
        <v>119</v>
      </c>
      <c r="Q61" s="27" t="s">
        <v>285</v>
      </c>
      <c r="R61" s="26" t="str">
        <f t="array" ref="R61">IF($E61="","",IF($B61="","Thiếu ngày thực hiện",IF(AND($D61&lt;&gt;"",IFERROR(INDEX('Kế hoạch định kỳ'!$C$6:$C$125,MATCH($D61,'Kế hoạch định kỳ'!$B$6:$B$125,0)),"")&lt;&gt;$E61),"Mã TB không khớp công việc",IF(AND(OR($C61="Bảo trì định kỳ",$C61="Hiệu chuẩn – kiểm định"),$D61=""),"Thiếu mã công việc kế hoạch",IF($Q61="","Thiếu kết quả","OK")))))</f>
        <v>OK</v>
      </c>
      <c r="S61" s="29"/>
    </row>
    <row r="62" ht="25.5" customHeight="1">
      <c r="A62" s="10">
        <f t="shared" si="1"/>
        <v>57</v>
      </c>
      <c r="B62" s="13">
        <v>46305.0</v>
      </c>
      <c r="C62" s="11" t="s">
        <v>284</v>
      </c>
      <c r="D62" s="11" t="s">
        <v>231</v>
      </c>
      <c r="E62" s="11" t="s">
        <v>165</v>
      </c>
      <c r="F62" s="14" t="str">
        <f t="array" ref="F62">IF($E62="","",IFERROR(INDEX('Danh mục thiết bị'!$C$6:$C$65,MATCH($E62,'Danh mục thiết bị'!$B$6:$B$65,0)),"Mã TB không tồn tại"))</f>
        <v>Băng tải đóng gói số 2</v>
      </c>
      <c r="G62" s="14" t="str">
        <f t="array" ref="G62">IF($E62="","",IFERROR(INDEX('Danh mục thiết bị'!$D$6:$D$65,MATCH($E62,'Danh mục thiết bị'!$B$6:$B$65,0)),""))</f>
        <v>Băng tải – nâng hạ</v>
      </c>
      <c r="H62" s="15" t="s">
        <v>232</v>
      </c>
      <c r="I62" s="12" t="s">
        <v>107</v>
      </c>
      <c r="J62" s="19">
        <v>1.0</v>
      </c>
      <c r="K62" s="19">
        <v>0.0</v>
      </c>
      <c r="L62" s="20">
        <v>120000.0</v>
      </c>
      <c r="M62" s="20">
        <v>0.0</v>
      </c>
      <c r="N62" s="20">
        <v>0.0</v>
      </c>
      <c r="O62" s="84">
        <f t="shared" si="2"/>
        <v>120000</v>
      </c>
      <c r="P62" s="15"/>
      <c r="Q62" s="11" t="s">
        <v>285</v>
      </c>
      <c r="R62" s="10" t="str">
        <f t="array" ref="R62">IF($E62="","",IF($B62="","Thiếu ngày thực hiện",IF(AND($D62&lt;&gt;"",IFERROR(INDEX('Kế hoạch định kỳ'!$C$6:$C$125,MATCH($D62,'Kế hoạch định kỳ'!$B$6:$B$125,0)),"")&lt;&gt;$E62),"Mã TB không khớp công việc",IF(AND(OR($C62="Bảo trì định kỳ",$C62="Hiệu chuẩn – kiểm định"),$D62=""),"Thiếu mã công việc kế hoạch",IF($Q62="","Thiếu kết quả","OK")))))</f>
        <v>OK</v>
      </c>
      <c r="S62" s="15"/>
    </row>
    <row r="63" ht="25.5" customHeight="1">
      <c r="A63" s="26">
        <f t="shared" si="1"/>
        <v>58</v>
      </c>
      <c r="B63" s="32">
        <v>46307.0</v>
      </c>
      <c r="C63" s="27" t="s">
        <v>284</v>
      </c>
      <c r="D63" s="27" t="s">
        <v>60</v>
      </c>
      <c r="E63" s="27" t="s">
        <v>58</v>
      </c>
      <c r="F63" s="28" t="str">
        <f t="array" ref="F63">IF($E63="","",IFERROR(INDEX('Danh mục thiết bị'!$C$6:$C$65,MATCH($E63,'Danh mục thiết bị'!$B$6:$B$65,0)),"Mã TB không tồn tại"))</f>
        <v>Máy in Flexo 6 màu</v>
      </c>
      <c r="G63" s="28" t="str">
        <f t="array" ref="G63">IF($E63="","",IFERROR(INDEX('Danh mục thiết bị'!$D$6:$D$65,MATCH($E63,'Danh mục thiết bị'!$B$6:$B$65,0)),""))</f>
        <v>Máy sản xuất</v>
      </c>
      <c r="H63" s="29" t="s">
        <v>69</v>
      </c>
      <c r="I63" s="31" t="s">
        <v>74</v>
      </c>
      <c r="J63" s="34">
        <v>3.0</v>
      </c>
      <c r="K63" s="34">
        <v>0.0</v>
      </c>
      <c r="L63" s="35">
        <v>360000.0</v>
      </c>
      <c r="M63" s="35">
        <v>400000.0</v>
      </c>
      <c r="N63" s="35">
        <v>0.0</v>
      </c>
      <c r="O63" s="85">
        <f t="shared" si="2"/>
        <v>760000</v>
      </c>
      <c r="P63" s="29" t="s">
        <v>75</v>
      </c>
      <c r="Q63" s="27" t="s">
        <v>285</v>
      </c>
      <c r="R63" s="26" t="str">
        <f t="array" ref="R63">IF($E63="","",IF($B63="","Thiếu ngày thực hiện",IF(AND($D63&lt;&gt;"",IFERROR(INDEX('Kế hoạch định kỳ'!$C$6:$C$125,MATCH($D63,'Kế hoạch định kỳ'!$B$6:$B$125,0)),"")&lt;&gt;$E63),"Mã TB không khớp công việc",IF(AND(OR($C63="Bảo trì định kỳ",$C63="Hiệu chuẩn – kiểm định"),$D63=""),"Thiếu mã công việc kế hoạch",IF($Q63="","Thiếu kết quả","OK")))))</f>
        <v>OK</v>
      </c>
      <c r="S63" s="29"/>
    </row>
    <row r="64" ht="25.5" customHeight="1">
      <c r="A64" s="10">
        <f t="shared" si="1"/>
        <v>59</v>
      </c>
      <c r="B64" s="13">
        <v>46310.0</v>
      </c>
      <c r="C64" s="11" t="s">
        <v>284</v>
      </c>
      <c r="D64" s="11" t="s">
        <v>211</v>
      </c>
      <c r="E64" s="11" t="s">
        <v>206</v>
      </c>
      <c r="F64" s="14" t="str">
        <f t="array" ref="F64">IF($E64="","",IFERROR(INDEX('Danh mục thiết bị'!$C$6:$C$65,MATCH($E64,'Danh mục thiết bị'!$B$6:$B$65,0)),"Mã TB không tồn tại"))</f>
        <v>Máy dán thùng carton tự động</v>
      </c>
      <c r="G64" s="14" t="str">
        <f t="array" ref="G64">IF($E64="","",IFERROR(INDEX('Danh mục thiết bị'!$D$6:$D$65,MATCH($E64,'Danh mục thiết bị'!$B$6:$B$65,0)),""))</f>
        <v>Máy sản xuất</v>
      </c>
      <c r="H64" s="15" t="s">
        <v>212</v>
      </c>
      <c r="I64" s="12" t="s">
        <v>74</v>
      </c>
      <c r="J64" s="19">
        <v>2.0</v>
      </c>
      <c r="K64" s="19">
        <v>0.0</v>
      </c>
      <c r="L64" s="20">
        <v>240000.0</v>
      </c>
      <c r="M64" s="20">
        <v>300000.0</v>
      </c>
      <c r="N64" s="20">
        <v>0.0</v>
      </c>
      <c r="O64" s="84">
        <f t="shared" si="2"/>
        <v>540000</v>
      </c>
      <c r="P64" s="15" t="s">
        <v>213</v>
      </c>
      <c r="Q64" s="11" t="s">
        <v>285</v>
      </c>
      <c r="R64" s="10" t="str">
        <f t="array" ref="R64">IF($E64="","",IF($B64="","Thiếu ngày thực hiện",IF(AND($D64&lt;&gt;"",IFERROR(INDEX('Kế hoạch định kỳ'!$C$6:$C$125,MATCH($D64,'Kế hoạch định kỳ'!$B$6:$B$125,0)),"")&lt;&gt;$E64),"Mã TB không khớp công việc",IF(AND(OR($C64="Bảo trì định kỳ",$C64="Hiệu chuẩn – kiểm định"),$D64=""),"Thiếu mã công việc kế hoạch",IF($Q64="","Thiếu kết quả","OK")))))</f>
        <v>OK</v>
      </c>
      <c r="S64" s="15"/>
    </row>
    <row r="65" ht="25.5" customHeight="1">
      <c r="A65" s="26">
        <f t="shared" si="1"/>
        <v>60</v>
      </c>
      <c r="B65" s="32">
        <v>46316.0</v>
      </c>
      <c r="C65" s="27" t="s">
        <v>287</v>
      </c>
      <c r="D65" s="27"/>
      <c r="E65" s="27" t="s">
        <v>206</v>
      </c>
      <c r="F65" s="28" t="str">
        <f t="array" ref="F65">IF($E65="","",IFERROR(INDEX('Danh mục thiết bị'!$C$6:$C$65,MATCH($E65,'Danh mục thiết bị'!$B$6:$B$65,0)),"Mã TB không tồn tại"))</f>
        <v>Máy dán thùng carton tự động</v>
      </c>
      <c r="G65" s="28" t="str">
        <f t="array" ref="G65">IF($E65="","",IFERROR(INDEX('Danh mục thiết bị'!$D$6:$D$65,MATCH($E65,'Danh mục thiết bị'!$B$6:$B$65,0)),""))</f>
        <v>Máy sản xuất</v>
      </c>
      <c r="H65" s="29" t="s">
        <v>303</v>
      </c>
      <c r="I65" s="31" t="s">
        <v>74</v>
      </c>
      <c r="J65" s="34">
        <v>3.0</v>
      </c>
      <c r="K65" s="34">
        <v>4.0</v>
      </c>
      <c r="L65" s="35">
        <v>360000.0</v>
      </c>
      <c r="M65" s="35">
        <v>600000.0</v>
      </c>
      <c r="N65" s="35">
        <v>0.0</v>
      </c>
      <c r="O65" s="85">
        <f t="shared" si="2"/>
        <v>960000</v>
      </c>
      <c r="P65" s="29" t="s">
        <v>225</v>
      </c>
      <c r="Q65" s="27" t="s">
        <v>285</v>
      </c>
      <c r="R65" s="26" t="str">
        <f t="array" ref="R65">IF($E65="","",IF($B65="","Thiếu ngày thực hiện",IF(AND($D65&lt;&gt;"",IFERROR(INDEX('Kế hoạch định kỳ'!$C$6:$C$125,MATCH($D65,'Kế hoạch định kỳ'!$B$6:$B$125,0)),"")&lt;&gt;$E65),"Mã TB không khớp công việc",IF(AND(OR($C65="Bảo trì định kỳ",$C65="Hiệu chuẩn – kiểm định"),$D65=""),"Thiếu mã công việc kế hoạch",IF($Q65="","Thiếu kết quả","OK")))))</f>
        <v>OK</v>
      </c>
      <c r="S65" s="29" t="s">
        <v>304</v>
      </c>
    </row>
    <row r="66" ht="25.5" customHeight="1">
      <c r="A66" s="10">
        <f t="shared" si="1"/>
        <v>61</v>
      </c>
      <c r="B66" s="13">
        <v>46317.0</v>
      </c>
      <c r="C66" s="11" t="s">
        <v>284</v>
      </c>
      <c r="D66" s="11" t="s">
        <v>109</v>
      </c>
      <c r="E66" s="11" t="s">
        <v>96</v>
      </c>
      <c r="F66" s="14" t="str">
        <f t="array" ref="F66">IF($E66="","",IFERROR(INDEX('Danh mục thiết bị'!$C$6:$C$65,MATCH($E66,'Danh mục thiết bị'!$B$6:$B$65,0)),"Mã TB không tồn tại"))</f>
        <v>Máy nén khí trục vít 75kW</v>
      </c>
      <c r="G66" s="14" t="str">
        <f t="array" ref="G66">IF($E66="","",IFERROR(INDEX('Danh mục thiết bị'!$D$6:$D$65,MATCH($E66,'Danh mục thiết bị'!$B$6:$B$65,0)),""))</f>
        <v>Máy nén khí</v>
      </c>
      <c r="H66" s="15" t="s">
        <v>110</v>
      </c>
      <c r="I66" s="12" t="s">
        <v>102</v>
      </c>
      <c r="J66" s="19">
        <v>1.0</v>
      </c>
      <c r="K66" s="19">
        <v>0.0</v>
      </c>
      <c r="L66" s="20">
        <v>120000.0</v>
      </c>
      <c r="M66" s="20">
        <v>300000.0</v>
      </c>
      <c r="N66" s="20">
        <v>0.0</v>
      </c>
      <c r="O66" s="84">
        <f t="shared" si="2"/>
        <v>420000</v>
      </c>
      <c r="P66" s="15" t="s">
        <v>119</v>
      </c>
      <c r="Q66" s="11" t="s">
        <v>285</v>
      </c>
      <c r="R66" s="10" t="str">
        <f t="array" ref="R66">IF($E66="","",IF($B66="","Thiếu ngày thực hiện",IF(AND($D66&lt;&gt;"",IFERROR(INDEX('Kế hoạch định kỳ'!$C$6:$C$125,MATCH($D66,'Kế hoạch định kỳ'!$B$6:$B$125,0)),"")&lt;&gt;$E66),"Mã TB không khớp công việc",IF(AND(OR($C66="Bảo trì định kỳ",$C66="Hiệu chuẩn – kiểm định"),$D66=""),"Thiếu mã công việc kế hoạch",IF($Q66="","Thiếu kết quả","OK")))))</f>
        <v>OK</v>
      </c>
      <c r="S66" s="15"/>
    </row>
    <row r="67" ht="25.5" customHeight="1">
      <c r="A67" s="26">
        <f t="shared" si="1"/>
        <v>62</v>
      </c>
      <c r="B67" s="32">
        <v>46322.0</v>
      </c>
      <c r="C67" s="27" t="s">
        <v>287</v>
      </c>
      <c r="D67" s="27"/>
      <c r="E67" s="27" t="s">
        <v>182</v>
      </c>
      <c r="F67" s="28" t="str">
        <f t="array" ref="F67">IF($E67="","",IFERROR(INDEX('Danh mục thiết bị'!$C$6:$C$65,MATCH($E67,'Danh mục thiết bị'!$B$6:$B$65,0)),"Mã TB không tồn tại"))</f>
        <v>Xe nâng điện 2,5 tấn #1</v>
      </c>
      <c r="G67" s="28" t="str">
        <f t="array" ref="G67">IF($E67="","",IFERROR(INDEX('Danh mục thiết bị'!$D$6:$D$65,MATCH($E67,'Danh mục thiết bị'!$B$6:$B$65,0)),""))</f>
        <v>Phương tiện – xe nâng</v>
      </c>
      <c r="H67" s="29" t="s">
        <v>305</v>
      </c>
      <c r="I67" s="31" t="s">
        <v>102</v>
      </c>
      <c r="J67" s="34">
        <v>6.0</v>
      </c>
      <c r="K67" s="34">
        <v>8.0</v>
      </c>
      <c r="L67" s="35">
        <v>720000.0</v>
      </c>
      <c r="M67" s="35">
        <v>5500000.0</v>
      </c>
      <c r="N67" s="35">
        <v>0.0</v>
      </c>
      <c r="O67" s="85">
        <f t="shared" si="2"/>
        <v>6220000</v>
      </c>
      <c r="P67" s="29" t="s">
        <v>306</v>
      </c>
      <c r="Q67" s="27" t="s">
        <v>307</v>
      </c>
      <c r="R67" s="26" t="str">
        <f t="array" ref="R67">IF($E67="","",IF($B67="","Thiếu ngày thực hiện",IF(AND($D67&lt;&gt;"",IFERROR(INDEX('Kế hoạch định kỳ'!$C$6:$C$125,MATCH($D67,'Kế hoạch định kỳ'!$B$6:$B$125,0)),"")&lt;&gt;$E67),"Mã TB không khớp công việc",IF(AND(OR($C67="Bảo trì định kỳ",$C67="Hiệu chuẩn – kiểm định"),$D67=""),"Thiếu mã công việc kế hoạch",IF($Q67="","Thiếu kết quả","OK")))))</f>
        <v>OK</v>
      </c>
      <c r="S67" s="29" t="s">
        <v>308</v>
      </c>
    </row>
    <row r="68" ht="25.5" customHeight="1">
      <c r="A68" s="10">
        <f t="shared" si="1"/>
        <v>63</v>
      </c>
      <c r="B68" s="13">
        <v>46323.0</v>
      </c>
      <c r="C68" s="11" t="s">
        <v>284</v>
      </c>
      <c r="D68" s="11" t="s">
        <v>196</v>
      </c>
      <c r="E68" s="11" t="s">
        <v>182</v>
      </c>
      <c r="F68" s="14" t="str">
        <f t="array" ref="F68">IF($E68="","",IFERROR(INDEX('Danh mục thiết bị'!$C$6:$C$65,MATCH($E68,'Danh mục thiết bị'!$B$6:$B$65,0)),"Mã TB không tồn tại"))</f>
        <v>Xe nâng điện 2,5 tấn #1</v>
      </c>
      <c r="G68" s="14" t="str">
        <f t="array" ref="G68">IF($E68="","",IFERROR(INDEX('Danh mục thiết bị'!$D$6:$D$65,MATCH($E68,'Danh mục thiết bị'!$B$6:$B$65,0)),""))</f>
        <v>Phương tiện – xe nâng</v>
      </c>
      <c r="H68" s="15" t="s">
        <v>197</v>
      </c>
      <c r="I68" s="12" t="s">
        <v>102</v>
      </c>
      <c r="J68" s="19">
        <v>1.5</v>
      </c>
      <c r="K68" s="19">
        <v>0.0</v>
      </c>
      <c r="L68" s="20">
        <v>180000.0</v>
      </c>
      <c r="M68" s="20">
        <v>150000.0</v>
      </c>
      <c r="N68" s="20">
        <v>0.0</v>
      </c>
      <c r="O68" s="84">
        <f t="shared" si="2"/>
        <v>330000</v>
      </c>
      <c r="P68" s="15" t="s">
        <v>201</v>
      </c>
      <c r="Q68" s="11" t="s">
        <v>285</v>
      </c>
      <c r="R68" s="10" t="str">
        <f t="array" ref="R68">IF($E68="","",IF($B68="","Thiếu ngày thực hiện",IF(AND($D68&lt;&gt;"",IFERROR(INDEX('Kế hoạch định kỳ'!$C$6:$C$125,MATCH($D68,'Kế hoạch định kỳ'!$B$6:$B$125,0)),"")&lt;&gt;$E68),"Mã TB không khớp công việc",IF(AND(OR($C68="Bảo trì định kỳ",$C68="Hiệu chuẩn – kiểm định"),$D68=""),"Thiếu mã công việc kế hoạch",IF($Q68="","Thiếu kết quả","OK")))))</f>
        <v>OK</v>
      </c>
      <c r="S68" s="15"/>
    </row>
    <row r="69" ht="25.5" customHeight="1">
      <c r="A69" s="26">
        <f t="shared" si="1"/>
        <v>64</v>
      </c>
      <c r="B69" s="32">
        <v>46325.0</v>
      </c>
      <c r="C69" s="27" t="s">
        <v>284</v>
      </c>
      <c r="D69" s="27" t="s">
        <v>226</v>
      </c>
      <c r="E69" s="27" t="s">
        <v>216</v>
      </c>
      <c r="F69" s="28" t="str">
        <f t="array" ref="F69">IF($E69="","",IFERROR(INDEX('Danh mục thiết bị'!$C$6:$C$65,MATCH($E69,'Danh mục thiết bị'!$B$6:$B$65,0)),"Mã TB không tồn tại"))</f>
        <v>Máy chủ và thiết bị mạng</v>
      </c>
      <c r="G69" s="28" t="str">
        <f t="array" ref="G69">IF($E69="","",IFERROR(INDEX('Danh mục thiết bị'!$D$6:$D$65,MATCH($E69,'Danh mục thiết bị'!$B$6:$B$65,0)),""))</f>
        <v>Thiết bị CNTT</v>
      </c>
      <c r="H69" s="29" t="s">
        <v>227</v>
      </c>
      <c r="I69" s="31" t="s">
        <v>223</v>
      </c>
      <c r="J69" s="34">
        <v>2.0</v>
      </c>
      <c r="K69" s="34">
        <v>0.0</v>
      </c>
      <c r="L69" s="35">
        <v>240000.0</v>
      </c>
      <c r="M69" s="35">
        <v>0.0</v>
      </c>
      <c r="N69" s="35">
        <v>0.0</v>
      </c>
      <c r="O69" s="85">
        <f t="shared" si="2"/>
        <v>240000</v>
      </c>
      <c r="P69" s="29"/>
      <c r="Q69" s="27" t="s">
        <v>285</v>
      </c>
      <c r="R69" s="26" t="str">
        <f t="array" ref="R69">IF($E69="","",IF($B69="","Thiếu ngày thực hiện",IF(AND($D69&lt;&gt;"",IFERROR(INDEX('Kế hoạch định kỳ'!$C$6:$C$125,MATCH($D69,'Kế hoạch định kỳ'!$B$6:$B$125,0)),"")&lt;&gt;$E69),"Mã TB không khớp công việc",IF(AND(OR($C69="Bảo trì định kỳ",$C69="Hiệu chuẩn – kiểm định"),$D69=""),"Thiếu mã công việc kế hoạch",IF($Q69="","Thiếu kết quả","OK")))))</f>
        <v>OK</v>
      </c>
      <c r="S69" s="29"/>
    </row>
    <row r="70" ht="25.5" customHeight="1">
      <c r="A70" s="10" t="str">
        <f t="shared" si="1"/>
        <v/>
      </c>
      <c r="B70" s="13"/>
      <c r="C70" s="11"/>
      <c r="D70" s="11"/>
      <c r="E70" s="11"/>
      <c r="F70" s="14" t="str">
        <f t="array" ref="F70">IF($E70="","",IFERROR(INDEX('Danh mục thiết bị'!$C$6:$C$65,MATCH($E70,'Danh mục thiết bị'!$B$6:$B$65,0)),"Mã TB không tồn tại"))</f>
        <v/>
      </c>
      <c r="G70" s="14" t="str">
        <f t="array" ref="G70">IF($E70="","",IFERROR(INDEX('Danh mục thiết bị'!$D$6:$D$65,MATCH($E70,'Danh mục thiết bị'!$B$6:$B$65,0)),""))</f>
        <v/>
      </c>
      <c r="H70" s="15"/>
      <c r="I70" s="12"/>
      <c r="J70" s="19"/>
      <c r="K70" s="19"/>
      <c r="L70" s="20"/>
      <c r="M70" s="20"/>
      <c r="N70" s="20"/>
      <c r="O70" s="84" t="str">
        <f t="shared" si="2"/>
        <v/>
      </c>
      <c r="P70" s="15"/>
      <c r="Q70" s="11"/>
      <c r="R70" s="10" t="str">
        <f t="array" ref="R70">IF($E70="","",IF($B70="","Thiếu ngày thực hiện",IF(AND($D70&lt;&gt;"",IFERROR(INDEX('Kế hoạch định kỳ'!$C$6:$C$125,MATCH($D70,'Kế hoạch định kỳ'!$B$6:$B$125,0)),"")&lt;&gt;$E70),"Mã TB không khớp công việc",IF(AND(OR($C70="Bảo trì định kỳ",$C70="Hiệu chuẩn – kiểm định"),$D70=""),"Thiếu mã công việc kế hoạch",IF($Q70="","Thiếu kết quả","OK")))))</f>
        <v/>
      </c>
      <c r="S70" s="15"/>
    </row>
    <row r="71" ht="25.5" customHeight="1">
      <c r="A71" s="26" t="str">
        <f t="shared" si="1"/>
        <v/>
      </c>
      <c r="B71" s="32"/>
      <c r="C71" s="27"/>
      <c r="D71" s="27"/>
      <c r="E71" s="27"/>
      <c r="F71" s="28" t="str">
        <f t="array" ref="F71">IF($E71="","",IFERROR(INDEX('Danh mục thiết bị'!$C$6:$C$65,MATCH($E71,'Danh mục thiết bị'!$B$6:$B$65,0)),"Mã TB không tồn tại"))</f>
        <v/>
      </c>
      <c r="G71" s="28" t="str">
        <f t="array" ref="G71">IF($E71="","",IFERROR(INDEX('Danh mục thiết bị'!$D$6:$D$65,MATCH($E71,'Danh mục thiết bị'!$B$6:$B$65,0)),""))</f>
        <v/>
      </c>
      <c r="H71" s="29"/>
      <c r="I71" s="31"/>
      <c r="J71" s="34"/>
      <c r="K71" s="34"/>
      <c r="L71" s="35"/>
      <c r="M71" s="35"/>
      <c r="N71" s="35"/>
      <c r="O71" s="85" t="str">
        <f t="shared" si="2"/>
        <v/>
      </c>
      <c r="P71" s="29"/>
      <c r="Q71" s="27"/>
      <c r="R71" s="26" t="str">
        <f t="array" ref="R71">IF($E71="","",IF($B71="","Thiếu ngày thực hiện",IF(AND($D71&lt;&gt;"",IFERROR(INDEX('Kế hoạch định kỳ'!$C$6:$C$125,MATCH($D71,'Kế hoạch định kỳ'!$B$6:$B$125,0)),"")&lt;&gt;$E71),"Mã TB không khớp công việc",IF(AND(OR($C71="Bảo trì định kỳ",$C71="Hiệu chuẩn – kiểm định"),$D71=""),"Thiếu mã công việc kế hoạch",IF($Q71="","Thiếu kết quả","OK")))))</f>
        <v/>
      </c>
      <c r="S71" s="29"/>
    </row>
    <row r="72" ht="25.5" customHeight="1">
      <c r="A72" s="10" t="str">
        <f t="shared" si="1"/>
        <v/>
      </c>
      <c r="B72" s="13"/>
      <c r="C72" s="11"/>
      <c r="D72" s="11"/>
      <c r="E72" s="11"/>
      <c r="F72" s="14" t="str">
        <f t="array" ref="F72">IF($E72="","",IFERROR(INDEX('Danh mục thiết bị'!$C$6:$C$65,MATCH($E72,'Danh mục thiết bị'!$B$6:$B$65,0)),"Mã TB không tồn tại"))</f>
        <v/>
      </c>
      <c r="G72" s="14" t="str">
        <f t="array" ref="G72">IF($E72="","",IFERROR(INDEX('Danh mục thiết bị'!$D$6:$D$65,MATCH($E72,'Danh mục thiết bị'!$B$6:$B$65,0)),""))</f>
        <v/>
      </c>
      <c r="H72" s="15"/>
      <c r="I72" s="12"/>
      <c r="J72" s="19"/>
      <c r="K72" s="19"/>
      <c r="L72" s="20"/>
      <c r="M72" s="20"/>
      <c r="N72" s="20"/>
      <c r="O72" s="84" t="str">
        <f t="shared" si="2"/>
        <v/>
      </c>
      <c r="P72" s="15"/>
      <c r="Q72" s="11"/>
      <c r="R72" s="10" t="str">
        <f t="array" ref="R72">IF($E72="","",IF($B72="","Thiếu ngày thực hiện",IF(AND($D72&lt;&gt;"",IFERROR(INDEX('Kế hoạch định kỳ'!$C$6:$C$125,MATCH($D72,'Kế hoạch định kỳ'!$B$6:$B$125,0)),"")&lt;&gt;$E72),"Mã TB không khớp công việc",IF(AND(OR($C72="Bảo trì định kỳ",$C72="Hiệu chuẩn – kiểm định"),$D72=""),"Thiếu mã công việc kế hoạch",IF($Q72="","Thiếu kết quả","OK")))))</f>
        <v/>
      </c>
      <c r="S72" s="15"/>
    </row>
    <row r="73" ht="25.5" customHeight="1">
      <c r="A73" s="26" t="str">
        <f t="shared" si="1"/>
        <v/>
      </c>
      <c r="B73" s="32"/>
      <c r="C73" s="27"/>
      <c r="D73" s="27"/>
      <c r="E73" s="27"/>
      <c r="F73" s="28" t="str">
        <f t="array" ref="F73">IF($E73="","",IFERROR(INDEX('Danh mục thiết bị'!$C$6:$C$65,MATCH($E73,'Danh mục thiết bị'!$B$6:$B$65,0)),"Mã TB không tồn tại"))</f>
        <v/>
      </c>
      <c r="G73" s="28" t="str">
        <f t="array" ref="G73">IF($E73="","",IFERROR(INDEX('Danh mục thiết bị'!$D$6:$D$65,MATCH($E73,'Danh mục thiết bị'!$B$6:$B$65,0)),""))</f>
        <v/>
      </c>
      <c r="H73" s="29"/>
      <c r="I73" s="31"/>
      <c r="J73" s="34"/>
      <c r="K73" s="34"/>
      <c r="L73" s="35"/>
      <c r="M73" s="35"/>
      <c r="N73" s="35"/>
      <c r="O73" s="85" t="str">
        <f t="shared" si="2"/>
        <v/>
      </c>
      <c r="P73" s="29"/>
      <c r="Q73" s="27"/>
      <c r="R73" s="26" t="str">
        <f t="array" ref="R73">IF($E73="","",IF($B73="","Thiếu ngày thực hiện",IF(AND($D73&lt;&gt;"",IFERROR(INDEX('Kế hoạch định kỳ'!$C$6:$C$125,MATCH($D73,'Kế hoạch định kỳ'!$B$6:$B$125,0)),"")&lt;&gt;$E73),"Mã TB không khớp công việc",IF(AND(OR($C73="Bảo trì định kỳ",$C73="Hiệu chuẩn – kiểm định"),$D73=""),"Thiếu mã công việc kế hoạch",IF($Q73="","Thiếu kết quả","OK")))))</f>
        <v/>
      </c>
      <c r="S73" s="29"/>
    </row>
    <row r="74" ht="25.5" customHeight="1">
      <c r="A74" s="10" t="str">
        <f t="shared" si="1"/>
        <v/>
      </c>
      <c r="B74" s="13"/>
      <c r="C74" s="11"/>
      <c r="D74" s="11"/>
      <c r="E74" s="11"/>
      <c r="F74" s="14" t="str">
        <f t="array" ref="F74">IF($E74="","",IFERROR(INDEX('Danh mục thiết bị'!$C$6:$C$65,MATCH($E74,'Danh mục thiết bị'!$B$6:$B$65,0)),"Mã TB không tồn tại"))</f>
        <v/>
      </c>
      <c r="G74" s="14" t="str">
        <f t="array" ref="G74">IF($E74="","",IFERROR(INDEX('Danh mục thiết bị'!$D$6:$D$65,MATCH($E74,'Danh mục thiết bị'!$B$6:$B$65,0)),""))</f>
        <v/>
      </c>
      <c r="H74" s="15"/>
      <c r="I74" s="12"/>
      <c r="J74" s="19"/>
      <c r="K74" s="19"/>
      <c r="L74" s="20"/>
      <c r="M74" s="20"/>
      <c r="N74" s="20"/>
      <c r="O74" s="84" t="str">
        <f t="shared" si="2"/>
        <v/>
      </c>
      <c r="P74" s="15"/>
      <c r="Q74" s="11"/>
      <c r="R74" s="10" t="str">
        <f t="array" ref="R74">IF($E74="","",IF($B74="","Thiếu ngày thực hiện",IF(AND($D74&lt;&gt;"",IFERROR(INDEX('Kế hoạch định kỳ'!$C$6:$C$125,MATCH($D74,'Kế hoạch định kỳ'!$B$6:$B$125,0)),"")&lt;&gt;$E74),"Mã TB không khớp công việc",IF(AND(OR($C74="Bảo trì định kỳ",$C74="Hiệu chuẩn – kiểm định"),$D74=""),"Thiếu mã công việc kế hoạch",IF($Q74="","Thiếu kết quả","OK")))))</f>
        <v/>
      </c>
      <c r="S74" s="15"/>
    </row>
    <row r="75" ht="25.5" customHeight="1">
      <c r="A75" s="26" t="str">
        <f t="shared" si="1"/>
        <v/>
      </c>
      <c r="B75" s="32"/>
      <c r="C75" s="27"/>
      <c r="D75" s="27"/>
      <c r="E75" s="27"/>
      <c r="F75" s="28" t="str">
        <f t="array" ref="F75">IF($E75="","",IFERROR(INDEX('Danh mục thiết bị'!$C$6:$C$65,MATCH($E75,'Danh mục thiết bị'!$B$6:$B$65,0)),"Mã TB không tồn tại"))</f>
        <v/>
      </c>
      <c r="G75" s="28" t="str">
        <f t="array" ref="G75">IF($E75="","",IFERROR(INDEX('Danh mục thiết bị'!$D$6:$D$65,MATCH($E75,'Danh mục thiết bị'!$B$6:$B$65,0)),""))</f>
        <v/>
      </c>
      <c r="H75" s="29"/>
      <c r="I75" s="31"/>
      <c r="J75" s="34"/>
      <c r="K75" s="34"/>
      <c r="L75" s="35"/>
      <c r="M75" s="35"/>
      <c r="N75" s="35"/>
      <c r="O75" s="85" t="str">
        <f t="shared" si="2"/>
        <v/>
      </c>
      <c r="P75" s="29"/>
      <c r="Q75" s="27"/>
      <c r="R75" s="26" t="str">
        <f t="array" ref="R75">IF($E75="","",IF($B75="","Thiếu ngày thực hiện",IF(AND($D75&lt;&gt;"",IFERROR(INDEX('Kế hoạch định kỳ'!$C$6:$C$125,MATCH($D75,'Kế hoạch định kỳ'!$B$6:$B$125,0)),"")&lt;&gt;$E75),"Mã TB không khớp công việc",IF(AND(OR($C75="Bảo trì định kỳ",$C75="Hiệu chuẩn – kiểm định"),$D75=""),"Thiếu mã công việc kế hoạch",IF($Q75="","Thiếu kết quả","OK")))))</f>
        <v/>
      </c>
      <c r="S75" s="29"/>
    </row>
    <row r="76" ht="25.5" customHeight="1">
      <c r="A76" s="10" t="str">
        <f t="shared" si="1"/>
        <v/>
      </c>
      <c r="B76" s="13"/>
      <c r="C76" s="11"/>
      <c r="D76" s="11"/>
      <c r="E76" s="11"/>
      <c r="F76" s="14" t="str">
        <f t="array" ref="F76">IF($E76="","",IFERROR(INDEX('Danh mục thiết bị'!$C$6:$C$65,MATCH($E76,'Danh mục thiết bị'!$B$6:$B$65,0)),"Mã TB không tồn tại"))</f>
        <v/>
      </c>
      <c r="G76" s="14" t="str">
        <f t="array" ref="G76">IF($E76="","",IFERROR(INDEX('Danh mục thiết bị'!$D$6:$D$65,MATCH($E76,'Danh mục thiết bị'!$B$6:$B$65,0)),""))</f>
        <v/>
      </c>
      <c r="H76" s="15"/>
      <c r="I76" s="12"/>
      <c r="J76" s="19"/>
      <c r="K76" s="19"/>
      <c r="L76" s="20"/>
      <c r="M76" s="20"/>
      <c r="N76" s="20"/>
      <c r="O76" s="84" t="str">
        <f t="shared" si="2"/>
        <v/>
      </c>
      <c r="P76" s="15"/>
      <c r="Q76" s="11"/>
      <c r="R76" s="10" t="str">
        <f t="array" ref="R76">IF($E76="","",IF($B76="","Thiếu ngày thực hiện",IF(AND($D76&lt;&gt;"",IFERROR(INDEX('Kế hoạch định kỳ'!$C$6:$C$125,MATCH($D76,'Kế hoạch định kỳ'!$B$6:$B$125,0)),"")&lt;&gt;$E76),"Mã TB không khớp công việc",IF(AND(OR($C76="Bảo trì định kỳ",$C76="Hiệu chuẩn – kiểm định"),$D76=""),"Thiếu mã công việc kế hoạch",IF($Q76="","Thiếu kết quả","OK")))))</f>
        <v/>
      </c>
      <c r="S76" s="15"/>
    </row>
    <row r="77" ht="25.5" customHeight="1">
      <c r="A77" s="26" t="str">
        <f t="shared" si="1"/>
        <v/>
      </c>
      <c r="B77" s="32"/>
      <c r="C77" s="27"/>
      <c r="D77" s="27"/>
      <c r="E77" s="27"/>
      <c r="F77" s="28" t="str">
        <f t="array" ref="F77">IF($E77="","",IFERROR(INDEX('Danh mục thiết bị'!$C$6:$C$65,MATCH($E77,'Danh mục thiết bị'!$B$6:$B$65,0)),"Mã TB không tồn tại"))</f>
        <v/>
      </c>
      <c r="G77" s="28" t="str">
        <f t="array" ref="G77">IF($E77="","",IFERROR(INDEX('Danh mục thiết bị'!$D$6:$D$65,MATCH($E77,'Danh mục thiết bị'!$B$6:$B$65,0)),""))</f>
        <v/>
      </c>
      <c r="H77" s="29"/>
      <c r="I77" s="31"/>
      <c r="J77" s="34"/>
      <c r="K77" s="34"/>
      <c r="L77" s="35"/>
      <c r="M77" s="35"/>
      <c r="N77" s="35"/>
      <c r="O77" s="85" t="str">
        <f t="shared" si="2"/>
        <v/>
      </c>
      <c r="P77" s="29"/>
      <c r="Q77" s="27"/>
      <c r="R77" s="26" t="str">
        <f t="array" ref="R77">IF($E77="","",IF($B77="","Thiếu ngày thực hiện",IF(AND($D77&lt;&gt;"",IFERROR(INDEX('Kế hoạch định kỳ'!$C$6:$C$125,MATCH($D77,'Kế hoạch định kỳ'!$B$6:$B$125,0)),"")&lt;&gt;$E77),"Mã TB không khớp công việc",IF(AND(OR($C77="Bảo trì định kỳ",$C77="Hiệu chuẩn – kiểm định"),$D77=""),"Thiếu mã công việc kế hoạch",IF($Q77="","Thiếu kết quả","OK")))))</f>
        <v/>
      </c>
      <c r="S77" s="29"/>
    </row>
    <row r="78" ht="25.5" customHeight="1">
      <c r="A78" s="10" t="str">
        <f t="shared" si="1"/>
        <v/>
      </c>
      <c r="B78" s="13"/>
      <c r="C78" s="11"/>
      <c r="D78" s="11"/>
      <c r="E78" s="11"/>
      <c r="F78" s="14" t="str">
        <f t="array" ref="F78">IF($E78="","",IFERROR(INDEX('Danh mục thiết bị'!$C$6:$C$65,MATCH($E78,'Danh mục thiết bị'!$B$6:$B$65,0)),"Mã TB không tồn tại"))</f>
        <v/>
      </c>
      <c r="G78" s="14" t="str">
        <f t="array" ref="G78">IF($E78="","",IFERROR(INDEX('Danh mục thiết bị'!$D$6:$D$65,MATCH($E78,'Danh mục thiết bị'!$B$6:$B$65,0)),""))</f>
        <v/>
      </c>
      <c r="H78" s="15"/>
      <c r="I78" s="12"/>
      <c r="J78" s="19"/>
      <c r="K78" s="19"/>
      <c r="L78" s="20"/>
      <c r="M78" s="20"/>
      <c r="N78" s="20"/>
      <c r="O78" s="84" t="str">
        <f t="shared" si="2"/>
        <v/>
      </c>
      <c r="P78" s="15"/>
      <c r="Q78" s="11"/>
      <c r="R78" s="10" t="str">
        <f t="array" ref="R78">IF($E78="","",IF($B78="","Thiếu ngày thực hiện",IF(AND($D78&lt;&gt;"",IFERROR(INDEX('Kế hoạch định kỳ'!$C$6:$C$125,MATCH($D78,'Kế hoạch định kỳ'!$B$6:$B$125,0)),"")&lt;&gt;$E78),"Mã TB không khớp công việc",IF(AND(OR($C78="Bảo trì định kỳ",$C78="Hiệu chuẩn – kiểm định"),$D78=""),"Thiếu mã công việc kế hoạch",IF($Q78="","Thiếu kết quả","OK")))))</f>
        <v/>
      </c>
      <c r="S78" s="15"/>
    </row>
    <row r="79" ht="25.5" customHeight="1">
      <c r="A79" s="26" t="str">
        <f t="shared" si="1"/>
        <v/>
      </c>
      <c r="B79" s="32"/>
      <c r="C79" s="27"/>
      <c r="D79" s="27"/>
      <c r="E79" s="27"/>
      <c r="F79" s="28" t="str">
        <f t="array" ref="F79">IF($E79="","",IFERROR(INDEX('Danh mục thiết bị'!$C$6:$C$65,MATCH($E79,'Danh mục thiết bị'!$B$6:$B$65,0)),"Mã TB không tồn tại"))</f>
        <v/>
      </c>
      <c r="G79" s="28" t="str">
        <f t="array" ref="G79">IF($E79="","",IFERROR(INDEX('Danh mục thiết bị'!$D$6:$D$65,MATCH($E79,'Danh mục thiết bị'!$B$6:$B$65,0)),""))</f>
        <v/>
      </c>
      <c r="H79" s="29"/>
      <c r="I79" s="31"/>
      <c r="J79" s="34"/>
      <c r="K79" s="34"/>
      <c r="L79" s="35"/>
      <c r="M79" s="35"/>
      <c r="N79" s="35"/>
      <c r="O79" s="85" t="str">
        <f t="shared" si="2"/>
        <v/>
      </c>
      <c r="P79" s="29"/>
      <c r="Q79" s="27"/>
      <c r="R79" s="26" t="str">
        <f t="array" ref="R79">IF($E79="","",IF($B79="","Thiếu ngày thực hiện",IF(AND($D79&lt;&gt;"",IFERROR(INDEX('Kế hoạch định kỳ'!$C$6:$C$125,MATCH($D79,'Kế hoạch định kỳ'!$B$6:$B$125,0)),"")&lt;&gt;$E79),"Mã TB không khớp công việc",IF(AND(OR($C79="Bảo trì định kỳ",$C79="Hiệu chuẩn – kiểm định"),$D79=""),"Thiếu mã công việc kế hoạch",IF($Q79="","Thiếu kết quả","OK")))))</f>
        <v/>
      </c>
      <c r="S79" s="29"/>
    </row>
    <row r="80" ht="25.5" customHeight="1">
      <c r="A80" s="10" t="str">
        <f t="shared" si="1"/>
        <v/>
      </c>
      <c r="B80" s="13"/>
      <c r="C80" s="11"/>
      <c r="D80" s="11"/>
      <c r="E80" s="11"/>
      <c r="F80" s="14" t="str">
        <f t="array" ref="F80">IF($E80="","",IFERROR(INDEX('Danh mục thiết bị'!$C$6:$C$65,MATCH($E80,'Danh mục thiết bị'!$B$6:$B$65,0)),"Mã TB không tồn tại"))</f>
        <v/>
      </c>
      <c r="G80" s="14" t="str">
        <f t="array" ref="G80">IF($E80="","",IFERROR(INDEX('Danh mục thiết bị'!$D$6:$D$65,MATCH($E80,'Danh mục thiết bị'!$B$6:$B$65,0)),""))</f>
        <v/>
      </c>
      <c r="H80" s="15"/>
      <c r="I80" s="12"/>
      <c r="J80" s="19"/>
      <c r="K80" s="19"/>
      <c r="L80" s="20"/>
      <c r="M80" s="20"/>
      <c r="N80" s="20"/>
      <c r="O80" s="84" t="str">
        <f t="shared" si="2"/>
        <v/>
      </c>
      <c r="P80" s="15"/>
      <c r="Q80" s="11"/>
      <c r="R80" s="10" t="str">
        <f t="array" ref="R80">IF($E80="","",IF($B80="","Thiếu ngày thực hiện",IF(AND($D80&lt;&gt;"",IFERROR(INDEX('Kế hoạch định kỳ'!$C$6:$C$125,MATCH($D80,'Kế hoạch định kỳ'!$B$6:$B$125,0)),"")&lt;&gt;$E80),"Mã TB không khớp công việc",IF(AND(OR($C80="Bảo trì định kỳ",$C80="Hiệu chuẩn – kiểm định"),$D80=""),"Thiếu mã công việc kế hoạch",IF($Q80="","Thiếu kết quả","OK")))))</f>
        <v/>
      </c>
      <c r="S80" s="15"/>
    </row>
    <row r="81" ht="25.5" customHeight="1">
      <c r="A81" s="26" t="str">
        <f t="shared" si="1"/>
        <v/>
      </c>
      <c r="B81" s="32"/>
      <c r="C81" s="27"/>
      <c r="D81" s="27"/>
      <c r="E81" s="27"/>
      <c r="F81" s="28" t="str">
        <f t="array" ref="F81">IF($E81="","",IFERROR(INDEX('Danh mục thiết bị'!$C$6:$C$65,MATCH($E81,'Danh mục thiết bị'!$B$6:$B$65,0)),"Mã TB không tồn tại"))</f>
        <v/>
      </c>
      <c r="G81" s="28" t="str">
        <f t="array" ref="G81">IF($E81="","",IFERROR(INDEX('Danh mục thiết bị'!$D$6:$D$65,MATCH($E81,'Danh mục thiết bị'!$B$6:$B$65,0)),""))</f>
        <v/>
      </c>
      <c r="H81" s="29"/>
      <c r="I81" s="31"/>
      <c r="J81" s="34"/>
      <c r="K81" s="34"/>
      <c r="L81" s="35"/>
      <c r="M81" s="35"/>
      <c r="N81" s="35"/>
      <c r="O81" s="85" t="str">
        <f t="shared" si="2"/>
        <v/>
      </c>
      <c r="P81" s="29"/>
      <c r="Q81" s="27"/>
      <c r="R81" s="26" t="str">
        <f t="array" ref="R81">IF($E81="","",IF($B81="","Thiếu ngày thực hiện",IF(AND($D81&lt;&gt;"",IFERROR(INDEX('Kế hoạch định kỳ'!$C$6:$C$125,MATCH($D81,'Kế hoạch định kỳ'!$B$6:$B$125,0)),"")&lt;&gt;$E81),"Mã TB không khớp công việc",IF(AND(OR($C81="Bảo trì định kỳ",$C81="Hiệu chuẩn – kiểm định"),$D81=""),"Thiếu mã công việc kế hoạch",IF($Q81="","Thiếu kết quả","OK")))))</f>
        <v/>
      </c>
      <c r="S81" s="29"/>
    </row>
    <row r="82" ht="25.5" customHeight="1">
      <c r="A82" s="10" t="str">
        <f t="shared" si="1"/>
        <v/>
      </c>
      <c r="B82" s="13"/>
      <c r="C82" s="11"/>
      <c r="D82" s="11"/>
      <c r="E82" s="11"/>
      <c r="F82" s="14" t="str">
        <f t="array" ref="F82">IF($E82="","",IFERROR(INDEX('Danh mục thiết bị'!$C$6:$C$65,MATCH($E82,'Danh mục thiết bị'!$B$6:$B$65,0)),"Mã TB không tồn tại"))</f>
        <v/>
      </c>
      <c r="G82" s="14" t="str">
        <f t="array" ref="G82">IF($E82="","",IFERROR(INDEX('Danh mục thiết bị'!$D$6:$D$65,MATCH($E82,'Danh mục thiết bị'!$B$6:$B$65,0)),""))</f>
        <v/>
      </c>
      <c r="H82" s="15"/>
      <c r="I82" s="12"/>
      <c r="J82" s="19"/>
      <c r="K82" s="19"/>
      <c r="L82" s="20"/>
      <c r="M82" s="20"/>
      <c r="N82" s="20"/>
      <c r="O82" s="84" t="str">
        <f t="shared" si="2"/>
        <v/>
      </c>
      <c r="P82" s="15"/>
      <c r="Q82" s="11"/>
      <c r="R82" s="10" t="str">
        <f t="array" ref="R82">IF($E82="","",IF($B82="","Thiếu ngày thực hiện",IF(AND($D82&lt;&gt;"",IFERROR(INDEX('Kế hoạch định kỳ'!$C$6:$C$125,MATCH($D82,'Kế hoạch định kỳ'!$B$6:$B$125,0)),"")&lt;&gt;$E82),"Mã TB không khớp công việc",IF(AND(OR($C82="Bảo trì định kỳ",$C82="Hiệu chuẩn – kiểm định"),$D82=""),"Thiếu mã công việc kế hoạch",IF($Q82="","Thiếu kết quả","OK")))))</f>
        <v/>
      </c>
      <c r="S82" s="15"/>
    </row>
    <row r="83" ht="25.5" customHeight="1">
      <c r="A83" s="26" t="str">
        <f t="shared" si="1"/>
        <v/>
      </c>
      <c r="B83" s="32"/>
      <c r="C83" s="27"/>
      <c r="D83" s="27"/>
      <c r="E83" s="27"/>
      <c r="F83" s="28" t="str">
        <f t="array" ref="F83">IF($E83="","",IFERROR(INDEX('Danh mục thiết bị'!$C$6:$C$65,MATCH($E83,'Danh mục thiết bị'!$B$6:$B$65,0)),"Mã TB không tồn tại"))</f>
        <v/>
      </c>
      <c r="G83" s="28" t="str">
        <f t="array" ref="G83">IF($E83="","",IFERROR(INDEX('Danh mục thiết bị'!$D$6:$D$65,MATCH($E83,'Danh mục thiết bị'!$B$6:$B$65,0)),""))</f>
        <v/>
      </c>
      <c r="H83" s="29"/>
      <c r="I83" s="31"/>
      <c r="J83" s="34"/>
      <c r="K83" s="34"/>
      <c r="L83" s="35"/>
      <c r="M83" s="35"/>
      <c r="N83" s="35"/>
      <c r="O83" s="85" t="str">
        <f t="shared" si="2"/>
        <v/>
      </c>
      <c r="P83" s="29"/>
      <c r="Q83" s="27"/>
      <c r="R83" s="26" t="str">
        <f t="array" ref="R83">IF($E83="","",IF($B83="","Thiếu ngày thực hiện",IF(AND($D83&lt;&gt;"",IFERROR(INDEX('Kế hoạch định kỳ'!$C$6:$C$125,MATCH($D83,'Kế hoạch định kỳ'!$B$6:$B$125,0)),"")&lt;&gt;$E83),"Mã TB không khớp công việc",IF(AND(OR($C83="Bảo trì định kỳ",$C83="Hiệu chuẩn – kiểm định"),$D83=""),"Thiếu mã công việc kế hoạch",IF($Q83="","Thiếu kết quả","OK")))))</f>
        <v/>
      </c>
      <c r="S83" s="29"/>
    </row>
    <row r="84" ht="25.5" customHeight="1">
      <c r="A84" s="10" t="str">
        <f t="shared" si="1"/>
        <v/>
      </c>
      <c r="B84" s="13"/>
      <c r="C84" s="11"/>
      <c r="D84" s="11"/>
      <c r="E84" s="11"/>
      <c r="F84" s="14" t="str">
        <f t="array" ref="F84">IF($E84="","",IFERROR(INDEX('Danh mục thiết bị'!$C$6:$C$65,MATCH($E84,'Danh mục thiết bị'!$B$6:$B$65,0)),"Mã TB không tồn tại"))</f>
        <v/>
      </c>
      <c r="G84" s="14" t="str">
        <f t="array" ref="G84">IF($E84="","",IFERROR(INDEX('Danh mục thiết bị'!$D$6:$D$65,MATCH($E84,'Danh mục thiết bị'!$B$6:$B$65,0)),""))</f>
        <v/>
      </c>
      <c r="H84" s="15"/>
      <c r="I84" s="12"/>
      <c r="J84" s="19"/>
      <c r="K84" s="19"/>
      <c r="L84" s="20"/>
      <c r="M84" s="20"/>
      <c r="N84" s="20"/>
      <c r="O84" s="84" t="str">
        <f t="shared" si="2"/>
        <v/>
      </c>
      <c r="P84" s="15"/>
      <c r="Q84" s="11"/>
      <c r="R84" s="10" t="str">
        <f t="array" ref="R84">IF($E84="","",IF($B84="","Thiếu ngày thực hiện",IF(AND($D84&lt;&gt;"",IFERROR(INDEX('Kế hoạch định kỳ'!$C$6:$C$125,MATCH($D84,'Kế hoạch định kỳ'!$B$6:$B$125,0)),"")&lt;&gt;$E84),"Mã TB không khớp công việc",IF(AND(OR($C84="Bảo trì định kỳ",$C84="Hiệu chuẩn – kiểm định"),$D84=""),"Thiếu mã công việc kế hoạch",IF($Q84="","Thiếu kết quả","OK")))))</f>
        <v/>
      </c>
      <c r="S84" s="15"/>
    </row>
    <row r="85" ht="25.5" customHeight="1">
      <c r="A85" s="26" t="str">
        <f t="shared" si="1"/>
        <v/>
      </c>
      <c r="B85" s="32"/>
      <c r="C85" s="27"/>
      <c r="D85" s="27"/>
      <c r="E85" s="27"/>
      <c r="F85" s="28" t="str">
        <f t="array" ref="F85">IF($E85="","",IFERROR(INDEX('Danh mục thiết bị'!$C$6:$C$65,MATCH($E85,'Danh mục thiết bị'!$B$6:$B$65,0)),"Mã TB không tồn tại"))</f>
        <v/>
      </c>
      <c r="G85" s="28" t="str">
        <f t="array" ref="G85">IF($E85="","",IFERROR(INDEX('Danh mục thiết bị'!$D$6:$D$65,MATCH($E85,'Danh mục thiết bị'!$B$6:$B$65,0)),""))</f>
        <v/>
      </c>
      <c r="H85" s="29"/>
      <c r="I85" s="31"/>
      <c r="J85" s="34"/>
      <c r="K85" s="34"/>
      <c r="L85" s="35"/>
      <c r="M85" s="35"/>
      <c r="N85" s="35"/>
      <c r="O85" s="85" t="str">
        <f t="shared" si="2"/>
        <v/>
      </c>
      <c r="P85" s="29"/>
      <c r="Q85" s="27"/>
      <c r="R85" s="26" t="str">
        <f t="array" ref="R85">IF($E85="","",IF($B85="","Thiếu ngày thực hiện",IF(AND($D85&lt;&gt;"",IFERROR(INDEX('Kế hoạch định kỳ'!$C$6:$C$125,MATCH($D85,'Kế hoạch định kỳ'!$B$6:$B$125,0)),"")&lt;&gt;$E85),"Mã TB không khớp công việc",IF(AND(OR($C85="Bảo trì định kỳ",$C85="Hiệu chuẩn – kiểm định"),$D85=""),"Thiếu mã công việc kế hoạch",IF($Q85="","Thiếu kết quả","OK")))))</f>
        <v/>
      </c>
      <c r="S85" s="29"/>
    </row>
    <row r="86" ht="25.5" customHeight="1">
      <c r="A86" s="10" t="str">
        <f t="shared" si="1"/>
        <v/>
      </c>
      <c r="B86" s="13"/>
      <c r="C86" s="11"/>
      <c r="D86" s="11"/>
      <c r="E86" s="11"/>
      <c r="F86" s="14" t="str">
        <f t="array" ref="F86">IF($E86="","",IFERROR(INDEX('Danh mục thiết bị'!$C$6:$C$65,MATCH($E86,'Danh mục thiết bị'!$B$6:$B$65,0)),"Mã TB không tồn tại"))</f>
        <v/>
      </c>
      <c r="G86" s="14" t="str">
        <f t="array" ref="G86">IF($E86="","",IFERROR(INDEX('Danh mục thiết bị'!$D$6:$D$65,MATCH($E86,'Danh mục thiết bị'!$B$6:$B$65,0)),""))</f>
        <v/>
      </c>
      <c r="H86" s="15"/>
      <c r="I86" s="12"/>
      <c r="J86" s="19"/>
      <c r="K86" s="19"/>
      <c r="L86" s="20"/>
      <c r="M86" s="20"/>
      <c r="N86" s="20"/>
      <c r="O86" s="84" t="str">
        <f t="shared" si="2"/>
        <v/>
      </c>
      <c r="P86" s="15"/>
      <c r="Q86" s="11"/>
      <c r="R86" s="10" t="str">
        <f t="array" ref="R86">IF($E86="","",IF($B86="","Thiếu ngày thực hiện",IF(AND($D86&lt;&gt;"",IFERROR(INDEX('Kế hoạch định kỳ'!$C$6:$C$125,MATCH($D86,'Kế hoạch định kỳ'!$B$6:$B$125,0)),"")&lt;&gt;$E86),"Mã TB không khớp công việc",IF(AND(OR($C86="Bảo trì định kỳ",$C86="Hiệu chuẩn – kiểm định"),$D86=""),"Thiếu mã công việc kế hoạch",IF($Q86="","Thiếu kết quả","OK")))))</f>
        <v/>
      </c>
      <c r="S86" s="15"/>
    </row>
    <row r="87" ht="25.5" customHeight="1">
      <c r="A87" s="26" t="str">
        <f t="shared" si="1"/>
        <v/>
      </c>
      <c r="B87" s="32"/>
      <c r="C87" s="27"/>
      <c r="D87" s="27"/>
      <c r="E87" s="27"/>
      <c r="F87" s="28" t="str">
        <f t="array" ref="F87">IF($E87="","",IFERROR(INDEX('Danh mục thiết bị'!$C$6:$C$65,MATCH($E87,'Danh mục thiết bị'!$B$6:$B$65,0)),"Mã TB không tồn tại"))</f>
        <v/>
      </c>
      <c r="G87" s="28" t="str">
        <f t="array" ref="G87">IF($E87="","",IFERROR(INDEX('Danh mục thiết bị'!$D$6:$D$65,MATCH($E87,'Danh mục thiết bị'!$B$6:$B$65,0)),""))</f>
        <v/>
      </c>
      <c r="H87" s="29"/>
      <c r="I87" s="31"/>
      <c r="J87" s="34"/>
      <c r="K87" s="34"/>
      <c r="L87" s="35"/>
      <c r="M87" s="35"/>
      <c r="N87" s="35"/>
      <c r="O87" s="85" t="str">
        <f t="shared" si="2"/>
        <v/>
      </c>
      <c r="P87" s="29"/>
      <c r="Q87" s="27"/>
      <c r="R87" s="26" t="str">
        <f t="array" ref="R87">IF($E87="","",IF($B87="","Thiếu ngày thực hiện",IF(AND($D87&lt;&gt;"",IFERROR(INDEX('Kế hoạch định kỳ'!$C$6:$C$125,MATCH($D87,'Kế hoạch định kỳ'!$B$6:$B$125,0)),"")&lt;&gt;$E87),"Mã TB không khớp công việc",IF(AND(OR($C87="Bảo trì định kỳ",$C87="Hiệu chuẩn – kiểm định"),$D87=""),"Thiếu mã công việc kế hoạch",IF($Q87="","Thiếu kết quả","OK")))))</f>
        <v/>
      </c>
      <c r="S87" s="29"/>
    </row>
    <row r="88" ht="25.5" customHeight="1">
      <c r="A88" s="10" t="str">
        <f t="shared" si="1"/>
        <v/>
      </c>
      <c r="B88" s="13"/>
      <c r="C88" s="11"/>
      <c r="D88" s="11"/>
      <c r="E88" s="11"/>
      <c r="F88" s="14" t="str">
        <f t="array" ref="F88">IF($E88="","",IFERROR(INDEX('Danh mục thiết bị'!$C$6:$C$65,MATCH($E88,'Danh mục thiết bị'!$B$6:$B$65,0)),"Mã TB không tồn tại"))</f>
        <v/>
      </c>
      <c r="G88" s="14" t="str">
        <f t="array" ref="G88">IF($E88="","",IFERROR(INDEX('Danh mục thiết bị'!$D$6:$D$65,MATCH($E88,'Danh mục thiết bị'!$B$6:$B$65,0)),""))</f>
        <v/>
      </c>
      <c r="H88" s="15"/>
      <c r="I88" s="12"/>
      <c r="J88" s="19"/>
      <c r="K88" s="19"/>
      <c r="L88" s="20"/>
      <c r="M88" s="20"/>
      <c r="N88" s="20"/>
      <c r="O88" s="84" t="str">
        <f t="shared" si="2"/>
        <v/>
      </c>
      <c r="P88" s="15"/>
      <c r="Q88" s="11"/>
      <c r="R88" s="10" t="str">
        <f t="array" ref="R88">IF($E88="","",IF($B88="","Thiếu ngày thực hiện",IF(AND($D88&lt;&gt;"",IFERROR(INDEX('Kế hoạch định kỳ'!$C$6:$C$125,MATCH($D88,'Kế hoạch định kỳ'!$B$6:$B$125,0)),"")&lt;&gt;$E88),"Mã TB không khớp công việc",IF(AND(OR($C88="Bảo trì định kỳ",$C88="Hiệu chuẩn – kiểm định"),$D88=""),"Thiếu mã công việc kế hoạch",IF($Q88="","Thiếu kết quả","OK")))))</f>
        <v/>
      </c>
      <c r="S88" s="15"/>
    </row>
    <row r="89" ht="25.5" customHeight="1">
      <c r="A89" s="26" t="str">
        <f t="shared" si="1"/>
        <v/>
      </c>
      <c r="B89" s="32"/>
      <c r="C89" s="27"/>
      <c r="D89" s="27"/>
      <c r="E89" s="27"/>
      <c r="F89" s="28" t="str">
        <f t="array" ref="F89">IF($E89="","",IFERROR(INDEX('Danh mục thiết bị'!$C$6:$C$65,MATCH($E89,'Danh mục thiết bị'!$B$6:$B$65,0)),"Mã TB không tồn tại"))</f>
        <v/>
      </c>
      <c r="G89" s="28" t="str">
        <f t="array" ref="G89">IF($E89="","",IFERROR(INDEX('Danh mục thiết bị'!$D$6:$D$65,MATCH($E89,'Danh mục thiết bị'!$B$6:$B$65,0)),""))</f>
        <v/>
      </c>
      <c r="H89" s="29"/>
      <c r="I89" s="31"/>
      <c r="J89" s="34"/>
      <c r="K89" s="34"/>
      <c r="L89" s="35"/>
      <c r="M89" s="35"/>
      <c r="N89" s="35"/>
      <c r="O89" s="85" t="str">
        <f t="shared" si="2"/>
        <v/>
      </c>
      <c r="P89" s="29"/>
      <c r="Q89" s="27"/>
      <c r="R89" s="26" t="str">
        <f t="array" ref="R89">IF($E89="","",IF($B89="","Thiếu ngày thực hiện",IF(AND($D89&lt;&gt;"",IFERROR(INDEX('Kế hoạch định kỳ'!$C$6:$C$125,MATCH($D89,'Kế hoạch định kỳ'!$B$6:$B$125,0)),"")&lt;&gt;$E89),"Mã TB không khớp công việc",IF(AND(OR($C89="Bảo trì định kỳ",$C89="Hiệu chuẩn – kiểm định"),$D89=""),"Thiếu mã công việc kế hoạch",IF($Q89="","Thiếu kết quả","OK")))))</f>
        <v/>
      </c>
      <c r="S89" s="29"/>
    </row>
    <row r="90" ht="25.5" customHeight="1">
      <c r="A90" s="10" t="str">
        <f t="shared" si="1"/>
        <v/>
      </c>
      <c r="B90" s="13"/>
      <c r="C90" s="11"/>
      <c r="D90" s="11"/>
      <c r="E90" s="11"/>
      <c r="F90" s="14" t="str">
        <f t="array" ref="F90">IF($E90="","",IFERROR(INDEX('Danh mục thiết bị'!$C$6:$C$65,MATCH($E90,'Danh mục thiết bị'!$B$6:$B$65,0)),"Mã TB không tồn tại"))</f>
        <v/>
      </c>
      <c r="G90" s="14" t="str">
        <f t="array" ref="G90">IF($E90="","",IFERROR(INDEX('Danh mục thiết bị'!$D$6:$D$65,MATCH($E90,'Danh mục thiết bị'!$B$6:$B$65,0)),""))</f>
        <v/>
      </c>
      <c r="H90" s="15"/>
      <c r="I90" s="12"/>
      <c r="J90" s="19"/>
      <c r="K90" s="19"/>
      <c r="L90" s="20"/>
      <c r="M90" s="20"/>
      <c r="N90" s="20"/>
      <c r="O90" s="84" t="str">
        <f t="shared" si="2"/>
        <v/>
      </c>
      <c r="P90" s="15"/>
      <c r="Q90" s="11"/>
      <c r="R90" s="10" t="str">
        <f t="array" ref="R90">IF($E90="","",IF($B90="","Thiếu ngày thực hiện",IF(AND($D90&lt;&gt;"",IFERROR(INDEX('Kế hoạch định kỳ'!$C$6:$C$125,MATCH($D90,'Kế hoạch định kỳ'!$B$6:$B$125,0)),"")&lt;&gt;$E90),"Mã TB không khớp công việc",IF(AND(OR($C90="Bảo trì định kỳ",$C90="Hiệu chuẩn – kiểm định"),$D90=""),"Thiếu mã công việc kế hoạch",IF($Q90="","Thiếu kết quả","OK")))))</f>
        <v/>
      </c>
      <c r="S90" s="15"/>
    </row>
    <row r="91" ht="25.5" customHeight="1">
      <c r="A91" s="26" t="str">
        <f t="shared" si="1"/>
        <v/>
      </c>
      <c r="B91" s="32"/>
      <c r="C91" s="27"/>
      <c r="D91" s="27"/>
      <c r="E91" s="27"/>
      <c r="F91" s="28" t="str">
        <f t="array" ref="F91">IF($E91="","",IFERROR(INDEX('Danh mục thiết bị'!$C$6:$C$65,MATCH($E91,'Danh mục thiết bị'!$B$6:$B$65,0)),"Mã TB không tồn tại"))</f>
        <v/>
      </c>
      <c r="G91" s="28" t="str">
        <f t="array" ref="G91">IF($E91="","",IFERROR(INDEX('Danh mục thiết bị'!$D$6:$D$65,MATCH($E91,'Danh mục thiết bị'!$B$6:$B$65,0)),""))</f>
        <v/>
      </c>
      <c r="H91" s="29"/>
      <c r="I91" s="31"/>
      <c r="J91" s="34"/>
      <c r="K91" s="34"/>
      <c r="L91" s="35"/>
      <c r="M91" s="35"/>
      <c r="N91" s="35"/>
      <c r="O91" s="85" t="str">
        <f t="shared" si="2"/>
        <v/>
      </c>
      <c r="P91" s="29"/>
      <c r="Q91" s="27"/>
      <c r="R91" s="26" t="str">
        <f t="array" ref="R91">IF($E91="","",IF($B91="","Thiếu ngày thực hiện",IF(AND($D91&lt;&gt;"",IFERROR(INDEX('Kế hoạch định kỳ'!$C$6:$C$125,MATCH($D91,'Kế hoạch định kỳ'!$B$6:$B$125,0)),"")&lt;&gt;$E91),"Mã TB không khớp công việc",IF(AND(OR($C91="Bảo trì định kỳ",$C91="Hiệu chuẩn – kiểm định"),$D91=""),"Thiếu mã công việc kế hoạch",IF($Q91="","Thiếu kết quả","OK")))))</f>
        <v/>
      </c>
      <c r="S91" s="29"/>
    </row>
    <row r="92" ht="25.5" customHeight="1">
      <c r="A92" s="10" t="str">
        <f t="shared" si="1"/>
        <v/>
      </c>
      <c r="B92" s="13"/>
      <c r="C92" s="11"/>
      <c r="D92" s="11"/>
      <c r="E92" s="11"/>
      <c r="F92" s="14" t="str">
        <f t="array" ref="F92">IF($E92="","",IFERROR(INDEX('Danh mục thiết bị'!$C$6:$C$65,MATCH($E92,'Danh mục thiết bị'!$B$6:$B$65,0)),"Mã TB không tồn tại"))</f>
        <v/>
      </c>
      <c r="G92" s="14" t="str">
        <f t="array" ref="G92">IF($E92="","",IFERROR(INDEX('Danh mục thiết bị'!$D$6:$D$65,MATCH($E92,'Danh mục thiết bị'!$B$6:$B$65,0)),""))</f>
        <v/>
      </c>
      <c r="H92" s="15"/>
      <c r="I92" s="12"/>
      <c r="J92" s="19"/>
      <c r="K92" s="19"/>
      <c r="L92" s="20"/>
      <c r="M92" s="20"/>
      <c r="N92" s="20"/>
      <c r="O92" s="84" t="str">
        <f t="shared" si="2"/>
        <v/>
      </c>
      <c r="P92" s="15"/>
      <c r="Q92" s="11"/>
      <c r="R92" s="10" t="str">
        <f t="array" ref="R92">IF($E92="","",IF($B92="","Thiếu ngày thực hiện",IF(AND($D92&lt;&gt;"",IFERROR(INDEX('Kế hoạch định kỳ'!$C$6:$C$125,MATCH($D92,'Kế hoạch định kỳ'!$B$6:$B$125,0)),"")&lt;&gt;$E92),"Mã TB không khớp công việc",IF(AND(OR($C92="Bảo trì định kỳ",$C92="Hiệu chuẩn – kiểm định"),$D92=""),"Thiếu mã công việc kế hoạch",IF($Q92="","Thiếu kết quả","OK")))))</f>
        <v/>
      </c>
      <c r="S92" s="15"/>
    </row>
    <row r="93" ht="25.5" customHeight="1">
      <c r="A93" s="26" t="str">
        <f t="shared" si="1"/>
        <v/>
      </c>
      <c r="B93" s="32"/>
      <c r="C93" s="27"/>
      <c r="D93" s="27"/>
      <c r="E93" s="27"/>
      <c r="F93" s="28" t="str">
        <f t="array" ref="F93">IF($E93="","",IFERROR(INDEX('Danh mục thiết bị'!$C$6:$C$65,MATCH($E93,'Danh mục thiết bị'!$B$6:$B$65,0)),"Mã TB không tồn tại"))</f>
        <v/>
      </c>
      <c r="G93" s="28" t="str">
        <f t="array" ref="G93">IF($E93="","",IFERROR(INDEX('Danh mục thiết bị'!$D$6:$D$65,MATCH($E93,'Danh mục thiết bị'!$B$6:$B$65,0)),""))</f>
        <v/>
      </c>
      <c r="H93" s="29"/>
      <c r="I93" s="31"/>
      <c r="J93" s="34"/>
      <c r="K93" s="34"/>
      <c r="L93" s="35"/>
      <c r="M93" s="35"/>
      <c r="N93" s="35"/>
      <c r="O93" s="85" t="str">
        <f t="shared" si="2"/>
        <v/>
      </c>
      <c r="P93" s="29"/>
      <c r="Q93" s="27"/>
      <c r="R93" s="26" t="str">
        <f t="array" ref="R93">IF($E93="","",IF($B93="","Thiếu ngày thực hiện",IF(AND($D93&lt;&gt;"",IFERROR(INDEX('Kế hoạch định kỳ'!$C$6:$C$125,MATCH($D93,'Kế hoạch định kỳ'!$B$6:$B$125,0)),"")&lt;&gt;$E93),"Mã TB không khớp công việc",IF(AND(OR($C93="Bảo trì định kỳ",$C93="Hiệu chuẩn – kiểm định"),$D93=""),"Thiếu mã công việc kế hoạch",IF($Q93="","Thiếu kết quả","OK")))))</f>
        <v/>
      </c>
      <c r="S93" s="29"/>
    </row>
    <row r="94" ht="25.5" customHeight="1">
      <c r="A94" s="10" t="str">
        <f t="shared" si="1"/>
        <v/>
      </c>
      <c r="B94" s="13"/>
      <c r="C94" s="11"/>
      <c r="D94" s="11"/>
      <c r="E94" s="11"/>
      <c r="F94" s="14" t="str">
        <f t="array" ref="F94">IF($E94="","",IFERROR(INDEX('Danh mục thiết bị'!$C$6:$C$65,MATCH($E94,'Danh mục thiết bị'!$B$6:$B$65,0)),"Mã TB không tồn tại"))</f>
        <v/>
      </c>
      <c r="G94" s="14" t="str">
        <f t="array" ref="G94">IF($E94="","",IFERROR(INDEX('Danh mục thiết bị'!$D$6:$D$65,MATCH($E94,'Danh mục thiết bị'!$B$6:$B$65,0)),""))</f>
        <v/>
      </c>
      <c r="H94" s="15"/>
      <c r="I94" s="12"/>
      <c r="J94" s="19"/>
      <c r="K94" s="19"/>
      <c r="L94" s="20"/>
      <c r="M94" s="20"/>
      <c r="N94" s="20"/>
      <c r="O94" s="84" t="str">
        <f t="shared" si="2"/>
        <v/>
      </c>
      <c r="P94" s="15"/>
      <c r="Q94" s="11"/>
      <c r="R94" s="10" t="str">
        <f t="array" ref="R94">IF($E94="","",IF($B94="","Thiếu ngày thực hiện",IF(AND($D94&lt;&gt;"",IFERROR(INDEX('Kế hoạch định kỳ'!$C$6:$C$125,MATCH($D94,'Kế hoạch định kỳ'!$B$6:$B$125,0)),"")&lt;&gt;$E94),"Mã TB không khớp công việc",IF(AND(OR($C94="Bảo trì định kỳ",$C94="Hiệu chuẩn – kiểm định"),$D94=""),"Thiếu mã công việc kế hoạch",IF($Q94="","Thiếu kết quả","OK")))))</f>
        <v/>
      </c>
      <c r="S94" s="15"/>
    </row>
    <row r="95" ht="25.5" customHeight="1">
      <c r="A95" s="26" t="str">
        <f t="shared" si="1"/>
        <v/>
      </c>
      <c r="B95" s="32"/>
      <c r="C95" s="27"/>
      <c r="D95" s="27"/>
      <c r="E95" s="27"/>
      <c r="F95" s="28" t="str">
        <f t="array" ref="F95">IF($E95="","",IFERROR(INDEX('Danh mục thiết bị'!$C$6:$C$65,MATCH($E95,'Danh mục thiết bị'!$B$6:$B$65,0)),"Mã TB không tồn tại"))</f>
        <v/>
      </c>
      <c r="G95" s="28" t="str">
        <f t="array" ref="G95">IF($E95="","",IFERROR(INDEX('Danh mục thiết bị'!$D$6:$D$65,MATCH($E95,'Danh mục thiết bị'!$B$6:$B$65,0)),""))</f>
        <v/>
      </c>
      <c r="H95" s="29"/>
      <c r="I95" s="31"/>
      <c r="J95" s="34"/>
      <c r="K95" s="34"/>
      <c r="L95" s="35"/>
      <c r="M95" s="35"/>
      <c r="N95" s="35"/>
      <c r="O95" s="85" t="str">
        <f t="shared" si="2"/>
        <v/>
      </c>
      <c r="P95" s="29"/>
      <c r="Q95" s="27"/>
      <c r="R95" s="26" t="str">
        <f t="array" ref="R95">IF($E95="","",IF($B95="","Thiếu ngày thực hiện",IF(AND($D95&lt;&gt;"",IFERROR(INDEX('Kế hoạch định kỳ'!$C$6:$C$125,MATCH($D95,'Kế hoạch định kỳ'!$B$6:$B$125,0)),"")&lt;&gt;$E95),"Mã TB không khớp công việc",IF(AND(OR($C95="Bảo trì định kỳ",$C95="Hiệu chuẩn – kiểm định"),$D95=""),"Thiếu mã công việc kế hoạch",IF($Q95="","Thiếu kết quả","OK")))))</f>
        <v/>
      </c>
      <c r="S95" s="29"/>
    </row>
    <row r="96" ht="25.5" customHeight="1">
      <c r="A96" s="10" t="str">
        <f t="shared" si="1"/>
        <v/>
      </c>
      <c r="B96" s="13"/>
      <c r="C96" s="11"/>
      <c r="D96" s="11"/>
      <c r="E96" s="11"/>
      <c r="F96" s="14" t="str">
        <f t="array" ref="F96">IF($E96="","",IFERROR(INDEX('Danh mục thiết bị'!$C$6:$C$65,MATCH($E96,'Danh mục thiết bị'!$B$6:$B$65,0)),"Mã TB không tồn tại"))</f>
        <v/>
      </c>
      <c r="G96" s="14" t="str">
        <f t="array" ref="G96">IF($E96="","",IFERROR(INDEX('Danh mục thiết bị'!$D$6:$D$65,MATCH($E96,'Danh mục thiết bị'!$B$6:$B$65,0)),""))</f>
        <v/>
      </c>
      <c r="H96" s="15"/>
      <c r="I96" s="12"/>
      <c r="J96" s="19"/>
      <c r="K96" s="19"/>
      <c r="L96" s="20"/>
      <c r="M96" s="20"/>
      <c r="N96" s="20"/>
      <c r="O96" s="84" t="str">
        <f t="shared" si="2"/>
        <v/>
      </c>
      <c r="P96" s="15"/>
      <c r="Q96" s="11"/>
      <c r="R96" s="10" t="str">
        <f t="array" ref="R96">IF($E96="","",IF($B96="","Thiếu ngày thực hiện",IF(AND($D96&lt;&gt;"",IFERROR(INDEX('Kế hoạch định kỳ'!$C$6:$C$125,MATCH($D96,'Kế hoạch định kỳ'!$B$6:$B$125,0)),"")&lt;&gt;$E96),"Mã TB không khớp công việc",IF(AND(OR($C96="Bảo trì định kỳ",$C96="Hiệu chuẩn – kiểm định"),$D96=""),"Thiếu mã công việc kế hoạch",IF($Q96="","Thiếu kết quả","OK")))))</f>
        <v/>
      </c>
      <c r="S96" s="15"/>
    </row>
    <row r="97" ht="25.5" customHeight="1">
      <c r="A97" s="26" t="str">
        <f t="shared" si="1"/>
        <v/>
      </c>
      <c r="B97" s="32"/>
      <c r="C97" s="27"/>
      <c r="D97" s="27"/>
      <c r="E97" s="27"/>
      <c r="F97" s="28" t="str">
        <f t="array" ref="F97">IF($E97="","",IFERROR(INDEX('Danh mục thiết bị'!$C$6:$C$65,MATCH($E97,'Danh mục thiết bị'!$B$6:$B$65,0)),"Mã TB không tồn tại"))</f>
        <v/>
      </c>
      <c r="G97" s="28" t="str">
        <f t="array" ref="G97">IF($E97="","",IFERROR(INDEX('Danh mục thiết bị'!$D$6:$D$65,MATCH($E97,'Danh mục thiết bị'!$B$6:$B$65,0)),""))</f>
        <v/>
      </c>
      <c r="H97" s="29"/>
      <c r="I97" s="31"/>
      <c r="J97" s="34"/>
      <c r="K97" s="34"/>
      <c r="L97" s="35"/>
      <c r="M97" s="35"/>
      <c r="N97" s="35"/>
      <c r="O97" s="85" t="str">
        <f t="shared" si="2"/>
        <v/>
      </c>
      <c r="P97" s="29"/>
      <c r="Q97" s="27"/>
      <c r="R97" s="26" t="str">
        <f t="array" ref="R97">IF($E97="","",IF($B97="","Thiếu ngày thực hiện",IF(AND($D97&lt;&gt;"",IFERROR(INDEX('Kế hoạch định kỳ'!$C$6:$C$125,MATCH($D97,'Kế hoạch định kỳ'!$B$6:$B$125,0)),"")&lt;&gt;$E97),"Mã TB không khớp công việc",IF(AND(OR($C97="Bảo trì định kỳ",$C97="Hiệu chuẩn – kiểm định"),$D97=""),"Thiếu mã công việc kế hoạch",IF($Q97="","Thiếu kết quả","OK")))))</f>
        <v/>
      </c>
      <c r="S97" s="29"/>
    </row>
    <row r="98" ht="25.5" customHeight="1">
      <c r="A98" s="10" t="str">
        <f t="shared" si="1"/>
        <v/>
      </c>
      <c r="B98" s="13"/>
      <c r="C98" s="11"/>
      <c r="D98" s="11"/>
      <c r="E98" s="11"/>
      <c r="F98" s="14" t="str">
        <f t="array" ref="F98">IF($E98="","",IFERROR(INDEX('Danh mục thiết bị'!$C$6:$C$65,MATCH($E98,'Danh mục thiết bị'!$B$6:$B$65,0)),"Mã TB không tồn tại"))</f>
        <v/>
      </c>
      <c r="G98" s="14" t="str">
        <f t="array" ref="G98">IF($E98="","",IFERROR(INDEX('Danh mục thiết bị'!$D$6:$D$65,MATCH($E98,'Danh mục thiết bị'!$B$6:$B$65,0)),""))</f>
        <v/>
      </c>
      <c r="H98" s="15"/>
      <c r="I98" s="12"/>
      <c r="J98" s="19"/>
      <c r="K98" s="19"/>
      <c r="L98" s="20"/>
      <c r="M98" s="20"/>
      <c r="N98" s="20"/>
      <c r="O98" s="84" t="str">
        <f t="shared" si="2"/>
        <v/>
      </c>
      <c r="P98" s="15"/>
      <c r="Q98" s="11"/>
      <c r="R98" s="10" t="str">
        <f t="array" ref="R98">IF($E98="","",IF($B98="","Thiếu ngày thực hiện",IF(AND($D98&lt;&gt;"",IFERROR(INDEX('Kế hoạch định kỳ'!$C$6:$C$125,MATCH($D98,'Kế hoạch định kỳ'!$B$6:$B$125,0)),"")&lt;&gt;$E98),"Mã TB không khớp công việc",IF(AND(OR($C98="Bảo trì định kỳ",$C98="Hiệu chuẩn – kiểm định"),$D98=""),"Thiếu mã công việc kế hoạch",IF($Q98="","Thiếu kết quả","OK")))))</f>
        <v/>
      </c>
      <c r="S98" s="15"/>
    </row>
    <row r="99" ht="25.5" customHeight="1">
      <c r="A99" s="26" t="str">
        <f t="shared" si="1"/>
        <v/>
      </c>
      <c r="B99" s="32"/>
      <c r="C99" s="27"/>
      <c r="D99" s="27"/>
      <c r="E99" s="27"/>
      <c r="F99" s="28" t="str">
        <f t="array" ref="F99">IF($E99="","",IFERROR(INDEX('Danh mục thiết bị'!$C$6:$C$65,MATCH($E99,'Danh mục thiết bị'!$B$6:$B$65,0)),"Mã TB không tồn tại"))</f>
        <v/>
      </c>
      <c r="G99" s="28" t="str">
        <f t="array" ref="G99">IF($E99="","",IFERROR(INDEX('Danh mục thiết bị'!$D$6:$D$65,MATCH($E99,'Danh mục thiết bị'!$B$6:$B$65,0)),""))</f>
        <v/>
      </c>
      <c r="H99" s="29"/>
      <c r="I99" s="31"/>
      <c r="J99" s="34"/>
      <c r="K99" s="34"/>
      <c r="L99" s="35"/>
      <c r="M99" s="35"/>
      <c r="N99" s="35"/>
      <c r="O99" s="85" t="str">
        <f t="shared" si="2"/>
        <v/>
      </c>
      <c r="P99" s="29"/>
      <c r="Q99" s="27"/>
      <c r="R99" s="26" t="str">
        <f t="array" ref="R99">IF($E99="","",IF($B99="","Thiếu ngày thực hiện",IF(AND($D99&lt;&gt;"",IFERROR(INDEX('Kế hoạch định kỳ'!$C$6:$C$125,MATCH($D99,'Kế hoạch định kỳ'!$B$6:$B$125,0)),"")&lt;&gt;$E99),"Mã TB không khớp công việc",IF(AND(OR($C99="Bảo trì định kỳ",$C99="Hiệu chuẩn – kiểm định"),$D99=""),"Thiếu mã công việc kế hoạch",IF($Q99="","Thiếu kết quả","OK")))))</f>
        <v/>
      </c>
      <c r="S99" s="29"/>
    </row>
    <row r="100" ht="25.5" customHeight="1">
      <c r="A100" s="10" t="str">
        <f t="shared" si="1"/>
        <v/>
      </c>
      <c r="B100" s="13"/>
      <c r="C100" s="11"/>
      <c r="D100" s="11"/>
      <c r="E100" s="11"/>
      <c r="F100" s="14" t="str">
        <f t="array" ref="F100">IF($E100="","",IFERROR(INDEX('Danh mục thiết bị'!$C$6:$C$65,MATCH($E100,'Danh mục thiết bị'!$B$6:$B$65,0)),"Mã TB không tồn tại"))</f>
        <v/>
      </c>
      <c r="G100" s="14" t="str">
        <f t="array" ref="G100">IF($E100="","",IFERROR(INDEX('Danh mục thiết bị'!$D$6:$D$65,MATCH($E100,'Danh mục thiết bị'!$B$6:$B$65,0)),""))</f>
        <v/>
      </c>
      <c r="H100" s="15"/>
      <c r="I100" s="12"/>
      <c r="J100" s="19"/>
      <c r="K100" s="19"/>
      <c r="L100" s="20"/>
      <c r="M100" s="20"/>
      <c r="N100" s="20"/>
      <c r="O100" s="84" t="str">
        <f t="shared" si="2"/>
        <v/>
      </c>
      <c r="P100" s="15"/>
      <c r="Q100" s="11"/>
      <c r="R100" s="10" t="str">
        <f t="array" ref="R100">IF($E100="","",IF($B100="","Thiếu ngày thực hiện",IF(AND($D100&lt;&gt;"",IFERROR(INDEX('Kế hoạch định kỳ'!$C$6:$C$125,MATCH($D100,'Kế hoạch định kỳ'!$B$6:$B$125,0)),"")&lt;&gt;$E100),"Mã TB không khớp công việc",IF(AND(OR($C100="Bảo trì định kỳ",$C100="Hiệu chuẩn – kiểm định"),$D100=""),"Thiếu mã công việc kế hoạch",IF($Q100="","Thiếu kết quả","OK")))))</f>
        <v/>
      </c>
      <c r="S100" s="15"/>
    </row>
    <row r="101" ht="25.5" customHeight="1">
      <c r="A101" s="26" t="str">
        <f t="shared" si="1"/>
        <v/>
      </c>
      <c r="B101" s="32"/>
      <c r="C101" s="27"/>
      <c r="D101" s="27"/>
      <c r="E101" s="27"/>
      <c r="F101" s="28" t="str">
        <f t="array" ref="F101">IF($E101="","",IFERROR(INDEX('Danh mục thiết bị'!$C$6:$C$65,MATCH($E101,'Danh mục thiết bị'!$B$6:$B$65,0)),"Mã TB không tồn tại"))</f>
        <v/>
      </c>
      <c r="G101" s="28" t="str">
        <f t="array" ref="G101">IF($E101="","",IFERROR(INDEX('Danh mục thiết bị'!$D$6:$D$65,MATCH($E101,'Danh mục thiết bị'!$B$6:$B$65,0)),""))</f>
        <v/>
      </c>
      <c r="H101" s="29"/>
      <c r="I101" s="31"/>
      <c r="J101" s="34"/>
      <c r="K101" s="34"/>
      <c r="L101" s="35"/>
      <c r="M101" s="35"/>
      <c r="N101" s="35"/>
      <c r="O101" s="85" t="str">
        <f t="shared" si="2"/>
        <v/>
      </c>
      <c r="P101" s="29"/>
      <c r="Q101" s="27"/>
      <c r="R101" s="26" t="str">
        <f t="array" ref="R101">IF($E101="","",IF($B101="","Thiếu ngày thực hiện",IF(AND($D101&lt;&gt;"",IFERROR(INDEX('Kế hoạch định kỳ'!$C$6:$C$125,MATCH($D101,'Kế hoạch định kỳ'!$B$6:$B$125,0)),"")&lt;&gt;$E101),"Mã TB không khớp công việc",IF(AND(OR($C101="Bảo trì định kỳ",$C101="Hiệu chuẩn – kiểm định"),$D101=""),"Thiếu mã công việc kế hoạch",IF($Q101="","Thiếu kết quả","OK")))))</f>
        <v/>
      </c>
      <c r="S101" s="29"/>
    </row>
    <row r="102" ht="25.5" customHeight="1">
      <c r="A102" s="10" t="str">
        <f t="shared" si="1"/>
        <v/>
      </c>
      <c r="B102" s="13"/>
      <c r="C102" s="11"/>
      <c r="D102" s="11"/>
      <c r="E102" s="11"/>
      <c r="F102" s="14" t="str">
        <f t="array" ref="F102">IF($E102="","",IFERROR(INDEX('Danh mục thiết bị'!$C$6:$C$65,MATCH($E102,'Danh mục thiết bị'!$B$6:$B$65,0)),"Mã TB không tồn tại"))</f>
        <v/>
      </c>
      <c r="G102" s="14" t="str">
        <f t="array" ref="G102">IF($E102="","",IFERROR(INDEX('Danh mục thiết bị'!$D$6:$D$65,MATCH($E102,'Danh mục thiết bị'!$B$6:$B$65,0)),""))</f>
        <v/>
      </c>
      <c r="H102" s="15"/>
      <c r="I102" s="12"/>
      <c r="J102" s="19"/>
      <c r="K102" s="19"/>
      <c r="L102" s="20"/>
      <c r="M102" s="20"/>
      <c r="N102" s="20"/>
      <c r="O102" s="84" t="str">
        <f t="shared" si="2"/>
        <v/>
      </c>
      <c r="P102" s="15"/>
      <c r="Q102" s="11"/>
      <c r="R102" s="10" t="str">
        <f t="array" ref="R102">IF($E102="","",IF($B102="","Thiếu ngày thực hiện",IF(AND($D102&lt;&gt;"",IFERROR(INDEX('Kế hoạch định kỳ'!$C$6:$C$125,MATCH($D102,'Kế hoạch định kỳ'!$B$6:$B$125,0)),"")&lt;&gt;$E102),"Mã TB không khớp công việc",IF(AND(OR($C102="Bảo trì định kỳ",$C102="Hiệu chuẩn – kiểm định"),$D102=""),"Thiếu mã công việc kế hoạch",IF($Q102="","Thiếu kết quả","OK")))))</f>
        <v/>
      </c>
      <c r="S102" s="15"/>
    </row>
    <row r="103" ht="25.5" customHeight="1">
      <c r="A103" s="26" t="str">
        <f t="shared" si="1"/>
        <v/>
      </c>
      <c r="B103" s="32"/>
      <c r="C103" s="27"/>
      <c r="D103" s="27"/>
      <c r="E103" s="27"/>
      <c r="F103" s="28" t="str">
        <f t="array" ref="F103">IF($E103="","",IFERROR(INDEX('Danh mục thiết bị'!$C$6:$C$65,MATCH($E103,'Danh mục thiết bị'!$B$6:$B$65,0)),"Mã TB không tồn tại"))</f>
        <v/>
      </c>
      <c r="G103" s="28" t="str">
        <f t="array" ref="G103">IF($E103="","",IFERROR(INDEX('Danh mục thiết bị'!$D$6:$D$65,MATCH($E103,'Danh mục thiết bị'!$B$6:$B$65,0)),""))</f>
        <v/>
      </c>
      <c r="H103" s="29"/>
      <c r="I103" s="31"/>
      <c r="J103" s="34"/>
      <c r="K103" s="34"/>
      <c r="L103" s="35"/>
      <c r="M103" s="35"/>
      <c r="N103" s="35"/>
      <c r="O103" s="85" t="str">
        <f t="shared" si="2"/>
        <v/>
      </c>
      <c r="P103" s="29"/>
      <c r="Q103" s="27"/>
      <c r="R103" s="26" t="str">
        <f t="array" ref="R103">IF($E103="","",IF($B103="","Thiếu ngày thực hiện",IF(AND($D103&lt;&gt;"",IFERROR(INDEX('Kế hoạch định kỳ'!$C$6:$C$125,MATCH($D103,'Kế hoạch định kỳ'!$B$6:$B$125,0)),"")&lt;&gt;$E103),"Mã TB không khớp công việc",IF(AND(OR($C103="Bảo trì định kỳ",$C103="Hiệu chuẩn – kiểm định"),$D103=""),"Thiếu mã công việc kế hoạch",IF($Q103="","Thiếu kết quả","OK")))))</f>
        <v/>
      </c>
      <c r="S103" s="29"/>
    </row>
    <row r="104" ht="25.5" customHeight="1">
      <c r="A104" s="10" t="str">
        <f t="shared" si="1"/>
        <v/>
      </c>
      <c r="B104" s="13"/>
      <c r="C104" s="11"/>
      <c r="D104" s="11"/>
      <c r="E104" s="11"/>
      <c r="F104" s="14" t="str">
        <f t="array" ref="F104">IF($E104="","",IFERROR(INDEX('Danh mục thiết bị'!$C$6:$C$65,MATCH($E104,'Danh mục thiết bị'!$B$6:$B$65,0)),"Mã TB không tồn tại"))</f>
        <v/>
      </c>
      <c r="G104" s="14" t="str">
        <f t="array" ref="G104">IF($E104="","",IFERROR(INDEX('Danh mục thiết bị'!$D$6:$D$65,MATCH($E104,'Danh mục thiết bị'!$B$6:$B$65,0)),""))</f>
        <v/>
      </c>
      <c r="H104" s="15"/>
      <c r="I104" s="12"/>
      <c r="J104" s="19"/>
      <c r="K104" s="19"/>
      <c r="L104" s="20"/>
      <c r="M104" s="20"/>
      <c r="N104" s="20"/>
      <c r="O104" s="84" t="str">
        <f t="shared" si="2"/>
        <v/>
      </c>
      <c r="P104" s="15"/>
      <c r="Q104" s="11"/>
      <c r="R104" s="10" t="str">
        <f t="array" ref="R104">IF($E104="","",IF($B104="","Thiếu ngày thực hiện",IF(AND($D104&lt;&gt;"",IFERROR(INDEX('Kế hoạch định kỳ'!$C$6:$C$125,MATCH($D104,'Kế hoạch định kỳ'!$B$6:$B$125,0)),"")&lt;&gt;$E104),"Mã TB không khớp công việc",IF(AND(OR($C104="Bảo trì định kỳ",$C104="Hiệu chuẩn – kiểm định"),$D104=""),"Thiếu mã công việc kế hoạch",IF($Q104="","Thiếu kết quả","OK")))))</f>
        <v/>
      </c>
      <c r="S104" s="15"/>
    </row>
    <row r="105" ht="25.5" customHeight="1">
      <c r="A105" s="26" t="str">
        <f t="shared" si="1"/>
        <v/>
      </c>
      <c r="B105" s="32"/>
      <c r="C105" s="27"/>
      <c r="D105" s="27"/>
      <c r="E105" s="27"/>
      <c r="F105" s="28" t="str">
        <f t="array" ref="F105">IF($E105="","",IFERROR(INDEX('Danh mục thiết bị'!$C$6:$C$65,MATCH($E105,'Danh mục thiết bị'!$B$6:$B$65,0)),"Mã TB không tồn tại"))</f>
        <v/>
      </c>
      <c r="G105" s="28" t="str">
        <f t="array" ref="G105">IF($E105="","",IFERROR(INDEX('Danh mục thiết bị'!$D$6:$D$65,MATCH($E105,'Danh mục thiết bị'!$B$6:$B$65,0)),""))</f>
        <v/>
      </c>
      <c r="H105" s="29"/>
      <c r="I105" s="31"/>
      <c r="J105" s="34"/>
      <c r="K105" s="34"/>
      <c r="L105" s="35"/>
      <c r="M105" s="35"/>
      <c r="N105" s="35"/>
      <c r="O105" s="85" t="str">
        <f t="shared" si="2"/>
        <v/>
      </c>
      <c r="P105" s="29"/>
      <c r="Q105" s="27"/>
      <c r="R105" s="26" t="str">
        <f t="array" ref="R105">IF($E105="","",IF($B105="","Thiếu ngày thực hiện",IF(AND($D105&lt;&gt;"",IFERROR(INDEX('Kế hoạch định kỳ'!$C$6:$C$125,MATCH($D105,'Kế hoạch định kỳ'!$B$6:$B$125,0)),"")&lt;&gt;$E105),"Mã TB không khớp công việc",IF(AND(OR($C105="Bảo trì định kỳ",$C105="Hiệu chuẩn – kiểm định"),$D105=""),"Thiếu mã công việc kế hoạch",IF($Q105="","Thiếu kết quả","OK")))))</f>
        <v/>
      </c>
      <c r="S105" s="29"/>
    </row>
    <row r="106" ht="25.5" customHeight="1">
      <c r="A106" s="10" t="str">
        <f t="shared" si="1"/>
        <v/>
      </c>
      <c r="B106" s="13"/>
      <c r="C106" s="11"/>
      <c r="D106" s="11"/>
      <c r="E106" s="11"/>
      <c r="F106" s="14" t="str">
        <f t="array" ref="F106">IF($E106="","",IFERROR(INDEX('Danh mục thiết bị'!$C$6:$C$65,MATCH($E106,'Danh mục thiết bị'!$B$6:$B$65,0)),"Mã TB không tồn tại"))</f>
        <v/>
      </c>
      <c r="G106" s="14" t="str">
        <f t="array" ref="G106">IF($E106="","",IFERROR(INDEX('Danh mục thiết bị'!$D$6:$D$65,MATCH($E106,'Danh mục thiết bị'!$B$6:$B$65,0)),""))</f>
        <v/>
      </c>
      <c r="H106" s="15"/>
      <c r="I106" s="12"/>
      <c r="J106" s="19"/>
      <c r="K106" s="19"/>
      <c r="L106" s="20"/>
      <c r="M106" s="20"/>
      <c r="N106" s="20"/>
      <c r="O106" s="84" t="str">
        <f t="shared" si="2"/>
        <v/>
      </c>
      <c r="P106" s="15"/>
      <c r="Q106" s="11"/>
      <c r="R106" s="10" t="str">
        <f t="array" ref="R106">IF($E106="","",IF($B106="","Thiếu ngày thực hiện",IF(AND($D106&lt;&gt;"",IFERROR(INDEX('Kế hoạch định kỳ'!$C$6:$C$125,MATCH($D106,'Kế hoạch định kỳ'!$B$6:$B$125,0)),"")&lt;&gt;$E106),"Mã TB không khớp công việc",IF(AND(OR($C106="Bảo trì định kỳ",$C106="Hiệu chuẩn – kiểm định"),$D106=""),"Thiếu mã công việc kế hoạch",IF($Q106="","Thiếu kết quả","OK")))))</f>
        <v/>
      </c>
      <c r="S106" s="15"/>
    </row>
    <row r="107" ht="25.5" customHeight="1">
      <c r="A107" s="26" t="str">
        <f t="shared" si="1"/>
        <v/>
      </c>
      <c r="B107" s="32"/>
      <c r="C107" s="27"/>
      <c r="D107" s="27"/>
      <c r="E107" s="27"/>
      <c r="F107" s="28" t="str">
        <f t="array" ref="F107">IF($E107="","",IFERROR(INDEX('Danh mục thiết bị'!$C$6:$C$65,MATCH($E107,'Danh mục thiết bị'!$B$6:$B$65,0)),"Mã TB không tồn tại"))</f>
        <v/>
      </c>
      <c r="G107" s="28" t="str">
        <f t="array" ref="G107">IF($E107="","",IFERROR(INDEX('Danh mục thiết bị'!$D$6:$D$65,MATCH($E107,'Danh mục thiết bị'!$B$6:$B$65,0)),""))</f>
        <v/>
      </c>
      <c r="H107" s="29"/>
      <c r="I107" s="31"/>
      <c r="J107" s="34"/>
      <c r="K107" s="34"/>
      <c r="L107" s="35"/>
      <c r="M107" s="35"/>
      <c r="N107" s="35"/>
      <c r="O107" s="85" t="str">
        <f t="shared" si="2"/>
        <v/>
      </c>
      <c r="P107" s="29"/>
      <c r="Q107" s="27"/>
      <c r="R107" s="26" t="str">
        <f t="array" ref="R107">IF($E107="","",IF($B107="","Thiếu ngày thực hiện",IF(AND($D107&lt;&gt;"",IFERROR(INDEX('Kế hoạch định kỳ'!$C$6:$C$125,MATCH($D107,'Kế hoạch định kỳ'!$B$6:$B$125,0)),"")&lt;&gt;$E107),"Mã TB không khớp công việc",IF(AND(OR($C107="Bảo trì định kỳ",$C107="Hiệu chuẩn – kiểm định"),$D107=""),"Thiếu mã công việc kế hoạch",IF($Q107="","Thiếu kết quả","OK")))))</f>
        <v/>
      </c>
      <c r="S107" s="29"/>
    </row>
    <row r="108" ht="25.5" customHeight="1">
      <c r="A108" s="10" t="str">
        <f t="shared" si="1"/>
        <v/>
      </c>
      <c r="B108" s="13"/>
      <c r="C108" s="11"/>
      <c r="D108" s="11"/>
      <c r="E108" s="11"/>
      <c r="F108" s="14" t="str">
        <f t="array" ref="F108">IF($E108="","",IFERROR(INDEX('Danh mục thiết bị'!$C$6:$C$65,MATCH($E108,'Danh mục thiết bị'!$B$6:$B$65,0)),"Mã TB không tồn tại"))</f>
        <v/>
      </c>
      <c r="G108" s="14" t="str">
        <f t="array" ref="G108">IF($E108="","",IFERROR(INDEX('Danh mục thiết bị'!$D$6:$D$65,MATCH($E108,'Danh mục thiết bị'!$B$6:$B$65,0)),""))</f>
        <v/>
      </c>
      <c r="H108" s="15"/>
      <c r="I108" s="12"/>
      <c r="J108" s="19"/>
      <c r="K108" s="19"/>
      <c r="L108" s="20"/>
      <c r="M108" s="20"/>
      <c r="N108" s="20"/>
      <c r="O108" s="84" t="str">
        <f t="shared" si="2"/>
        <v/>
      </c>
      <c r="P108" s="15"/>
      <c r="Q108" s="11"/>
      <c r="R108" s="10" t="str">
        <f t="array" ref="R108">IF($E108="","",IF($B108="","Thiếu ngày thực hiện",IF(AND($D108&lt;&gt;"",IFERROR(INDEX('Kế hoạch định kỳ'!$C$6:$C$125,MATCH($D108,'Kế hoạch định kỳ'!$B$6:$B$125,0)),"")&lt;&gt;$E108),"Mã TB không khớp công việc",IF(AND(OR($C108="Bảo trì định kỳ",$C108="Hiệu chuẩn – kiểm định"),$D108=""),"Thiếu mã công việc kế hoạch",IF($Q108="","Thiếu kết quả","OK")))))</f>
        <v/>
      </c>
      <c r="S108" s="15"/>
    </row>
    <row r="109" ht="25.5" customHeight="1">
      <c r="A109" s="26" t="str">
        <f t="shared" si="1"/>
        <v/>
      </c>
      <c r="B109" s="32"/>
      <c r="C109" s="27"/>
      <c r="D109" s="27"/>
      <c r="E109" s="27"/>
      <c r="F109" s="28" t="str">
        <f t="array" ref="F109">IF($E109="","",IFERROR(INDEX('Danh mục thiết bị'!$C$6:$C$65,MATCH($E109,'Danh mục thiết bị'!$B$6:$B$65,0)),"Mã TB không tồn tại"))</f>
        <v/>
      </c>
      <c r="G109" s="28" t="str">
        <f t="array" ref="G109">IF($E109="","",IFERROR(INDEX('Danh mục thiết bị'!$D$6:$D$65,MATCH($E109,'Danh mục thiết bị'!$B$6:$B$65,0)),""))</f>
        <v/>
      </c>
      <c r="H109" s="29"/>
      <c r="I109" s="31"/>
      <c r="J109" s="34"/>
      <c r="K109" s="34"/>
      <c r="L109" s="35"/>
      <c r="M109" s="35"/>
      <c r="N109" s="35"/>
      <c r="O109" s="85" t="str">
        <f t="shared" si="2"/>
        <v/>
      </c>
      <c r="P109" s="29"/>
      <c r="Q109" s="27"/>
      <c r="R109" s="26" t="str">
        <f t="array" ref="R109">IF($E109="","",IF($B109="","Thiếu ngày thực hiện",IF(AND($D109&lt;&gt;"",IFERROR(INDEX('Kế hoạch định kỳ'!$C$6:$C$125,MATCH($D109,'Kế hoạch định kỳ'!$B$6:$B$125,0)),"")&lt;&gt;$E109),"Mã TB không khớp công việc",IF(AND(OR($C109="Bảo trì định kỳ",$C109="Hiệu chuẩn – kiểm định"),$D109=""),"Thiếu mã công việc kế hoạch",IF($Q109="","Thiếu kết quả","OK")))))</f>
        <v/>
      </c>
      <c r="S109" s="29"/>
    </row>
    <row r="110" ht="25.5" customHeight="1">
      <c r="A110" s="10" t="str">
        <f t="shared" si="1"/>
        <v/>
      </c>
      <c r="B110" s="13"/>
      <c r="C110" s="11"/>
      <c r="D110" s="11"/>
      <c r="E110" s="11"/>
      <c r="F110" s="14" t="str">
        <f t="array" ref="F110">IF($E110="","",IFERROR(INDEX('Danh mục thiết bị'!$C$6:$C$65,MATCH($E110,'Danh mục thiết bị'!$B$6:$B$65,0)),"Mã TB không tồn tại"))</f>
        <v/>
      </c>
      <c r="G110" s="14" t="str">
        <f t="array" ref="G110">IF($E110="","",IFERROR(INDEX('Danh mục thiết bị'!$D$6:$D$65,MATCH($E110,'Danh mục thiết bị'!$B$6:$B$65,0)),""))</f>
        <v/>
      </c>
      <c r="H110" s="15"/>
      <c r="I110" s="12"/>
      <c r="J110" s="19"/>
      <c r="K110" s="19"/>
      <c r="L110" s="20"/>
      <c r="M110" s="20"/>
      <c r="N110" s="20"/>
      <c r="O110" s="84" t="str">
        <f t="shared" si="2"/>
        <v/>
      </c>
      <c r="P110" s="15"/>
      <c r="Q110" s="11"/>
      <c r="R110" s="10" t="str">
        <f t="array" ref="R110">IF($E110="","",IF($B110="","Thiếu ngày thực hiện",IF(AND($D110&lt;&gt;"",IFERROR(INDEX('Kế hoạch định kỳ'!$C$6:$C$125,MATCH($D110,'Kế hoạch định kỳ'!$B$6:$B$125,0)),"")&lt;&gt;$E110),"Mã TB không khớp công việc",IF(AND(OR($C110="Bảo trì định kỳ",$C110="Hiệu chuẩn – kiểm định"),$D110=""),"Thiếu mã công việc kế hoạch",IF($Q110="","Thiếu kết quả","OK")))))</f>
        <v/>
      </c>
      <c r="S110" s="15"/>
    </row>
    <row r="111" ht="25.5" customHeight="1">
      <c r="A111" s="26" t="str">
        <f t="shared" si="1"/>
        <v/>
      </c>
      <c r="B111" s="32"/>
      <c r="C111" s="27"/>
      <c r="D111" s="27"/>
      <c r="E111" s="27"/>
      <c r="F111" s="28" t="str">
        <f t="array" ref="F111">IF($E111="","",IFERROR(INDEX('Danh mục thiết bị'!$C$6:$C$65,MATCH($E111,'Danh mục thiết bị'!$B$6:$B$65,0)),"Mã TB không tồn tại"))</f>
        <v/>
      </c>
      <c r="G111" s="28" t="str">
        <f t="array" ref="G111">IF($E111="","",IFERROR(INDEX('Danh mục thiết bị'!$D$6:$D$65,MATCH($E111,'Danh mục thiết bị'!$B$6:$B$65,0)),""))</f>
        <v/>
      </c>
      <c r="H111" s="29"/>
      <c r="I111" s="31"/>
      <c r="J111" s="34"/>
      <c r="K111" s="34"/>
      <c r="L111" s="35"/>
      <c r="M111" s="35"/>
      <c r="N111" s="35"/>
      <c r="O111" s="85" t="str">
        <f t="shared" si="2"/>
        <v/>
      </c>
      <c r="P111" s="29"/>
      <c r="Q111" s="27"/>
      <c r="R111" s="26" t="str">
        <f t="array" ref="R111">IF($E111="","",IF($B111="","Thiếu ngày thực hiện",IF(AND($D111&lt;&gt;"",IFERROR(INDEX('Kế hoạch định kỳ'!$C$6:$C$125,MATCH($D111,'Kế hoạch định kỳ'!$B$6:$B$125,0)),"")&lt;&gt;$E111),"Mã TB không khớp công việc",IF(AND(OR($C111="Bảo trì định kỳ",$C111="Hiệu chuẩn – kiểm định"),$D111=""),"Thiếu mã công việc kế hoạch",IF($Q111="","Thiếu kết quả","OK")))))</f>
        <v/>
      </c>
      <c r="S111" s="29"/>
    </row>
    <row r="112" ht="25.5" customHeight="1">
      <c r="A112" s="10" t="str">
        <f t="shared" si="1"/>
        <v/>
      </c>
      <c r="B112" s="13"/>
      <c r="C112" s="11"/>
      <c r="D112" s="11"/>
      <c r="E112" s="11"/>
      <c r="F112" s="14" t="str">
        <f t="array" ref="F112">IF($E112="","",IFERROR(INDEX('Danh mục thiết bị'!$C$6:$C$65,MATCH($E112,'Danh mục thiết bị'!$B$6:$B$65,0)),"Mã TB không tồn tại"))</f>
        <v/>
      </c>
      <c r="G112" s="14" t="str">
        <f t="array" ref="G112">IF($E112="","",IFERROR(INDEX('Danh mục thiết bị'!$D$6:$D$65,MATCH($E112,'Danh mục thiết bị'!$B$6:$B$65,0)),""))</f>
        <v/>
      </c>
      <c r="H112" s="15"/>
      <c r="I112" s="12"/>
      <c r="J112" s="19"/>
      <c r="K112" s="19"/>
      <c r="L112" s="20"/>
      <c r="M112" s="20"/>
      <c r="N112" s="20"/>
      <c r="O112" s="84" t="str">
        <f t="shared" si="2"/>
        <v/>
      </c>
      <c r="P112" s="15"/>
      <c r="Q112" s="11"/>
      <c r="R112" s="10" t="str">
        <f t="array" ref="R112">IF($E112="","",IF($B112="","Thiếu ngày thực hiện",IF(AND($D112&lt;&gt;"",IFERROR(INDEX('Kế hoạch định kỳ'!$C$6:$C$125,MATCH($D112,'Kế hoạch định kỳ'!$B$6:$B$125,0)),"")&lt;&gt;$E112),"Mã TB không khớp công việc",IF(AND(OR($C112="Bảo trì định kỳ",$C112="Hiệu chuẩn – kiểm định"),$D112=""),"Thiếu mã công việc kế hoạch",IF($Q112="","Thiếu kết quả","OK")))))</f>
        <v/>
      </c>
      <c r="S112" s="15"/>
    </row>
    <row r="113" ht="25.5" customHeight="1">
      <c r="A113" s="26" t="str">
        <f t="shared" si="1"/>
        <v/>
      </c>
      <c r="B113" s="32"/>
      <c r="C113" s="27"/>
      <c r="D113" s="27"/>
      <c r="E113" s="27"/>
      <c r="F113" s="28" t="str">
        <f t="array" ref="F113">IF($E113="","",IFERROR(INDEX('Danh mục thiết bị'!$C$6:$C$65,MATCH($E113,'Danh mục thiết bị'!$B$6:$B$65,0)),"Mã TB không tồn tại"))</f>
        <v/>
      </c>
      <c r="G113" s="28" t="str">
        <f t="array" ref="G113">IF($E113="","",IFERROR(INDEX('Danh mục thiết bị'!$D$6:$D$65,MATCH($E113,'Danh mục thiết bị'!$B$6:$B$65,0)),""))</f>
        <v/>
      </c>
      <c r="H113" s="29"/>
      <c r="I113" s="31"/>
      <c r="J113" s="34"/>
      <c r="K113" s="34"/>
      <c r="L113" s="35"/>
      <c r="M113" s="35"/>
      <c r="N113" s="35"/>
      <c r="O113" s="85" t="str">
        <f t="shared" si="2"/>
        <v/>
      </c>
      <c r="P113" s="29"/>
      <c r="Q113" s="27"/>
      <c r="R113" s="26" t="str">
        <f t="array" ref="R113">IF($E113="","",IF($B113="","Thiếu ngày thực hiện",IF(AND($D113&lt;&gt;"",IFERROR(INDEX('Kế hoạch định kỳ'!$C$6:$C$125,MATCH($D113,'Kế hoạch định kỳ'!$B$6:$B$125,0)),"")&lt;&gt;$E113),"Mã TB không khớp công việc",IF(AND(OR($C113="Bảo trì định kỳ",$C113="Hiệu chuẩn – kiểm định"),$D113=""),"Thiếu mã công việc kế hoạch",IF($Q113="","Thiếu kết quả","OK")))))</f>
        <v/>
      </c>
      <c r="S113" s="29"/>
    </row>
    <row r="114" ht="25.5" customHeight="1">
      <c r="A114" s="10" t="str">
        <f t="shared" si="1"/>
        <v/>
      </c>
      <c r="B114" s="13"/>
      <c r="C114" s="11"/>
      <c r="D114" s="11"/>
      <c r="E114" s="11"/>
      <c r="F114" s="14" t="str">
        <f t="array" ref="F114">IF($E114="","",IFERROR(INDEX('Danh mục thiết bị'!$C$6:$C$65,MATCH($E114,'Danh mục thiết bị'!$B$6:$B$65,0)),"Mã TB không tồn tại"))</f>
        <v/>
      </c>
      <c r="G114" s="14" t="str">
        <f t="array" ref="G114">IF($E114="","",IFERROR(INDEX('Danh mục thiết bị'!$D$6:$D$65,MATCH($E114,'Danh mục thiết bị'!$B$6:$B$65,0)),""))</f>
        <v/>
      </c>
      <c r="H114" s="15"/>
      <c r="I114" s="12"/>
      <c r="J114" s="19"/>
      <c r="K114" s="19"/>
      <c r="L114" s="20"/>
      <c r="M114" s="20"/>
      <c r="N114" s="20"/>
      <c r="O114" s="84" t="str">
        <f t="shared" si="2"/>
        <v/>
      </c>
      <c r="P114" s="15"/>
      <c r="Q114" s="11"/>
      <c r="R114" s="10" t="str">
        <f t="array" ref="R114">IF($E114="","",IF($B114="","Thiếu ngày thực hiện",IF(AND($D114&lt;&gt;"",IFERROR(INDEX('Kế hoạch định kỳ'!$C$6:$C$125,MATCH($D114,'Kế hoạch định kỳ'!$B$6:$B$125,0)),"")&lt;&gt;$E114),"Mã TB không khớp công việc",IF(AND(OR($C114="Bảo trì định kỳ",$C114="Hiệu chuẩn – kiểm định"),$D114=""),"Thiếu mã công việc kế hoạch",IF($Q114="","Thiếu kết quả","OK")))))</f>
        <v/>
      </c>
      <c r="S114" s="15"/>
    </row>
    <row r="115" ht="25.5" customHeight="1">
      <c r="A115" s="26" t="str">
        <f t="shared" si="1"/>
        <v/>
      </c>
      <c r="B115" s="32"/>
      <c r="C115" s="27"/>
      <c r="D115" s="27"/>
      <c r="E115" s="27"/>
      <c r="F115" s="28" t="str">
        <f t="array" ref="F115">IF($E115="","",IFERROR(INDEX('Danh mục thiết bị'!$C$6:$C$65,MATCH($E115,'Danh mục thiết bị'!$B$6:$B$65,0)),"Mã TB không tồn tại"))</f>
        <v/>
      </c>
      <c r="G115" s="28" t="str">
        <f t="array" ref="G115">IF($E115="","",IFERROR(INDEX('Danh mục thiết bị'!$D$6:$D$65,MATCH($E115,'Danh mục thiết bị'!$B$6:$B$65,0)),""))</f>
        <v/>
      </c>
      <c r="H115" s="29"/>
      <c r="I115" s="31"/>
      <c r="J115" s="34"/>
      <c r="K115" s="34"/>
      <c r="L115" s="35"/>
      <c r="M115" s="35"/>
      <c r="N115" s="35"/>
      <c r="O115" s="85" t="str">
        <f t="shared" si="2"/>
        <v/>
      </c>
      <c r="P115" s="29"/>
      <c r="Q115" s="27"/>
      <c r="R115" s="26" t="str">
        <f t="array" ref="R115">IF($E115="","",IF($B115="","Thiếu ngày thực hiện",IF(AND($D115&lt;&gt;"",IFERROR(INDEX('Kế hoạch định kỳ'!$C$6:$C$125,MATCH($D115,'Kế hoạch định kỳ'!$B$6:$B$125,0)),"")&lt;&gt;$E115),"Mã TB không khớp công việc",IF(AND(OR($C115="Bảo trì định kỳ",$C115="Hiệu chuẩn – kiểm định"),$D115=""),"Thiếu mã công việc kế hoạch",IF($Q115="","Thiếu kết quả","OK")))))</f>
        <v/>
      </c>
      <c r="S115" s="29"/>
    </row>
    <row r="116" ht="25.5" customHeight="1">
      <c r="A116" s="10" t="str">
        <f t="shared" si="1"/>
        <v/>
      </c>
      <c r="B116" s="13"/>
      <c r="C116" s="11"/>
      <c r="D116" s="11"/>
      <c r="E116" s="11"/>
      <c r="F116" s="14" t="str">
        <f t="array" ref="F116">IF($E116="","",IFERROR(INDEX('Danh mục thiết bị'!$C$6:$C$65,MATCH($E116,'Danh mục thiết bị'!$B$6:$B$65,0)),"Mã TB không tồn tại"))</f>
        <v/>
      </c>
      <c r="G116" s="14" t="str">
        <f t="array" ref="G116">IF($E116="","",IFERROR(INDEX('Danh mục thiết bị'!$D$6:$D$65,MATCH($E116,'Danh mục thiết bị'!$B$6:$B$65,0)),""))</f>
        <v/>
      </c>
      <c r="H116" s="15"/>
      <c r="I116" s="12"/>
      <c r="J116" s="19"/>
      <c r="K116" s="19"/>
      <c r="L116" s="20"/>
      <c r="M116" s="20"/>
      <c r="N116" s="20"/>
      <c r="O116" s="84" t="str">
        <f t="shared" si="2"/>
        <v/>
      </c>
      <c r="P116" s="15"/>
      <c r="Q116" s="11"/>
      <c r="R116" s="10" t="str">
        <f t="array" ref="R116">IF($E116="","",IF($B116="","Thiếu ngày thực hiện",IF(AND($D116&lt;&gt;"",IFERROR(INDEX('Kế hoạch định kỳ'!$C$6:$C$125,MATCH($D116,'Kế hoạch định kỳ'!$B$6:$B$125,0)),"")&lt;&gt;$E116),"Mã TB không khớp công việc",IF(AND(OR($C116="Bảo trì định kỳ",$C116="Hiệu chuẩn – kiểm định"),$D116=""),"Thiếu mã công việc kế hoạch",IF($Q116="","Thiếu kết quả","OK")))))</f>
        <v/>
      </c>
      <c r="S116" s="15"/>
    </row>
    <row r="117" ht="25.5" customHeight="1">
      <c r="A117" s="26" t="str">
        <f t="shared" si="1"/>
        <v/>
      </c>
      <c r="B117" s="32"/>
      <c r="C117" s="27"/>
      <c r="D117" s="27"/>
      <c r="E117" s="27"/>
      <c r="F117" s="28" t="str">
        <f t="array" ref="F117">IF($E117="","",IFERROR(INDEX('Danh mục thiết bị'!$C$6:$C$65,MATCH($E117,'Danh mục thiết bị'!$B$6:$B$65,0)),"Mã TB không tồn tại"))</f>
        <v/>
      </c>
      <c r="G117" s="28" t="str">
        <f t="array" ref="G117">IF($E117="","",IFERROR(INDEX('Danh mục thiết bị'!$D$6:$D$65,MATCH($E117,'Danh mục thiết bị'!$B$6:$B$65,0)),""))</f>
        <v/>
      </c>
      <c r="H117" s="29"/>
      <c r="I117" s="31"/>
      <c r="J117" s="34"/>
      <c r="K117" s="34"/>
      <c r="L117" s="35"/>
      <c r="M117" s="35"/>
      <c r="N117" s="35"/>
      <c r="O117" s="85" t="str">
        <f t="shared" si="2"/>
        <v/>
      </c>
      <c r="P117" s="29"/>
      <c r="Q117" s="27"/>
      <c r="R117" s="26" t="str">
        <f t="array" ref="R117">IF($E117="","",IF($B117="","Thiếu ngày thực hiện",IF(AND($D117&lt;&gt;"",IFERROR(INDEX('Kế hoạch định kỳ'!$C$6:$C$125,MATCH($D117,'Kế hoạch định kỳ'!$B$6:$B$125,0)),"")&lt;&gt;$E117),"Mã TB không khớp công việc",IF(AND(OR($C117="Bảo trì định kỳ",$C117="Hiệu chuẩn – kiểm định"),$D117=""),"Thiếu mã công việc kế hoạch",IF($Q117="","Thiếu kết quả","OK")))))</f>
        <v/>
      </c>
      <c r="S117" s="29"/>
    </row>
    <row r="118" ht="25.5" customHeight="1">
      <c r="A118" s="10" t="str">
        <f t="shared" si="1"/>
        <v/>
      </c>
      <c r="B118" s="13"/>
      <c r="C118" s="11"/>
      <c r="D118" s="11"/>
      <c r="E118" s="11"/>
      <c r="F118" s="14" t="str">
        <f t="array" ref="F118">IF($E118="","",IFERROR(INDEX('Danh mục thiết bị'!$C$6:$C$65,MATCH($E118,'Danh mục thiết bị'!$B$6:$B$65,0)),"Mã TB không tồn tại"))</f>
        <v/>
      </c>
      <c r="G118" s="14" t="str">
        <f t="array" ref="G118">IF($E118="","",IFERROR(INDEX('Danh mục thiết bị'!$D$6:$D$65,MATCH($E118,'Danh mục thiết bị'!$B$6:$B$65,0)),""))</f>
        <v/>
      </c>
      <c r="H118" s="15"/>
      <c r="I118" s="12"/>
      <c r="J118" s="19"/>
      <c r="K118" s="19"/>
      <c r="L118" s="20"/>
      <c r="M118" s="20"/>
      <c r="N118" s="20"/>
      <c r="O118" s="84" t="str">
        <f t="shared" si="2"/>
        <v/>
      </c>
      <c r="P118" s="15"/>
      <c r="Q118" s="11"/>
      <c r="R118" s="10" t="str">
        <f t="array" ref="R118">IF($E118="","",IF($B118="","Thiếu ngày thực hiện",IF(AND($D118&lt;&gt;"",IFERROR(INDEX('Kế hoạch định kỳ'!$C$6:$C$125,MATCH($D118,'Kế hoạch định kỳ'!$B$6:$B$125,0)),"")&lt;&gt;$E118),"Mã TB không khớp công việc",IF(AND(OR($C118="Bảo trì định kỳ",$C118="Hiệu chuẩn – kiểm định"),$D118=""),"Thiếu mã công việc kế hoạch",IF($Q118="","Thiếu kết quả","OK")))))</f>
        <v/>
      </c>
      <c r="S118" s="15"/>
    </row>
    <row r="119" ht="25.5" customHeight="1">
      <c r="A119" s="26" t="str">
        <f t="shared" si="1"/>
        <v/>
      </c>
      <c r="B119" s="32"/>
      <c r="C119" s="27"/>
      <c r="D119" s="27"/>
      <c r="E119" s="27"/>
      <c r="F119" s="28" t="str">
        <f t="array" ref="F119">IF($E119="","",IFERROR(INDEX('Danh mục thiết bị'!$C$6:$C$65,MATCH($E119,'Danh mục thiết bị'!$B$6:$B$65,0)),"Mã TB không tồn tại"))</f>
        <v/>
      </c>
      <c r="G119" s="28" t="str">
        <f t="array" ref="G119">IF($E119="","",IFERROR(INDEX('Danh mục thiết bị'!$D$6:$D$65,MATCH($E119,'Danh mục thiết bị'!$B$6:$B$65,0)),""))</f>
        <v/>
      </c>
      <c r="H119" s="29"/>
      <c r="I119" s="31"/>
      <c r="J119" s="34"/>
      <c r="K119" s="34"/>
      <c r="L119" s="35"/>
      <c r="M119" s="35"/>
      <c r="N119" s="35"/>
      <c r="O119" s="85" t="str">
        <f t="shared" si="2"/>
        <v/>
      </c>
      <c r="P119" s="29"/>
      <c r="Q119" s="27"/>
      <c r="R119" s="26" t="str">
        <f t="array" ref="R119">IF($E119="","",IF($B119="","Thiếu ngày thực hiện",IF(AND($D119&lt;&gt;"",IFERROR(INDEX('Kế hoạch định kỳ'!$C$6:$C$125,MATCH($D119,'Kế hoạch định kỳ'!$B$6:$B$125,0)),"")&lt;&gt;$E119),"Mã TB không khớp công việc",IF(AND(OR($C119="Bảo trì định kỳ",$C119="Hiệu chuẩn – kiểm định"),$D119=""),"Thiếu mã công việc kế hoạch",IF($Q119="","Thiếu kết quả","OK")))))</f>
        <v/>
      </c>
      <c r="S119" s="29"/>
    </row>
    <row r="120" ht="25.5" customHeight="1">
      <c r="A120" s="10" t="str">
        <f t="shared" si="1"/>
        <v/>
      </c>
      <c r="B120" s="13"/>
      <c r="C120" s="11"/>
      <c r="D120" s="11"/>
      <c r="E120" s="11"/>
      <c r="F120" s="14" t="str">
        <f t="array" ref="F120">IF($E120="","",IFERROR(INDEX('Danh mục thiết bị'!$C$6:$C$65,MATCH($E120,'Danh mục thiết bị'!$B$6:$B$65,0)),"Mã TB không tồn tại"))</f>
        <v/>
      </c>
      <c r="G120" s="14" t="str">
        <f t="array" ref="G120">IF($E120="","",IFERROR(INDEX('Danh mục thiết bị'!$D$6:$D$65,MATCH($E120,'Danh mục thiết bị'!$B$6:$B$65,0)),""))</f>
        <v/>
      </c>
      <c r="H120" s="15"/>
      <c r="I120" s="12"/>
      <c r="J120" s="19"/>
      <c r="K120" s="19"/>
      <c r="L120" s="20"/>
      <c r="M120" s="20"/>
      <c r="N120" s="20"/>
      <c r="O120" s="84" t="str">
        <f t="shared" si="2"/>
        <v/>
      </c>
      <c r="P120" s="15"/>
      <c r="Q120" s="11"/>
      <c r="R120" s="10" t="str">
        <f t="array" ref="R120">IF($E120="","",IF($B120="","Thiếu ngày thực hiện",IF(AND($D120&lt;&gt;"",IFERROR(INDEX('Kế hoạch định kỳ'!$C$6:$C$125,MATCH($D120,'Kế hoạch định kỳ'!$B$6:$B$125,0)),"")&lt;&gt;$E120),"Mã TB không khớp công việc",IF(AND(OR($C120="Bảo trì định kỳ",$C120="Hiệu chuẩn – kiểm định"),$D120=""),"Thiếu mã công việc kế hoạch",IF($Q120="","Thiếu kết quả","OK")))))</f>
        <v/>
      </c>
      <c r="S120" s="15"/>
    </row>
    <row r="121" ht="25.5" customHeight="1">
      <c r="A121" s="26" t="str">
        <f t="shared" si="1"/>
        <v/>
      </c>
      <c r="B121" s="32"/>
      <c r="C121" s="27"/>
      <c r="D121" s="27"/>
      <c r="E121" s="27"/>
      <c r="F121" s="28" t="str">
        <f t="array" ref="F121">IF($E121="","",IFERROR(INDEX('Danh mục thiết bị'!$C$6:$C$65,MATCH($E121,'Danh mục thiết bị'!$B$6:$B$65,0)),"Mã TB không tồn tại"))</f>
        <v/>
      </c>
      <c r="G121" s="28" t="str">
        <f t="array" ref="G121">IF($E121="","",IFERROR(INDEX('Danh mục thiết bị'!$D$6:$D$65,MATCH($E121,'Danh mục thiết bị'!$B$6:$B$65,0)),""))</f>
        <v/>
      </c>
      <c r="H121" s="29"/>
      <c r="I121" s="31"/>
      <c r="J121" s="34"/>
      <c r="K121" s="34"/>
      <c r="L121" s="35"/>
      <c r="M121" s="35"/>
      <c r="N121" s="35"/>
      <c r="O121" s="85" t="str">
        <f t="shared" si="2"/>
        <v/>
      </c>
      <c r="P121" s="29"/>
      <c r="Q121" s="27"/>
      <c r="R121" s="26" t="str">
        <f t="array" ref="R121">IF($E121="","",IF($B121="","Thiếu ngày thực hiện",IF(AND($D121&lt;&gt;"",IFERROR(INDEX('Kế hoạch định kỳ'!$C$6:$C$125,MATCH($D121,'Kế hoạch định kỳ'!$B$6:$B$125,0)),"")&lt;&gt;$E121),"Mã TB không khớp công việc",IF(AND(OR($C121="Bảo trì định kỳ",$C121="Hiệu chuẩn – kiểm định"),$D121=""),"Thiếu mã công việc kế hoạch",IF($Q121="","Thiếu kết quả","OK")))))</f>
        <v/>
      </c>
      <c r="S121" s="29"/>
    </row>
    <row r="122" ht="25.5" customHeight="1">
      <c r="A122" s="10" t="str">
        <f t="shared" si="1"/>
        <v/>
      </c>
      <c r="B122" s="13"/>
      <c r="C122" s="11"/>
      <c r="D122" s="11"/>
      <c r="E122" s="11"/>
      <c r="F122" s="14" t="str">
        <f t="array" ref="F122">IF($E122="","",IFERROR(INDEX('Danh mục thiết bị'!$C$6:$C$65,MATCH($E122,'Danh mục thiết bị'!$B$6:$B$65,0)),"Mã TB không tồn tại"))</f>
        <v/>
      </c>
      <c r="G122" s="14" t="str">
        <f t="array" ref="G122">IF($E122="","",IFERROR(INDEX('Danh mục thiết bị'!$D$6:$D$65,MATCH($E122,'Danh mục thiết bị'!$B$6:$B$65,0)),""))</f>
        <v/>
      </c>
      <c r="H122" s="15"/>
      <c r="I122" s="12"/>
      <c r="J122" s="19"/>
      <c r="K122" s="19"/>
      <c r="L122" s="20"/>
      <c r="M122" s="20"/>
      <c r="N122" s="20"/>
      <c r="O122" s="84" t="str">
        <f t="shared" si="2"/>
        <v/>
      </c>
      <c r="P122" s="15"/>
      <c r="Q122" s="11"/>
      <c r="R122" s="10" t="str">
        <f t="array" ref="R122">IF($E122="","",IF($B122="","Thiếu ngày thực hiện",IF(AND($D122&lt;&gt;"",IFERROR(INDEX('Kế hoạch định kỳ'!$C$6:$C$125,MATCH($D122,'Kế hoạch định kỳ'!$B$6:$B$125,0)),"")&lt;&gt;$E122),"Mã TB không khớp công việc",IF(AND(OR($C122="Bảo trì định kỳ",$C122="Hiệu chuẩn – kiểm định"),$D122=""),"Thiếu mã công việc kế hoạch",IF($Q122="","Thiếu kết quả","OK")))))</f>
        <v/>
      </c>
      <c r="S122" s="15"/>
    </row>
    <row r="123" ht="25.5" customHeight="1">
      <c r="A123" s="26" t="str">
        <f t="shared" si="1"/>
        <v/>
      </c>
      <c r="B123" s="32"/>
      <c r="C123" s="27"/>
      <c r="D123" s="27"/>
      <c r="E123" s="27"/>
      <c r="F123" s="28" t="str">
        <f t="array" ref="F123">IF($E123="","",IFERROR(INDEX('Danh mục thiết bị'!$C$6:$C$65,MATCH($E123,'Danh mục thiết bị'!$B$6:$B$65,0)),"Mã TB không tồn tại"))</f>
        <v/>
      </c>
      <c r="G123" s="28" t="str">
        <f t="array" ref="G123">IF($E123="","",IFERROR(INDEX('Danh mục thiết bị'!$D$6:$D$65,MATCH($E123,'Danh mục thiết bị'!$B$6:$B$65,0)),""))</f>
        <v/>
      </c>
      <c r="H123" s="29"/>
      <c r="I123" s="31"/>
      <c r="J123" s="34"/>
      <c r="K123" s="34"/>
      <c r="L123" s="35"/>
      <c r="M123" s="35"/>
      <c r="N123" s="35"/>
      <c r="O123" s="85" t="str">
        <f t="shared" si="2"/>
        <v/>
      </c>
      <c r="P123" s="29"/>
      <c r="Q123" s="27"/>
      <c r="R123" s="26" t="str">
        <f t="array" ref="R123">IF($E123="","",IF($B123="","Thiếu ngày thực hiện",IF(AND($D123&lt;&gt;"",IFERROR(INDEX('Kế hoạch định kỳ'!$C$6:$C$125,MATCH($D123,'Kế hoạch định kỳ'!$B$6:$B$125,0)),"")&lt;&gt;$E123),"Mã TB không khớp công việc",IF(AND(OR($C123="Bảo trì định kỳ",$C123="Hiệu chuẩn – kiểm định"),$D123=""),"Thiếu mã công việc kế hoạch",IF($Q123="","Thiếu kết quả","OK")))))</f>
        <v/>
      </c>
      <c r="S123" s="29"/>
    </row>
    <row r="124" ht="25.5" customHeight="1">
      <c r="A124" s="10" t="str">
        <f t="shared" si="1"/>
        <v/>
      </c>
      <c r="B124" s="13"/>
      <c r="C124" s="11"/>
      <c r="D124" s="11"/>
      <c r="E124" s="11"/>
      <c r="F124" s="14" t="str">
        <f t="array" ref="F124">IF($E124="","",IFERROR(INDEX('Danh mục thiết bị'!$C$6:$C$65,MATCH($E124,'Danh mục thiết bị'!$B$6:$B$65,0)),"Mã TB không tồn tại"))</f>
        <v/>
      </c>
      <c r="G124" s="14" t="str">
        <f t="array" ref="G124">IF($E124="","",IFERROR(INDEX('Danh mục thiết bị'!$D$6:$D$65,MATCH($E124,'Danh mục thiết bị'!$B$6:$B$65,0)),""))</f>
        <v/>
      </c>
      <c r="H124" s="15"/>
      <c r="I124" s="12"/>
      <c r="J124" s="19"/>
      <c r="K124" s="19"/>
      <c r="L124" s="20"/>
      <c r="M124" s="20"/>
      <c r="N124" s="20"/>
      <c r="O124" s="84" t="str">
        <f t="shared" si="2"/>
        <v/>
      </c>
      <c r="P124" s="15"/>
      <c r="Q124" s="11"/>
      <c r="R124" s="10" t="str">
        <f t="array" ref="R124">IF($E124="","",IF($B124="","Thiếu ngày thực hiện",IF(AND($D124&lt;&gt;"",IFERROR(INDEX('Kế hoạch định kỳ'!$C$6:$C$125,MATCH($D124,'Kế hoạch định kỳ'!$B$6:$B$125,0)),"")&lt;&gt;$E124),"Mã TB không khớp công việc",IF(AND(OR($C124="Bảo trì định kỳ",$C124="Hiệu chuẩn – kiểm định"),$D124=""),"Thiếu mã công việc kế hoạch",IF($Q124="","Thiếu kết quả","OK")))))</f>
        <v/>
      </c>
      <c r="S124" s="15"/>
    </row>
    <row r="125" ht="25.5" customHeight="1">
      <c r="A125" s="26" t="str">
        <f t="shared" si="1"/>
        <v/>
      </c>
      <c r="B125" s="32"/>
      <c r="C125" s="27"/>
      <c r="D125" s="27"/>
      <c r="E125" s="27"/>
      <c r="F125" s="28" t="str">
        <f t="array" ref="F125">IF($E125="","",IFERROR(INDEX('Danh mục thiết bị'!$C$6:$C$65,MATCH($E125,'Danh mục thiết bị'!$B$6:$B$65,0)),"Mã TB không tồn tại"))</f>
        <v/>
      </c>
      <c r="G125" s="28" t="str">
        <f t="array" ref="G125">IF($E125="","",IFERROR(INDEX('Danh mục thiết bị'!$D$6:$D$65,MATCH($E125,'Danh mục thiết bị'!$B$6:$B$65,0)),""))</f>
        <v/>
      </c>
      <c r="H125" s="29"/>
      <c r="I125" s="31"/>
      <c r="J125" s="34"/>
      <c r="K125" s="34"/>
      <c r="L125" s="35"/>
      <c r="M125" s="35"/>
      <c r="N125" s="35"/>
      <c r="O125" s="85" t="str">
        <f t="shared" si="2"/>
        <v/>
      </c>
      <c r="P125" s="29"/>
      <c r="Q125" s="27"/>
      <c r="R125" s="26" t="str">
        <f t="array" ref="R125">IF($E125="","",IF($B125="","Thiếu ngày thực hiện",IF(AND($D125&lt;&gt;"",IFERROR(INDEX('Kế hoạch định kỳ'!$C$6:$C$125,MATCH($D125,'Kế hoạch định kỳ'!$B$6:$B$125,0)),"")&lt;&gt;$E125),"Mã TB không khớp công việc",IF(AND(OR($C125="Bảo trì định kỳ",$C125="Hiệu chuẩn – kiểm định"),$D125=""),"Thiếu mã công việc kế hoạch",IF($Q125="","Thiếu kết quả","OK")))))</f>
        <v/>
      </c>
      <c r="S125" s="29"/>
    </row>
    <row r="126" ht="25.5" customHeight="1">
      <c r="A126" s="10" t="str">
        <f t="shared" si="1"/>
        <v/>
      </c>
      <c r="B126" s="13"/>
      <c r="C126" s="11"/>
      <c r="D126" s="11"/>
      <c r="E126" s="11"/>
      <c r="F126" s="14" t="str">
        <f t="array" ref="F126">IF($E126="","",IFERROR(INDEX('Danh mục thiết bị'!$C$6:$C$65,MATCH($E126,'Danh mục thiết bị'!$B$6:$B$65,0)),"Mã TB không tồn tại"))</f>
        <v/>
      </c>
      <c r="G126" s="14" t="str">
        <f t="array" ref="G126">IF($E126="","",IFERROR(INDEX('Danh mục thiết bị'!$D$6:$D$65,MATCH($E126,'Danh mục thiết bị'!$B$6:$B$65,0)),""))</f>
        <v/>
      </c>
      <c r="H126" s="15"/>
      <c r="I126" s="12"/>
      <c r="J126" s="19"/>
      <c r="K126" s="19"/>
      <c r="L126" s="20"/>
      <c r="M126" s="20"/>
      <c r="N126" s="20"/>
      <c r="O126" s="84" t="str">
        <f t="shared" si="2"/>
        <v/>
      </c>
      <c r="P126" s="15"/>
      <c r="Q126" s="11"/>
      <c r="R126" s="10" t="str">
        <f t="array" ref="R126">IF($E126="","",IF($B126="","Thiếu ngày thực hiện",IF(AND($D126&lt;&gt;"",IFERROR(INDEX('Kế hoạch định kỳ'!$C$6:$C$125,MATCH($D126,'Kế hoạch định kỳ'!$B$6:$B$125,0)),"")&lt;&gt;$E126),"Mã TB không khớp công việc",IF(AND(OR($C126="Bảo trì định kỳ",$C126="Hiệu chuẩn – kiểm định"),$D126=""),"Thiếu mã công việc kế hoạch",IF($Q126="","Thiếu kết quả","OK")))))</f>
        <v/>
      </c>
      <c r="S126" s="15"/>
    </row>
    <row r="127" ht="25.5" customHeight="1">
      <c r="A127" s="26" t="str">
        <f t="shared" si="1"/>
        <v/>
      </c>
      <c r="B127" s="32"/>
      <c r="C127" s="27"/>
      <c r="D127" s="27"/>
      <c r="E127" s="27"/>
      <c r="F127" s="28" t="str">
        <f t="array" ref="F127">IF($E127="","",IFERROR(INDEX('Danh mục thiết bị'!$C$6:$C$65,MATCH($E127,'Danh mục thiết bị'!$B$6:$B$65,0)),"Mã TB không tồn tại"))</f>
        <v/>
      </c>
      <c r="G127" s="28" t="str">
        <f t="array" ref="G127">IF($E127="","",IFERROR(INDEX('Danh mục thiết bị'!$D$6:$D$65,MATCH($E127,'Danh mục thiết bị'!$B$6:$B$65,0)),""))</f>
        <v/>
      </c>
      <c r="H127" s="29"/>
      <c r="I127" s="31"/>
      <c r="J127" s="34"/>
      <c r="K127" s="34"/>
      <c r="L127" s="35"/>
      <c r="M127" s="35"/>
      <c r="N127" s="35"/>
      <c r="O127" s="85" t="str">
        <f t="shared" si="2"/>
        <v/>
      </c>
      <c r="P127" s="29"/>
      <c r="Q127" s="27"/>
      <c r="R127" s="26" t="str">
        <f t="array" ref="R127">IF($E127="","",IF($B127="","Thiếu ngày thực hiện",IF(AND($D127&lt;&gt;"",IFERROR(INDEX('Kế hoạch định kỳ'!$C$6:$C$125,MATCH($D127,'Kế hoạch định kỳ'!$B$6:$B$125,0)),"")&lt;&gt;$E127),"Mã TB không khớp công việc",IF(AND(OR($C127="Bảo trì định kỳ",$C127="Hiệu chuẩn – kiểm định"),$D127=""),"Thiếu mã công việc kế hoạch",IF($Q127="","Thiếu kết quả","OK")))))</f>
        <v/>
      </c>
      <c r="S127" s="29"/>
    </row>
    <row r="128" ht="25.5" customHeight="1">
      <c r="A128" s="10" t="str">
        <f t="shared" si="1"/>
        <v/>
      </c>
      <c r="B128" s="13"/>
      <c r="C128" s="11"/>
      <c r="D128" s="11"/>
      <c r="E128" s="11"/>
      <c r="F128" s="14" t="str">
        <f t="array" ref="F128">IF($E128="","",IFERROR(INDEX('Danh mục thiết bị'!$C$6:$C$65,MATCH($E128,'Danh mục thiết bị'!$B$6:$B$65,0)),"Mã TB không tồn tại"))</f>
        <v/>
      </c>
      <c r="G128" s="14" t="str">
        <f t="array" ref="G128">IF($E128="","",IFERROR(INDEX('Danh mục thiết bị'!$D$6:$D$65,MATCH($E128,'Danh mục thiết bị'!$B$6:$B$65,0)),""))</f>
        <v/>
      </c>
      <c r="H128" s="15"/>
      <c r="I128" s="12"/>
      <c r="J128" s="19"/>
      <c r="K128" s="19"/>
      <c r="L128" s="20"/>
      <c r="M128" s="20"/>
      <c r="N128" s="20"/>
      <c r="O128" s="84" t="str">
        <f t="shared" si="2"/>
        <v/>
      </c>
      <c r="P128" s="15"/>
      <c r="Q128" s="11"/>
      <c r="R128" s="10" t="str">
        <f t="array" ref="R128">IF($E128="","",IF($B128="","Thiếu ngày thực hiện",IF(AND($D128&lt;&gt;"",IFERROR(INDEX('Kế hoạch định kỳ'!$C$6:$C$125,MATCH($D128,'Kế hoạch định kỳ'!$B$6:$B$125,0)),"")&lt;&gt;$E128),"Mã TB không khớp công việc",IF(AND(OR($C128="Bảo trì định kỳ",$C128="Hiệu chuẩn – kiểm định"),$D128=""),"Thiếu mã công việc kế hoạch",IF($Q128="","Thiếu kết quả","OK")))))</f>
        <v/>
      </c>
      <c r="S128" s="15"/>
    </row>
    <row r="129" ht="25.5" customHeight="1">
      <c r="A129" s="26" t="str">
        <f t="shared" si="1"/>
        <v/>
      </c>
      <c r="B129" s="32"/>
      <c r="C129" s="27"/>
      <c r="D129" s="27"/>
      <c r="E129" s="27"/>
      <c r="F129" s="28" t="str">
        <f t="array" ref="F129">IF($E129="","",IFERROR(INDEX('Danh mục thiết bị'!$C$6:$C$65,MATCH($E129,'Danh mục thiết bị'!$B$6:$B$65,0)),"Mã TB không tồn tại"))</f>
        <v/>
      </c>
      <c r="G129" s="28" t="str">
        <f t="array" ref="G129">IF($E129="","",IFERROR(INDEX('Danh mục thiết bị'!$D$6:$D$65,MATCH($E129,'Danh mục thiết bị'!$B$6:$B$65,0)),""))</f>
        <v/>
      </c>
      <c r="H129" s="29"/>
      <c r="I129" s="31"/>
      <c r="J129" s="34"/>
      <c r="K129" s="34"/>
      <c r="L129" s="35"/>
      <c r="M129" s="35"/>
      <c r="N129" s="35"/>
      <c r="O129" s="85" t="str">
        <f t="shared" si="2"/>
        <v/>
      </c>
      <c r="P129" s="29"/>
      <c r="Q129" s="27"/>
      <c r="R129" s="26" t="str">
        <f t="array" ref="R129">IF($E129="","",IF($B129="","Thiếu ngày thực hiện",IF(AND($D129&lt;&gt;"",IFERROR(INDEX('Kế hoạch định kỳ'!$C$6:$C$125,MATCH($D129,'Kế hoạch định kỳ'!$B$6:$B$125,0)),"")&lt;&gt;$E129),"Mã TB không khớp công việc",IF(AND(OR($C129="Bảo trì định kỳ",$C129="Hiệu chuẩn – kiểm định"),$D129=""),"Thiếu mã công việc kế hoạch",IF($Q129="","Thiếu kết quả","OK")))))</f>
        <v/>
      </c>
      <c r="S129" s="29"/>
    </row>
    <row r="130" ht="25.5" customHeight="1">
      <c r="A130" s="10" t="str">
        <f t="shared" si="1"/>
        <v/>
      </c>
      <c r="B130" s="13"/>
      <c r="C130" s="11"/>
      <c r="D130" s="11"/>
      <c r="E130" s="11"/>
      <c r="F130" s="14" t="str">
        <f t="array" ref="F130">IF($E130="","",IFERROR(INDEX('Danh mục thiết bị'!$C$6:$C$65,MATCH($E130,'Danh mục thiết bị'!$B$6:$B$65,0)),"Mã TB không tồn tại"))</f>
        <v/>
      </c>
      <c r="G130" s="14" t="str">
        <f t="array" ref="G130">IF($E130="","",IFERROR(INDEX('Danh mục thiết bị'!$D$6:$D$65,MATCH($E130,'Danh mục thiết bị'!$B$6:$B$65,0)),""))</f>
        <v/>
      </c>
      <c r="H130" s="15"/>
      <c r="I130" s="12"/>
      <c r="J130" s="19"/>
      <c r="K130" s="19"/>
      <c r="L130" s="20"/>
      <c r="M130" s="20"/>
      <c r="N130" s="20"/>
      <c r="O130" s="84" t="str">
        <f t="shared" si="2"/>
        <v/>
      </c>
      <c r="P130" s="15"/>
      <c r="Q130" s="11"/>
      <c r="R130" s="10" t="str">
        <f t="array" ref="R130">IF($E130="","",IF($B130="","Thiếu ngày thực hiện",IF(AND($D130&lt;&gt;"",IFERROR(INDEX('Kế hoạch định kỳ'!$C$6:$C$125,MATCH($D130,'Kế hoạch định kỳ'!$B$6:$B$125,0)),"")&lt;&gt;$E130),"Mã TB không khớp công việc",IF(AND(OR($C130="Bảo trì định kỳ",$C130="Hiệu chuẩn – kiểm định"),$D130=""),"Thiếu mã công việc kế hoạch",IF($Q130="","Thiếu kết quả","OK")))))</f>
        <v/>
      </c>
      <c r="S130" s="15"/>
    </row>
    <row r="131" ht="25.5" customHeight="1">
      <c r="A131" s="26" t="str">
        <f t="shared" si="1"/>
        <v/>
      </c>
      <c r="B131" s="32"/>
      <c r="C131" s="27"/>
      <c r="D131" s="27"/>
      <c r="E131" s="27"/>
      <c r="F131" s="28" t="str">
        <f t="array" ref="F131">IF($E131="","",IFERROR(INDEX('Danh mục thiết bị'!$C$6:$C$65,MATCH($E131,'Danh mục thiết bị'!$B$6:$B$65,0)),"Mã TB không tồn tại"))</f>
        <v/>
      </c>
      <c r="G131" s="28" t="str">
        <f t="array" ref="G131">IF($E131="","",IFERROR(INDEX('Danh mục thiết bị'!$D$6:$D$65,MATCH($E131,'Danh mục thiết bị'!$B$6:$B$65,0)),""))</f>
        <v/>
      </c>
      <c r="H131" s="29"/>
      <c r="I131" s="31"/>
      <c r="J131" s="34"/>
      <c r="K131" s="34"/>
      <c r="L131" s="35"/>
      <c r="M131" s="35"/>
      <c r="N131" s="35"/>
      <c r="O131" s="85" t="str">
        <f t="shared" si="2"/>
        <v/>
      </c>
      <c r="P131" s="29"/>
      <c r="Q131" s="27"/>
      <c r="R131" s="26" t="str">
        <f t="array" ref="R131">IF($E131="","",IF($B131="","Thiếu ngày thực hiện",IF(AND($D131&lt;&gt;"",IFERROR(INDEX('Kế hoạch định kỳ'!$C$6:$C$125,MATCH($D131,'Kế hoạch định kỳ'!$B$6:$B$125,0)),"")&lt;&gt;$E131),"Mã TB không khớp công việc",IF(AND(OR($C131="Bảo trì định kỳ",$C131="Hiệu chuẩn – kiểm định"),$D131=""),"Thiếu mã công việc kế hoạch",IF($Q131="","Thiếu kết quả","OK")))))</f>
        <v/>
      </c>
      <c r="S131" s="29"/>
    </row>
    <row r="132" ht="25.5" customHeight="1">
      <c r="A132" s="10" t="str">
        <f t="shared" si="1"/>
        <v/>
      </c>
      <c r="B132" s="13"/>
      <c r="C132" s="11"/>
      <c r="D132" s="11"/>
      <c r="E132" s="11"/>
      <c r="F132" s="14" t="str">
        <f t="array" ref="F132">IF($E132="","",IFERROR(INDEX('Danh mục thiết bị'!$C$6:$C$65,MATCH($E132,'Danh mục thiết bị'!$B$6:$B$65,0)),"Mã TB không tồn tại"))</f>
        <v/>
      </c>
      <c r="G132" s="14" t="str">
        <f t="array" ref="G132">IF($E132="","",IFERROR(INDEX('Danh mục thiết bị'!$D$6:$D$65,MATCH($E132,'Danh mục thiết bị'!$B$6:$B$65,0)),""))</f>
        <v/>
      </c>
      <c r="H132" s="15"/>
      <c r="I132" s="12"/>
      <c r="J132" s="19"/>
      <c r="K132" s="19"/>
      <c r="L132" s="20"/>
      <c r="M132" s="20"/>
      <c r="N132" s="20"/>
      <c r="O132" s="84" t="str">
        <f t="shared" si="2"/>
        <v/>
      </c>
      <c r="P132" s="15"/>
      <c r="Q132" s="11"/>
      <c r="R132" s="10" t="str">
        <f t="array" ref="R132">IF($E132="","",IF($B132="","Thiếu ngày thực hiện",IF(AND($D132&lt;&gt;"",IFERROR(INDEX('Kế hoạch định kỳ'!$C$6:$C$125,MATCH($D132,'Kế hoạch định kỳ'!$B$6:$B$125,0)),"")&lt;&gt;$E132),"Mã TB không khớp công việc",IF(AND(OR($C132="Bảo trì định kỳ",$C132="Hiệu chuẩn – kiểm định"),$D132=""),"Thiếu mã công việc kế hoạch",IF($Q132="","Thiếu kết quả","OK")))))</f>
        <v/>
      </c>
      <c r="S132" s="15"/>
    </row>
    <row r="133" ht="25.5" customHeight="1">
      <c r="A133" s="26" t="str">
        <f t="shared" si="1"/>
        <v/>
      </c>
      <c r="B133" s="32"/>
      <c r="C133" s="27"/>
      <c r="D133" s="27"/>
      <c r="E133" s="27"/>
      <c r="F133" s="28" t="str">
        <f t="array" ref="F133">IF($E133="","",IFERROR(INDEX('Danh mục thiết bị'!$C$6:$C$65,MATCH($E133,'Danh mục thiết bị'!$B$6:$B$65,0)),"Mã TB không tồn tại"))</f>
        <v/>
      </c>
      <c r="G133" s="28" t="str">
        <f t="array" ref="G133">IF($E133="","",IFERROR(INDEX('Danh mục thiết bị'!$D$6:$D$65,MATCH($E133,'Danh mục thiết bị'!$B$6:$B$65,0)),""))</f>
        <v/>
      </c>
      <c r="H133" s="29"/>
      <c r="I133" s="31"/>
      <c r="J133" s="34"/>
      <c r="K133" s="34"/>
      <c r="L133" s="35"/>
      <c r="M133" s="35"/>
      <c r="N133" s="35"/>
      <c r="O133" s="85" t="str">
        <f t="shared" si="2"/>
        <v/>
      </c>
      <c r="P133" s="29"/>
      <c r="Q133" s="27"/>
      <c r="R133" s="26" t="str">
        <f t="array" ref="R133">IF($E133="","",IF($B133="","Thiếu ngày thực hiện",IF(AND($D133&lt;&gt;"",IFERROR(INDEX('Kế hoạch định kỳ'!$C$6:$C$125,MATCH($D133,'Kế hoạch định kỳ'!$B$6:$B$125,0)),"")&lt;&gt;$E133),"Mã TB không khớp công việc",IF(AND(OR($C133="Bảo trì định kỳ",$C133="Hiệu chuẩn – kiểm định"),$D133=""),"Thiếu mã công việc kế hoạch",IF($Q133="","Thiếu kết quả","OK")))))</f>
        <v/>
      </c>
      <c r="S133" s="29"/>
    </row>
    <row r="134" ht="25.5" customHeight="1">
      <c r="A134" s="10" t="str">
        <f t="shared" si="1"/>
        <v/>
      </c>
      <c r="B134" s="13"/>
      <c r="C134" s="11"/>
      <c r="D134" s="11"/>
      <c r="E134" s="11"/>
      <c r="F134" s="14" t="str">
        <f t="array" ref="F134">IF($E134="","",IFERROR(INDEX('Danh mục thiết bị'!$C$6:$C$65,MATCH($E134,'Danh mục thiết bị'!$B$6:$B$65,0)),"Mã TB không tồn tại"))</f>
        <v/>
      </c>
      <c r="G134" s="14" t="str">
        <f t="array" ref="G134">IF($E134="","",IFERROR(INDEX('Danh mục thiết bị'!$D$6:$D$65,MATCH($E134,'Danh mục thiết bị'!$B$6:$B$65,0)),""))</f>
        <v/>
      </c>
      <c r="H134" s="15"/>
      <c r="I134" s="12"/>
      <c r="J134" s="19"/>
      <c r="K134" s="19"/>
      <c r="L134" s="20"/>
      <c r="M134" s="20"/>
      <c r="N134" s="20"/>
      <c r="O134" s="84" t="str">
        <f t="shared" si="2"/>
        <v/>
      </c>
      <c r="P134" s="15"/>
      <c r="Q134" s="11"/>
      <c r="R134" s="10" t="str">
        <f t="array" ref="R134">IF($E134="","",IF($B134="","Thiếu ngày thực hiện",IF(AND($D134&lt;&gt;"",IFERROR(INDEX('Kế hoạch định kỳ'!$C$6:$C$125,MATCH($D134,'Kế hoạch định kỳ'!$B$6:$B$125,0)),"")&lt;&gt;$E134),"Mã TB không khớp công việc",IF(AND(OR($C134="Bảo trì định kỳ",$C134="Hiệu chuẩn – kiểm định"),$D134=""),"Thiếu mã công việc kế hoạch",IF($Q134="","Thiếu kết quả","OK")))))</f>
        <v/>
      </c>
      <c r="S134" s="15"/>
    </row>
    <row r="135" ht="25.5" customHeight="1">
      <c r="A135" s="26" t="str">
        <f t="shared" si="1"/>
        <v/>
      </c>
      <c r="B135" s="32"/>
      <c r="C135" s="27"/>
      <c r="D135" s="27"/>
      <c r="E135" s="27"/>
      <c r="F135" s="28" t="str">
        <f t="array" ref="F135">IF($E135="","",IFERROR(INDEX('Danh mục thiết bị'!$C$6:$C$65,MATCH($E135,'Danh mục thiết bị'!$B$6:$B$65,0)),"Mã TB không tồn tại"))</f>
        <v/>
      </c>
      <c r="G135" s="28" t="str">
        <f t="array" ref="G135">IF($E135="","",IFERROR(INDEX('Danh mục thiết bị'!$D$6:$D$65,MATCH($E135,'Danh mục thiết bị'!$B$6:$B$65,0)),""))</f>
        <v/>
      </c>
      <c r="H135" s="29"/>
      <c r="I135" s="31"/>
      <c r="J135" s="34"/>
      <c r="K135" s="34"/>
      <c r="L135" s="35"/>
      <c r="M135" s="35"/>
      <c r="N135" s="35"/>
      <c r="O135" s="85" t="str">
        <f t="shared" si="2"/>
        <v/>
      </c>
      <c r="P135" s="29"/>
      <c r="Q135" s="27"/>
      <c r="R135" s="26" t="str">
        <f t="array" ref="R135">IF($E135="","",IF($B135="","Thiếu ngày thực hiện",IF(AND($D135&lt;&gt;"",IFERROR(INDEX('Kế hoạch định kỳ'!$C$6:$C$125,MATCH($D135,'Kế hoạch định kỳ'!$B$6:$B$125,0)),"")&lt;&gt;$E135),"Mã TB không khớp công việc",IF(AND(OR($C135="Bảo trì định kỳ",$C135="Hiệu chuẩn – kiểm định"),$D135=""),"Thiếu mã công việc kế hoạch",IF($Q135="","Thiếu kết quả","OK")))))</f>
        <v/>
      </c>
      <c r="S135" s="29"/>
    </row>
    <row r="136" ht="25.5" customHeight="1">
      <c r="A136" s="10" t="str">
        <f t="shared" si="1"/>
        <v/>
      </c>
      <c r="B136" s="13"/>
      <c r="C136" s="11"/>
      <c r="D136" s="11"/>
      <c r="E136" s="11"/>
      <c r="F136" s="14" t="str">
        <f t="array" ref="F136">IF($E136="","",IFERROR(INDEX('Danh mục thiết bị'!$C$6:$C$65,MATCH($E136,'Danh mục thiết bị'!$B$6:$B$65,0)),"Mã TB không tồn tại"))</f>
        <v/>
      </c>
      <c r="G136" s="14" t="str">
        <f t="array" ref="G136">IF($E136="","",IFERROR(INDEX('Danh mục thiết bị'!$D$6:$D$65,MATCH($E136,'Danh mục thiết bị'!$B$6:$B$65,0)),""))</f>
        <v/>
      </c>
      <c r="H136" s="15"/>
      <c r="I136" s="12"/>
      <c r="J136" s="19"/>
      <c r="K136" s="19"/>
      <c r="L136" s="20"/>
      <c r="M136" s="20"/>
      <c r="N136" s="20"/>
      <c r="O136" s="84" t="str">
        <f t="shared" si="2"/>
        <v/>
      </c>
      <c r="P136" s="15"/>
      <c r="Q136" s="11"/>
      <c r="R136" s="10" t="str">
        <f t="array" ref="R136">IF($E136="","",IF($B136="","Thiếu ngày thực hiện",IF(AND($D136&lt;&gt;"",IFERROR(INDEX('Kế hoạch định kỳ'!$C$6:$C$125,MATCH($D136,'Kế hoạch định kỳ'!$B$6:$B$125,0)),"")&lt;&gt;$E136),"Mã TB không khớp công việc",IF(AND(OR($C136="Bảo trì định kỳ",$C136="Hiệu chuẩn – kiểm định"),$D136=""),"Thiếu mã công việc kế hoạch",IF($Q136="","Thiếu kết quả","OK")))))</f>
        <v/>
      </c>
      <c r="S136" s="15"/>
    </row>
    <row r="137" ht="25.5" customHeight="1">
      <c r="A137" s="26" t="str">
        <f t="shared" si="1"/>
        <v/>
      </c>
      <c r="B137" s="32"/>
      <c r="C137" s="27"/>
      <c r="D137" s="27"/>
      <c r="E137" s="27"/>
      <c r="F137" s="28" t="str">
        <f t="array" ref="F137">IF($E137="","",IFERROR(INDEX('Danh mục thiết bị'!$C$6:$C$65,MATCH($E137,'Danh mục thiết bị'!$B$6:$B$65,0)),"Mã TB không tồn tại"))</f>
        <v/>
      </c>
      <c r="G137" s="28" t="str">
        <f t="array" ref="G137">IF($E137="","",IFERROR(INDEX('Danh mục thiết bị'!$D$6:$D$65,MATCH($E137,'Danh mục thiết bị'!$B$6:$B$65,0)),""))</f>
        <v/>
      </c>
      <c r="H137" s="29"/>
      <c r="I137" s="31"/>
      <c r="J137" s="34"/>
      <c r="K137" s="34"/>
      <c r="L137" s="35"/>
      <c r="M137" s="35"/>
      <c r="N137" s="35"/>
      <c r="O137" s="85" t="str">
        <f t="shared" si="2"/>
        <v/>
      </c>
      <c r="P137" s="29"/>
      <c r="Q137" s="27"/>
      <c r="R137" s="26" t="str">
        <f t="array" ref="R137">IF($E137="","",IF($B137="","Thiếu ngày thực hiện",IF(AND($D137&lt;&gt;"",IFERROR(INDEX('Kế hoạch định kỳ'!$C$6:$C$125,MATCH($D137,'Kế hoạch định kỳ'!$B$6:$B$125,0)),"")&lt;&gt;$E137),"Mã TB không khớp công việc",IF(AND(OR($C137="Bảo trì định kỳ",$C137="Hiệu chuẩn – kiểm định"),$D137=""),"Thiếu mã công việc kế hoạch",IF($Q137="","Thiếu kết quả","OK")))))</f>
        <v/>
      </c>
      <c r="S137" s="29"/>
    </row>
    <row r="138" ht="25.5" customHeight="1">
      <c r="A138" s="10" t="str">
        <f t="shared" si="1"/>
        <v/>
      </c>
      <c r="B138" s="13"/>
      <c r="C138" s="11"/>
      <c r="D138" s="11"/>
      <c r="E138" s="11"/>
      <c r="F138" s="14" t="str">
        <f t="array" ref="F138">IF($E138="","",IFERROR(INDEX('Danh mục thiết bị'!$C$6:$C$65,MATCH($E138,'Danh mục thiết bị'!$B$6:$B$65,0)),"Mã TB không tồn tại"))</f>
        <v/>
      </c>
      <c r="G138" s="14" t="str">
        <f t="array" ref="G138">IF($E138="","",IFERROR(INDEX('Danh mục thiết bị'!$D$6:$D$65,MATCH($E138,'Danh mục thiết bị'!$B$6:$B$65,0)),""))</f>
        <v/>
      </c>
      <c r="H138" s="15"/>
      <c r="I138" s="12"/>
      <c r="J138" s="19"/>
      <c r="K138" s="19"/>
      <c r="L138" s="20"/>
      <c r="M138" s="20"/>
      <c r="N138" s="20"/>
      <c r="O138" s="84" t="str">
        <f t="shared" si="2"/>
        <v/>
      </c>
      <c r="P138" s="15"/>
      <c r="Q138" s="11"/>
      <c r="R138" s="10" t="str">
        <f t="array" ref="R138">IF($E138="","",IF($B138="","Thiếu ngày thực hiện",IF(AND($D138&lt;&gt;"",IFERROR(INDEX('Kế hoạch định kỳ'!$C$6:$C$125,MATCH($D138,'Kế hoạch định kỳ'!$B$6:$B$125,0)),"")&lt;&gt;$E138),"Mã TB không khớp công việc",IF(AND(OR($C138="Bảo trì định kỳ",$C138="Hiệu chuẩn – kiểm định"),$D138=""),"Thiếu mã công việc kế hoạch",IF($Q138="","Thiếu kết quả","OK")))))</f>
        <v/>
      </c>
      <c r="S138" s="15"/>
    </row>
    <row r="139" ht="25.5" customHeight="1">
      <c r="A139" s="26" t="str">
        <f t="shared" si="1"/>
        <v/>
      </c>
      <c r="B139" s="32"/>
      <c r="C139" s="27"/>
      <c r="D139" s="27"/>
      <c r="E139" s="27"/>
      <c r="F139" s="28" t="str">
        <f t="array" ref="F139">IF($E139="","",IFERROR(INDEX('Danh mục thiết bị'!$C$6:$C$65,MATCH($E139,'Danh mục thiết bị'!$B$6:$B$65,0)),"Mã TB không tồn tại"))</f>
        <v/>
      </c>
      <c r="G139" s="28" t="str">
        <f t="array" ref="G139">IF($E139="","",IFERROR(INDEX('Danh mục thiết bị'!$D$6:$D$65,MATCH($E139,'Danh mục thiết bị'!$B$6:$B$65,0)),""))</f>
        <v/>
      </c>
      <c r="H139" s="29"/>
      <c r="I139" s="31"/>
      <c r="J139" s="34"/>
      <c r="K139" s="34"/>
      <c r="L139" s="35"/>
      <c r="M139" s="35"/>
      <c r="N139" s="35"/>
      <c r="O139" s="85" t="str">
        <f t="shared" si="2"/>
        <v/>
      </c>
      <c r="P139" s="29"/>
      <c r="Q139" s="27"/>
      <c r="R139" s="26" t="str">
        <f t="array" ref="R139">IF($E139="","",IF($B139="","Thiếu ngày thực hiện",IF(AND($D139&lt;&gt;"",IFERROR(INDEX('Kế hoạch định kỳ'!$C$6:$C$125,MATCH($D139,'Kế hoạch định kỳ'!$B$6:$B$125,0)),"")&lt;&gt;$E139),"Mã TB không khớp công việc",IF(AND(OR($C139="Bảo trì định kỳ",$C139="Hiệu chuẩn – kiểm định"),$D139=""),"Thiếu mã công việc kế hoạch",IF($Q139="","Thiếu kết quả","OK")))))</f>
        <v/>
      </c>
      <c r="S139" s="29"/>
    </row>
    <row r="140" ht="25.5" customHeight="1">
      <c r="A140" s="10" t="str">
        <f t="shared" si="1"/>
        <v/>
      </c>
      <c r="B140" s="13"/>
      <c r="C140" s="11"/>
      <c r="D140" s="11"/>
      <c r="E140" s="11"/>
      <c r="F140" s="14" t="str">
        <f t="array" ref="F140">IF($E140="","",IFERROR(INDEX('Danh mục thiết bị'!$C$6:$C$65,MATCH($E140,'Danh mục thiết bị'!$B$6:$B$65,0)),"Mã TB không tồn tại"))</f>
        <v/>
      </c>
      <c r="G140" s="14" t="str">
        <f t="array" ref="G140">IF($E140="","",IFERROR(INDEX('Danh mục thiết bị'!$D$6:$D$65,MATCH($E140,'Danh mục thiết bị'!$B$6:$B$65,0)),""))</f>
        <v/>
      </c>
      <c r="H140" s="15"/>
      <c r="I140" s="12"/>
      <c r="J140" s="19"/>
      <c r="K140" s="19"/>
      <c r="L140" s="20"/>
      <c r="M140" s="20"/>
      <c r="N140" s="20"/>
      <c r="O140" s="84" t="str">
        <f t="shared" si="2"/>
        <v/>
      </c>
      <c r="P140" s="15"/>
      <c r="Q140" s="11"/>
      <c r="R140" s="10" t="str">
        <f t="array" ref="R140">IF($E140="","",IF($B140="","Thiếu ngày thực hiện",IF(AND($D140&lt;&gt;"",IFERROR(INDEX('Kế hoạch định kỳ'!$C$6:$C$125,MATCH($D140,'Kế hoạch định kỳ'!$B$6:$B$125,0)),"")&lt;&gt;$E140),"Mã TB không khớp công việc",IF(AND(OR($C140="Bảo trì định kỳ",$C140="Hiệu chuẩn – kiểm định"),$D140=""),"Thiếu mã công việc kế hoạch",IF($Q140="","Thiếu kết quả","OK")))))</f>
        <v/>
      </c>
      <c r="S140" s="15"/>
    </row>
    <row r="141" ht="25.5" customHeight="1">
      <c r="A141" s="26" t="str">
        <f t="shared" si="1"/>
        <v/>
      </c>
      <c r="B141" s="32"/>
      <c r="C141" s="27"/>
      <c r="D141" s="27"/>
      <c r="E141" s="27"/>
      <c r="F141" s="28" t="str">
        <f t="array" ref="F141">IF($E141="","",IFERROR(INDEX('Danh mục thiết bị'!$C$6:$C$65,MATCH($E141,'Danh mục thiết bị'!$B$6:$B$65,0)),"Mã TB không tồn tại"))</f>
        <v/>
      </c>
      <c r="G141" s="28" t="str">
        <f t="array" ref="G141">IF($E141="","",IFERROR(INDEX('Danh mục thiết bị'!$D$6:$D$65,MATCH($E141,'Danh mục thiết bị'!$B$6:$B$65,0)),""))</f>
        <v/>
      </c>
      <c r="H141" s="29"/>
      <c r="I141" s="31"/>
      <c r="J141" s="34"/>
      <c r="K141" s="34"/>
      <c r="L141" s="35"/>
      <c r="M141" s="35"/>
      <c r="N141" s="35"/>
      <c r="O141" s="85" t="str">
        <f t="shared" si="2"/>
        <v/>
      </c>
      <c r="P141" s="29"/>
      <c r="Q141" s="27"/>
      <c r="R141" s="26" t="str">
        <f t="array" ref="R141">IF($E141="","",IF($B141="","Thiếu ngày thực hiện",IF(AND($D141&lt;&gt;"",IFERROR(INDEX('Kế hoạch định kỳ'!$C$6:$C$125,MATCH($D141,'Kế hoạch định kỳ'!$B$6:$B$125,0)),"")&lt;&gt;$E141),"Mã TB không khớp công việc",IF(AND(OR($C141="Bảo trì định kỳ",$C141="Hiệu chuẩn – kiểm định"),$D141=""),"Thiếu mã công việc kế hoạch",IF($Q141="","Thiếu kết quả","OK")))))</f>
        <v/>
      </c>
      <c r="S141" s="29"/>
    </row>
    <row r="142" ht="25.5" customHeight="1">
      <c r="A142" s="10" t="str">
        <f t="shared" si="1"/>
        <v/>
      </c>
      <c r="B142" s="13"/>
      <c r="C142" s="11"/>
      <c r="D142" s="11"/>
      <c r="E142" s="11"/>
      <c r="F142" s="14" t="str">
        <f t="array" ref="F142">IF($E142="","",IFERROR(INDEX('Danh mục thiết bị'!$C$6:$C$65,MATCH($E142,'Danh mục thiết bị'!$B$6:$B$65,0)),"Mã TB không tồn tại"))</f>
        <v/>
      </c>
      <c r="G142" s="14" t="str">
        <f t="array" ref="G142">IF($E142="","",IFERROR(INDEX('Danh mục thiết bị'!$D$6:$D$65,MATCH($E142,'Danh mục thiết bị'!$B$6:$B$65,0)),""))</f>
        <v/>
      </c>
      <c r="H142" s="15"/>
      <c r="I142" s="12"/>
      <c r="J142" s="19"/>
      <c r="K142" s="19"/>
      <c r="L142" s="20"/>
      <c r="M142" s="20"/>
      <c r="N142" s="20"/>
      <c r="O142" s="84" t="str">
        <f t="shared" si="2"/>
        <v/>
      </c>
      <c r="P142" s="15"/>
      <c r="Q142" s="11"/>
      <c r="R142" s="10" t="str">
        <f t="array" ref="R142">IF($E142="","",IF($B142="","Thiếu ngày thực hiện",IF(AND($D142&lt;&gt;"",IFERROR(INDEX('Kế hoạch định kỳ'!$C$6:$C$125,MATCH($D142,'Kế hoạch định kỳ'!$B$6:$B$125,0)),"")&lt;&gt;$E142),"Mã TB không khớp công việc",IF(AND(OR($C142="Bảo trì định kỳ",$C142="Hiệu chuẩn – kiểm định"),$D142=""),"Thiếu mã công việc kế hoạch",IF($Q142="","Thiếu kết quả","OK")))))</f>
        <v/>
      </c>
      <c r="S142" s="15"/>
    </row>
    <row r="143" ht="25.5" customHeight="1">
      <c r="A143" s="26" t="str">
        <f t="shared" si="1"/>
        <v/>
      </c>
      <c r="B143" s="32"/>
      <c r="C143" s="27"/>
      <c r="D143" s="27"/>
      <c r="E143" s="27"/>
      <c r="F143" s="28" t="str">
        <f t="array" ref="F143">IF($E143="","",IFERROR(INDEX('Danh mục thiết bị'!$C$6:$C$65,MATCH($E143,'Danh mục thiết bị'!$B$6:$B$65,0)),"Mã TB không tồn tại"))</f>
        <v/>
      </c>
      <c r="G143" s="28" t="str">
        <f t="array" ref="G143">IF($E143="","",IFERROR(INDEX('Danh mục thiết bị'!$D$6:$D$65,MATCH($E143,'Danh mục thiết bị'!$B$6:$B$65,0)),""))</f>
        <v/>
      </c>
      <c r="H143" s="29"/>
      <c r="I143" s="31"/>
      <c r="J143" s="34"/>
      <c r="K143" s="34"/>
      <c r="L143" s="35"/>
      <c r="M143" s="35"/>
      <c r="N143" s="35"/>
      <c r="O143" s="85" t="str">
        <f t="shared" si="2"/>
        <v/>
      </c>
      <c r="P143" s="29"/>
      <c r="Q143" s="27"/>
      <c r="R143" s="26" t="str">
        <f t="array" ref="R143">IF($E143="","",IF($B143="","Thiếu ngày thực hiện",IF(AND($D143&lt;&gt;"",IFERROR(INDEX('Kế hoạch định kỳ'!$C$6:$C$125,MATCH($D143,'Kế hoạch định kỳ'!$B$6:$B$125,0)),"")&lt;&gt;$E143),"Mã TB không khớp công việc",IF(AND(OR($C143="Bảo trì định kỳ",$C143="Hiệu chuẩn – kiểm định"),$D143=""),"Thiếu mã công việc kế hoạch",IF($Q143="","Thiếu kết quả","OK")))))</f>
        <v/>
      </c>
      <c r="S143" s="29"/>
    </row>
    <row r="144" ht="25.5" customHeight="1">
      <c r="A144" s="10" t="str">
        <f t="shared" si="1"/>
        <v/>
      </c>
      <c r="B144" s="13"/>
      <c r="C144" s="11"/>
      <c r="D144" s="11"/>
      <c r="E144" s="11"/>
      <c r="F144" s="14" t="str">
        <f t="array" ref="F144">IF($E144="","",IFERROR(INDEX('Danh mục thiết bị'!$C$6:$C$65,MATCH($E144,'Danh mục thiết bị'!$B$6:$B$65,0)),"Mã TB không tồn tại"))</f>
        <v/>
      </c>
      <c r="G144" s="14" t="str">
        <f t="array" ref="G144">IF($E144="","",IFERROR(INDEX('Danh mục thiết bị'!$D$6:$D$65,MATCH($E144,'Danh mục thiết bị'!$B$6:$B$65,0)),""))</f>
        <v/>
      </c>
      <c r="H144" s="15"/>
      <c r="I144" s="12"/>
      <c r="J144" s="19"/>
      <c r="K144" s="19"/>
      <c r="L144" s="20"/>
      <c r="M144" s="20"/>
      <c r="N144" s="20"/>
      <c r="O144" s="84" t="str">
        <f t="shared" si="2"/>
        <v/>
      </c>
      <c r="P144" s="15"/>
      <c r="Q144" s="11"/>
      <c r="R144" s="10" t="str">
        <f t="array" ref="R144">IF($E144="","",IF($B144="","Thiếu ngày thực hiện",IF(AND($D144&lt;&gt;"",IFERROR(INDEX('Kế hoạch định kỳ'!$C$6:$C$125,MATCH($D144,'Kế hoạch định kỳ'!$B$6:$B$125,0)),"")&lt;&gt;$E144),"Mã TB không khớp công việc",IF(AND(OR($C144="Bảo trì định kỳ",$C144="Hiệu chuẩn – kiểm định"),$D144=""),"Thiếu mã công việc kế hoạch",IF($Q144="","Thiếu kết quả","OK")))))</f>
        <v/>
      </c>
      <c r="S144" s="15"/>
    </row>
    <row r="145" ht="25.5" customHeight="1">
      <c r="A145" s="26" t="str">
        <f t="shared" si="1"/>
        <v/>
      </c>
      <c r="B145" s="32"/>
      <c r="C145" s="27"/>
      <c r="D145" s="27"/>
      <c r="E145" s="27"/>
      <c r="F145" s="28" t="str">
        <f t="array" ref="F145">IF($E145="","",IFERROR(INDEX('Danh mục thiết bị'!$C$6:$C$65,MATCH($E145,'Danh mục thiết bị'!$B$6:$B$65,0)),"Mã TB không tồn tại"))</f>
        <v/>
      </c>
      <c r="G145" s="28" t="str">
        <f t="array" ref="G145">IF($E145="","",IFERROR(INDEX('Danh mục thiết bị'!$D$6:$D$65,MATCH($E145,'Danh mục thiết bị'!$B$6:$B$65,0)),""))</f>
        <v/>
      </c>
      <c r="H145" s="29"/>
      <c r="I145" s="31"/>
      <c r="J145" s="34"/>
      <c r="K145" s="34"/>
      <c r="L145" s="35"/>
      <c r="M145" s="35"/>
      <c r="N145" s="35"/>
      <c r="O145" s="85" t="str">
        <f t="shared" si="2"/>
        <v/>
      </c>
      <c r="P145" s="29"/>
      <c r="Q145" s="27"/>
      <c r="R145" s="26" t="str">
        <f t="array" ref="R145">IF($E145="","",IF($B145="","Thiếu ngày thực hiện",IF(AND($D145&lt;&gt;"",IFERROR(INDEX('Kế hoạch định kỳ'!$C$6:$C$125,MATCH($D145,'Kế hoạch định kỳ'!$B$6:$B$125,0)),"")&lt;&gt;$E145),"Mã TB không khớp công việc",IF(AND(OR($C145="Bảo trì định kỳ",$C145="Hiệu chuẩn – kiểm định"),$D145=""),"Thiếu mã công việc kế hoạch",IF($Q145="","Thiếu kết quả","OK")))))</f>
        <v/>
      </c>
      <c r="S145" s="29"/>
    </row>
    <row r="146" ht="25.5" customHeight="1">
      <c r="A146" s="10" t="str">
        <f t="shared" si="1"/>
        <v/>
      </c>
      <c r="B146" s="13"/>
      <c r="C146" s="11"/>
      <c r="D146" s="11"/>
      <c r="E146" s="11"/>
      <c r="F146" s="14" t="str">
        <f t="array" ref="F146">IF($E146="","",IFERROR(INDEX('Danh mục thiết bị'!$C$6:$C$65,MATCH($E146,'Danh mục thiết bị'!$B$6:$B$65,0)),"Mã TB không tồn tại"))</f>
        <v/>
      </c>
      <c r="G146" s="14" t="str">
        <f t="array" ref="G146">IF($E146="","",IFERROR(INDEX('Danh mục thiết bị'!$D$6:$D$65,MATCH($E146,'Danh mục thiết bị'!$B$6:$B$65,0)),""))</f>
        <v/>
      </c>
      <c r="H146" s="15"/>
      <c r="I146" s="12"/>
      <c r="J146" s="19"/>
      <c r="K146" s="19"/>
      <c r="L146" s="20"/>
      <c r="M146" s="20"/>
      <c r="N146" s="20"/>
      <c r="O146" s="84" t="str">
        <f t="shared" si="2"/>
        <v/>
      </c>
      <c r="P146" s="15"/>
      <c r="Q146" s="11"/>
      <c r="R146" s="10" t="str">
        <f t="array" ref="R146">IF($E146="","",IF($B146="","Thiếu ngày thực hiện",IF(AND($D146&lt;&gt;"",IFERROR(INDEX('Kế hoạch định kỳ'!$C$6:$C$125,MATCH($D146,'Kế hoạch định kỳ'!$B$6:$B$125,0)),"")&lt;&gt;$E146),"Mã TB không khớp công việc",IF(AND(OR($C146="Bảo trì định kỳ",$C146="Hiệu chuẩn – kiểm định"),$D146=""),"Thiếu mã công việc kế hoạch",IF($Q146="","Thiếu kết quả","OK")))))</f>
        <v/>
      </c>
      <c r="S146" s="15"/>
    </row>
    <row r="147" ht="25.5" customHeight="1">
      <c r="A147" s="26" t="str">
        <f t="shared" si="1"/>
        <v/>
      </c>
      <c r="B147" s="32"/>
      <c r="C147" s="27"/>
      <c r="D147" s="27"/>
      <c r="E147" s="27"/>
      <c r="F147" s="28" t="str">
        <f t="array" ref="F147">IF($E147="","",IFERROR(INDEX('Danh mục thiết bị'!$C$6:$C$65,MATCH($E147,'Danh mục thiết bị'!$B$6:$B$65,0)),"Mã TB không tồn tại"))</f>
        <v/>
      </c>
      <c r="G147" s="28" t="str">
        <f t="array" ref="G147">IF($E147="","",IFERROR(INDEX('Danh mục thiết bị'!$D$6:$D$65,MATCH($E147,'Danh mục thiết bị'!$B$6:$B$65,0)),""))</f>
        <v/>
      </c>
      <c r="H147" s="29"/>
      <c r="I147" s="31"/>
      <c r="J147" s="34"/>
      <c r="K147" s="34"/>
      <c r="L147" s="35"/>
      <c r="M147" s="35"/>
      <c r="N147" s="35"/>
      <c r="O147" s="85" t="str">
        <f t="shared" si="2"/>
        <v/>
      </c>
      <c r="P147" s="29"/>
      <c r="Q147" s="27"/>
      <c r="R147" s="26" t="str">
        <f t="array" ref="R147">IF($E147="","",IF($B147="","Thiếu ngày thực hiện",IF(AND($D147&lt;&gt;"",IFERROR(INDEX('Kế hoạch định kỳ'!$C$6:$C$125,MATCH($D147,'Kế hoạch định kỳ'!$B$6:$B$125,0)),"")&lt;&gt;$E147),"Mã TB không khớp công việc",IF(AND(OR($C147="Bảo trì định kỳ",$C147="Hiệu chuẩn – kiểm định"),$D147=""),"Thiếu mã công việc kế hoạch",IF($Q147="","Thiếu kết quả","OK")))))</f>
        <v/>
      </c>
      <c r="S147" s="29"/>
    </row>
    <row r="148" ht="25.5" customHeight="1">
      <c r="A148" s="10" t="str">
        <f t="shared" si="1"/>
        <v/>
      </c>
      <c r="B148" s="13"/>
      <c r="C148" s="11"/>
      <c r="D148" s="11"/>
      <c r="E148" s="11"/>
      <c r="F148" s="14" t="str">
        <f t="array" ref="F148">IF($E148="","",IFERROR(INDEX('Danh mục thiết bị'!$C$6:$C$65,MATCH($E148,'Danh mục thiết bị'!$B$6:$B$65,0)),"Mã TB không tồn tại"))</f>
        <v/>
      </c>
      <c r="G148" s="14" t="str">
        <f t="array" ref="G148">IF($E148="","",IFERROR(INDEX('Danh mục thiết bị'!$D$6:$D$65,MATCH($E148,'Danh mục thiết bị'!$B$6:$B$65,0)),""))</f>
        <v/>
      </c>
      <c r="H148" s="15"/>
      <c r="I148" s="12"/>
      <c r="J148" s="19"/>
      <c r="K148" s="19"/>
      <c r="L148" s="20"/>
      <c r="M148" s="20"/>
      <c r="N148" s="20"/>
      <c r="O148" s="84" t="str">
        <f t="shared" si="2"/>
        <v/>
      </c>
      <c r="P148" s="15"/>
      <c r="Q148" s="11"/>
      <c r="R148" s="10" t="str">
        <f t="array" ref="R148">IF($E148="","",IF($B148="","Thiếu ngày thực hiện",IF(AND($D148&lt;&gt;"",IFERROR(INDEX('Kế hoạch định kỳ'!$C$6:$C$125,MATCH($D148,'Kế hoạch định kỳ'!$B$6:$B$125,0)),"")&lt;&gt;$E148),"Mã TB không khớp công việc",IF(AND(OR($C148="Bảo trì định kỳ",$C148="Hiệu chuẩn – kiểm định"),$D148=""),"Thiếu mã công việc kế hoạch",IF($Q148="","Thiếu kết quả","OK")))))</f>
        <v/>
      </c>
      <c r="S148" s="15"/>
    </row>
    <row r="149" ht="25.5" customHeight="1">
      <c r="A149" s="26" t="str">
        <f t="shared" si="1"/>
        <v/>
      </c>
      <c r="B149" s="32"/>
      <c r="C149" s="27"/>
      <c r="D149" s="27"/>
      <c r="E149" s="27"/>
      <c r="F149" s="28" t="str">
        <f t="array" ref="F149">IF($E149="","",IFERROR(INDEX('Danh mục thiết bị'!$C$6:$C$65,MATCH($E149,'Danh mục thiết bị'!$B$6:$B$65,0)),"Mã TB không tồn tại"))</f>
        <v/>
      </c>
      <c r="G149" s="28" t="str">
        <f t="array" ref="G149">IF($E149="","",IFERROR(INDEX('Danh mục thiết bị'!$D$6:$D$65,MATCH($E149,'Danh mục thiết bị'!$B$6:$B$65,0)),""))</f>
        <v/>
      </c>
      <c r="H149" s="29"/>
      <c r="I149" s="31"/>
      <c r="J149" s="34"/>
      <c r="K149" s="34"/>
      <c r="L149" s="35"/>
      <c r="M149" s="35"/>
      <c r="N149" s="35"/>
      <c r="O149" s="85" t="str">
        <f t="shared" si="2"/>
        <v/>
      </c>
      <c r="P149" s="29"/>
      <c r="Q149" s="27"/>
      <c r="R149" s="26" t="str">
        <f t="array" ref="R149">IF($E149="","",IF($B149="","Thiếu ngày thực hiện",IF(AND($D149&lt;&gt;"",IFERROR(INDEX('Kế hoạch định kỳ'!$C$6:$C$125,MATCH($D149,'Kế hoạch định kỳ'!$B$6:$B$125,0)),"")&lt;&gt;$E149),"Mã TB không khớp công việc",IF(AND(OR($C149="Bảo trì định kỳ",$C149="Hiệu chuẩn – kiểm định"),$D149=""),"Thiếu mã công việc kế hoạch",IF($Q149="","Thiếu kết quả","OK")))))</f>
        <v/>
      </c>
      <c r="S149" s="29"/>
    </row>
    <row r="150" ht="25.5" customHeight="1">
      <c r="A150" s="10" t="str">
        <f t="shared" si="1"/>
        <v/>
      </c>
      <c r="B150" s="13"/>
      <c r="C150" s="11"/>
      <c r="D150" s="11"/>
      <c r="E150" s="11"/>
      <c r="F150" s="14" t="str">
        <f t="array" ref="F150">IF($E150="","",IFERROR(INDEX('Danh mục thiết bị'!$C$6:$C$65,MATCH($E150,'Danh mục thiết bị'!$B$6:$B$65,0)),"Mã TB không tồn tại"))</f>
        <v/>
      </c>
      <c r="G150" s="14" t="str">
        <f t="array" ref="G150">IF($E150="","",IFERROR(INDEX('Danh mục thiết bị'!$D$6:$D$65,MATCH($E150,'Danh mục thiết bị'!$B$6:$B$65,0)),""))</f>
        <v/>
      </c>
      <c r="H150" s="15"/>
      <c r="I150" s="12"/>
      <c r="J150" s="19"/>
      <c r="K150" s="19"/>
      <c r="L150" s="20"/>
      <c r="M150" s="20"/>
      <c r="N150" s="20"/>
      <c r="O150" s="84" t="str">
        <f t="shared" si="2"/>
        <v/>
      </c>
      <c r="P150" s="15"/>
      <c r="Q150" s="11"/>
      <c r="R150" s="10" t="str">
        <f t="array" ref="R150">IF($E150="","",IF($B150="","Thiếu ngày thực hiện",IF(AND($D150&lt;&gt;"",IFERROR(INDEX('Kế hoạch định kỳ'!$C$6:$C$125,MATCH($D150,'Kế hoạch định kỳ'!$B$6:$B$125,0)),"")&lt;&gt;$E150),"Mã TB không khớp công việc",IF(AND(OR($C150="Bảo trì định kỳ",$C150="Hiệu chuẩn – kiểm định"),$D150=""),"Thiếu mã công việc kế hoạch",IF($Q150="","Thiếu kết quả","OK")))))</f>
        <v/>
      </c>
      <c r="S150" s="15"/>
    </row>
    <row r="151" ht="25.5" customHeight="1">
      <c r="A151" s="26" t="str">
        <f t="shared" si="1"/>
        <v/>
      </c>
      <c r="B151" s="32"/>
      <c r="C151" s="27"/>
      <c r="D151" s="27"/>
      <c r="E151" s="27"/>
      <c r="F151" s="28" t="str">
        <f t="array" ref="F151">IF($E151="","",IFERROR(INDEX('Danh mục thiết bị'!$C$6:$C$65,MATCH($E151,'Danh mục thiết bị'!$B$6:$B$65,0)),"Mã TB không tồn tại"))</f>
        <v/>
      </c>
      <c r="G151" s="28" t="str">
        <f t="array" ref="G151">IF($E151="","",IFERROR(INDEX('Danh mục thiết bị'!$D$6:$D$65,MATCH($E151,'Danh mục thiết bị'!$B$6:$B$65,0)),""))</f>
        <v/>
      </c>
      <c r="H151" s="29"/>
      <c r="I151" s="31"/>
      <c r="J151" s="34"/>
      <c r="K151" s="34"/>
      <c r="L151" s="35"/>
      <c r="M151" s="35"/>
      <c r="N151" s="35"/>
      <c r="O151" s="85" t="str">
        <f t="shared" si="2"/>
        <v/>
      </c>
      <c r="P151" s="29"/>
      <c r="Q151" s="27"/>
      <c r="R151" s="26" t="str">
        <f t="array" ref="R151">IF($E151="","",IF($B151="","Thiếu ngày thực hiện",IF(AND($D151&lt;&gt;"",IFERROR(INDEX('Kế hoạch định kỳ'!$C$6:$C$125,MATCH($D151,'Kế hoạch định kỳ'!$B$6:$B$125,0)),"")&lt;&gt;$E151),"Mã TB không khớp công việc",IF(AND(OR($C151="Bảo trì định kỳ",$C151="Hiệu chuẩn – kiểm định"),$D151=""),"Thiếu mã công việc kế hoạch",IF($Q151="","Thiếu kết quả","OK")))))</f>
        <v/>
      </c>
      <c r="S151" s="29"/>
    </row>
    <row r="152" ht="25.5" customHeight="1">
      <c r="A152" s="10" t="str">
        <f t="shared" si="1"/>
        <v/>
      </c>
      <c r="B152" s="13"/>
      <c r="C152" s="11"/>
      <c r="D152" s="11"/>
      <c r="E152" s="11"/>
      <c r="F152" s="14" t="str">
        <f t="array" ref="F152">IF($E152="","",IFERROR(INDEX('Danh mục thiết bị'!$C$6:$C$65,MATCH($E152,'Danh mục thiết bị'!$B$6:$B$65,0)),"Mã TB không tồn tại"))</f>
        <v/>
      </c>
      <c r="G152" s="14" t="str">
        <f t="array" ref="G152">IF($E152="","",IFERROR(INDEX('Danh mục thiết bị'!$D$6:$D$65,MATCH($E152,'Danh mục thiết bị'!$B$6:$B$65,0)),""))</f>
        <v/>
      </c>
      <c r="H152" s="15"/>
      <c r="I152" s="12"/>
      <c r="J152" s="19"/>
      <c r="K152" s="19"/>
      <c r="L152" s="20"/>
      <c r="M152" s="20"/>
      <c r="N152" s="20"/>
      <c r="O152" s="84" t="str">
        <f t="shared" si="2"/>
        <v/>
      </c>
      <c r="P152" s="15"/>
      <c r="Q152" s="11"/>
      <c r="R152" s="10" t="str">
        <f t="array" ref="R152">IF($E152="","",IF($B152="","Thiếu ngày thực hiện",IF(AND($D152&lt;&gt;"",IFERROR(INDEX('Kế hoạch định kỳ'!$C$6:$C$125,MATCH($D152,'Kế hoạch định kỳ'!$B$6:$B$125,0)),"")&lt;&gt;$E152),"Mã TB không khớp công việc",IF(AND(OR($C152="Bảo trì định kỳ",$C152="Hiệu chuẩn – kiểm định"),$D152=""),"Thiếu mã công việc kế hoạch",IF($Q152="","Thiếu kết quả","OK")))))</f>
        <v/>
      </c>
      <c r="S152" s="15"/>
    </row>
    <row r="153" ht="25.5" customHeight="1">
      <c r="A153" s="26" t="str">
        <f t="shared" si="1"/>
        <v/>
      </c>
      <c r="B153" s="32"/>
      <c r="C153" s="27"/>
      <c r="D153" s="27"/>
      <c r="E153" s="27"/>
      <c r="F153" s="28" t="str">
        <f t="array" ref="F153">IF($E153="","",IFERROR(INDEX('Danh mục thiết bị'!$C$6:$C$65,MATCH($E153,'Danh mục thiết bị'!$B$6:$B$65,0)),"Mã TB không tồn tại"))</f>
        <v/>
      </c>
      <c r="G153" s="28" t="str">
        <f t="array" ref="G153">IF($E153="","",IFERROR(INDEX('Danh mục thiết bị'!$D$6:$D$65,MATCH($E153,'Danh mục thiết bị'!$B$6:$B$65,0)),""))</f>
        <v/>
      </c>
      <c r="H153" s="29"/>
      <c r="I153" s="31"/>
      <c r="J153" s="34"/>
      <c r="K153" s="34"/>
      <c r="L153" s="35"/>
      <c r="M153" s="35"/>
      <c r="N153" s="35"/>
      <c r="O153" s="85" t="str">
        <f t="shared" si="2"/>
        <v/>
      </c>
      <c r="P153" s="29"/>
      <c r="Q153" s="27"/>
      <c r="R153" s="26" t="str">
        <f t="array" ref="R153">IF($E153="","",IF($B153="","Thiếu ngày thực hiện",IF(AND($D153&lt;&gt;"",IFERROR(INDEX('Kế hoạch định kỳ'!$C$6:$C$125,MATCH($D153,'Kế hoạch định kỳ'!$B$6:$B$125,0)),"")&lt;&gt;$E153),"Mã TB không khớp công việc",IF(AND(OR($C153="Bảo trì định kỳ",$C153="Hiệu chuẩn – kiểm định"),$D153=""),"Thiếu mã công việc kế hoạch",IF($Q153="","Thiếu kết quả","OK")))))</f>
        <v/>
      </c>
      <c r="S153" s="29"/>
    </row>
    <row r="154" ht="25.5" customHeight="1">
      <c r="A154" s="10" t="str">
        <f t="shared" si="1"/>
        <v/>
      </c>
      <c r="B154" s="13"/>
      <c r="C154" s="11"/>
      <c r="D154" s="11"/>
      <c r="E154" s="11"/>
      <c r="F154" s="14" t="str">
        <f t="array" ref="F154">IF($E154="","",IFERROR(INDEX('Danh mục thiết bị'!$C$6:$C$65,MATCH($E154,'Danh mục thiết bị'!$B$6:$B$65,0)),"Mã TB không tồn tại"))</f>
        <v/>
      </c>
      <c r="G154" s="14" t="str">
        <f t="array" ref="G154">IF($E154="","",IFERROR(INDEX('Danh mục thiết bị'!$D$6:$D$65,MATCH($E154,'Danh mục thiết bị'!$B$6:$B$65,0)),""))</f>
        <v/>
      </c>
      <c r="H154" s="15"/>
      <c r="I154" s="12"/>
      <c r="J154" s="19"/>
      <c r="K154" s="19"/>
      <c r="L154" s="20"/>
      <c r="M154" s="20"/>
      <c r="N154" s="20"/>
      <c r="O154" s="84" t="str">
        <f t="shared" si="2"/>
        <v/>
      </c>
      <c r="P154" s="15"/>
      <c r="Q154" s="11"/>
      <c r="R154" s="10" t="str">
        <f t="array" ref="R154">IF($E154="","",IF($B154="","Thiếu ngày thực hiện",IF(AND($D154&lt;&gt;"",IFERROR(INDEX('Kế hoạch định kỳ'!$C$6:$C$125,MATCH($D154,'Kế hoạch định kỳ'!$B$6:$B$125,0)),"")&lt;&gt;$E154),"Mã TB không khớp công việc",IF(AND(OR($C154="Bảo trì định kỳ",$C154="Hiệu chuẩn – kiểm định"),$D154=""),"Thiếu mã công việc kế hoạch",IF($Q154="","Thiếu kết quả","OK")))))</f>
        <v/>
      </c>
      <c r="S154" s="15"/>
    </row>
    <row r="155" ht="25.5" customHeight="1">
      <c r="A155" s="26" t="str">
        <f t="shared" si="1"/>
        <v/>
      </c>
      <c r="B155" s="32"/>
      <c r="C155" s="27"/>
      <c r="D155" s="27"/>
      <c r="E155" s="27"/>
      <c r="F155" s="28" t="str">
        <f t="array" ref="F155">IF($E155="","",IFERROR(INDEX('Danh mục thiết bị'!$C$6:$C$65,MATCH($E155,'Danh mục thiết bị'!$B$6:$B$65,0)),"Mã TB không tồn tại"))</f>
        <v/>
      </c>
      <c r="G155" s="28" t="str">
        <f t="array" ref="G155">IF($E155="","",IFERROR(INDEX('Danh mục thiết bị'!$D$6:$D$65,MATCH($E155,'Danh mục thiết bị'!$B$6:$B$65,0)),""))</f>
        <v/>
      </c>
      <c r="H155" s="29"/>
      <c r="I155" s="31"/>
      <c r="J155" s="34"/>
      <c r="K155" s="34"/>
      <c r="L155" s="35"/>
      <c r="M155" s="35"/>
      <c r="N155" s="35"/>
      <c r="O155" s="85" t="str">
        <f t="shared" si="2"/>
        <v/>
      </c>
      <c r="P155" s="29"/>
      <c r="Q155" s="27"/>
      <c r="R155" s="26" t="str">
        <f t="array" ref="R155">IF($E155="","",IF($B155="","Thiếu ngày thực hiện",IF(AND($D155&lt;&gt;"",IFERROR(INDEX('Kế hoạch định kỳ'!$C$6:$C$125,MATCH($D155,'Kế hoạch định kỳ'!$B$6:$B$125,0)),"")&lt;&gt;$E155),"Mã TB không khớp công việc",IF(AND(OR($C155="Bảo trì định kỳ",$C155="Hiệu chuẩn – kiểm định"),$D155=""),"Thiếu mã công việc kế hoạch",IF($Q155="","Thiếu kết quả","OK")))))</f>
        <v/>
      </c>
      <c r="S155" s="29"/>
    </row>
    <row r="156" ht="25.5" customHeight="1">
      <c r="A156" s="10" t="str">
        <f t="shared" si="1"/>
        <v/>
      </c>
      <c r="B156" s="13"/>
      <c r="C156" s="11"/>
      <c r="D156" s="11"/>
      <c r="E156" s="11"/>
      <c r="F156" s="14" t="str">
        <f t="array" ref="F156">IF($E156="","",IFERROR(INDEX('Danh mục thiết bị'!$C$6:$C$65,MATCH($E156,'Danh mục thiết bị'!$B$6:$B$65,0)),"Mã TB không tồn tại"))</f>
        <v/>
      </c>
      <c r="G156" s="14" t="str">
        <f t="array" ref="G156">IF($E156="","",IFERROR(INDEX('Danh mục thiết bị'!$D$6:$D$65,MATCH($E156,'Danh mục thiết bị'!$B$6:$B$65,0)),""))</f>
        <v/>
      </c>
      <c r="H156" s="15"/>
      <c r="I156" s="12"/>
      <c r="J156" s="19"/>
      <c r="K156" s="19"/>
      <c r="L156" s="20"/>
      <c r="M156" s="20"/>
      <c r="N156" s="20"/>
      <c r="O156" s="84" t="str">
        <f t="shared" si="2"/>
        <v/>
      </c>
      <c r="P156" s="15"/>
      <c r="Q156" s="11"/>
      <c r="R156" s="10" t="str">
        <f t="array" ref="R156">IF($E156="","",IF($B156="","Thiếu ngày thực hiện",IF(AND($D156&lt;&gt;"",IFERROR(INDEX('Kế hoạch định kỳ'!$C$6:$C$125,MATCH($D156,'Kế hoạch định kỳ'!$B$6:$B$125,0)),"")&lt;&gt;$E156),"Mã TB không khớp công việc",IF(AND(OR($C156="Bảo trì định kỳ",$C156="Hiệu chuẩn – kiểm định"),$D156=""),"Thiếu mã công việc kế hoạch",IF($Q156="","Thiếu kết quả","OK")))))</f>
        <v/>
      </c>
      <c r="S156" s="15"/>
    </row>
    <row r="157" ht="25.5" customHeight="1">
      <c r="A157" s="26" t="str">
        <f t="shared" si="1"/>
        <v/>
      </c>
      <c r="B157" s="32"/>
      <c r="C157" s="27"/>
      <c r="D157" s="27"/>
      <c r="E157" s="27"/>
      <c r="F157" s="28" t="str">
        <f t="array" ref="F157">IF($E157="","",IFERROR(INDEX('Danh mục thiết bị'!$C$6:$C$65,MATCH($E157,'Danh mục thiết bị'!$B$6:$B$65,0)),"Mã TB không tồn tại"))</f>
        <v/>
      </c>
      <c r="G157" s="28" t="str">
        <f t="array" ref="G157">IF($E157="","",IFERROR(INDEX('Danh mục thiết bị'!$D$6:$D$65,MATCH($E157,'Danh mục thiết bị'!$B$6:$B$65,0)),""))</f>
        <v/>
      </c>
      <c r="H157" s="29"/>
      <c r="I157" s="31"/>
      <c r="J157" s="34"/>
      <c r="K157" s="34"/>
      <c r="L157" s="35"/>
      <c r="M157" s="35"/>
      <c r="N157" s="35"/>
      <c r="O157" s="85" t="str">
        <f t="shared" si="2"/>
        <v/>
      </c>
      <c r="P157" s="29"/>
      <c r="Q157" s="27"/>
      <c r="R157" s="26" t="str">
        <f t="array" ref="R157">IF($E157="","",IF($B157="","Thiếu ngày thực hiện",IF(AND($D157&lt;&gt;"",IFERROR(INDEX('Kế hoạch định kỳ'!$C$6:$C$125,MATCH($D157,'Kế hoạch định kỳ'!$B$6:$B$125,0)),"")&lt;&gt;$E157),"Mã TB không khớp công việc",IF(AND(OR($C157="Bảo trì định kỳ",$C157="Hiệu chuẩn – kiểm định"),$D157=""),"Thiếu mã công việc kế hoạch",IF($Q157="","Thiếu kết quả","OK")))))</f>
        <v/>
      </c>
      <c r="S157" s="29"/>
    </row>
    <row r="158" ht="25.5" customHeight="1">
      <c r="A158" s="10" t="str">
        <f t="shared" si="1"/>
        <v/>
      </c>
      <c r="B158" s="13"/>
      <c r="C158" s="11"/>
      <c r="D158" s="11"/>
      <c r="E158" s="11"/>
      <c r="F158" s="14" t="str">
        <f t="array" ref="F158">IF($E158="","",IFERROR(INDEX('Danh mục thiết bị'!$C$6:$C$65,MATCH($E158,'Danh mục thiết bị'!$B$6:$B$65,0)),"Mã TB không tồn tại"))</f>
        <v/>
      </c>
      <c r="G158" s="14" t="str">
        <f t="array" ref="G158">IF($E158="","",IFERROR(INDEX('Danh mục thiết bị'!$D$6:$D$65,MATCH($E158,'Danh mục thiết bị'!$B$6:$B$65,0)),""))</f>
        <v/>
      </c>
      <c r="H158" s="15"/>
      <c r="I158" s="12"/>
      <c r="J158" s="19"/>
      <c r="K158" s="19"/>
      <c r="L158" s="20"/>
      <c r="M158" s="20"/>
      <c r="N158" s="20"/>
      <c r="O158" s="84" t="str">
        <f t="shared" si="2"/>
        <v/>
      </c>
      <c r="P158" s="15"/>
      <c r="Q158" s="11"/>
      <c r="R158" s="10" t="str">
        <f t="array" ref="R158">IF($E158="","",IF($B158="","Thiếu ngày thực hiện",IF(AND($D158&lt;&gt;"",IFERROR(INDEX('Kế hoạch định kỳ'!$C$6:$C$125,MATCH($D158,'Kế hoạch định kỳ'!$B$6:$B$125,0)),"")&lt;&gt;$E158),"Mã TB không khớp công việc",IF(AND(OR($C158="Bảo trì định kỳ",$C158="Hiệu chuẩn – kiểm định"),$D158=""),"Thiếu mã công việc kế hoạch",IF($Q158="","Thiếu kết quả","OK")))))</f>
        <v/>
      </c>
      <c r="S158" s="15"/>
    </row>
    <row r="159" ht="25.5" customHeight="1">
      <c r="A159" s="26" t="str">
        <f t="shared" si="1"/>
        <v/>
      </c>
      <c r="B159" s="32"/>
      <c r="C159" s="27"/>
      <c r="D159" s="27"/>
      <c r="E159" s="27"/>
      <c r="F159" s="28" t="str">
        <f t="array" ref="F159">IF($E159="","",IFERROR(INDEX('Danh mục thiết bị'!$C$6:$C$65,MATCH($E159,'Danh mục thiết bị'!$B$6:$B$65,0)),"Mã TB không tồn tại"))</f>
        <v/>
      </c>
      <c r="G159" s="28" t="str">
        <f t="array" ref="G159">IF($E159="","",IFERROR(INDEX('Danh mục thiết bị'!$D$6:$D$65,MATCH($E159,'Danh mục thiết bị'!$B$6:$B$65,0)),""))</f>
        <v/>
      </c>
      <c r="H159" s="29"/>
      <c r="I159" s="31"/>
      <c r="J159" s="34"/>
      <c r="K159" s="34"/>
      <c r="L159" s="35"/>
      <c r="M159" s="35"/>
      <c r="N159" s="35"/>
      <c r="O159" s="85" t="str">
        <f t="shared" si="2"/>
        <v/>
      </c>
      <c r="P159" s="29"/>
      <c r="Q159" s="27"/>
      <c r="R159" s="26" t="str">
        <f t="array" ref="R159">IF($E159="","",IF($B159="","Thiếu ngày thực hiện",IF(AND($D159&lt;&gt;"",IFERROR(INDEX('Kế hoạch định kỳ'!$C$6:$C$125,MATCH($D159,'Kế hoạch định kỳ'!$B$6:$B$125,0)),"")&lt;&gt;$E159),"Mã TB không khớp công việc",IF(AND(OR($C159="Bảo trì định kỳ",$C159="Hiệu chuẩn – kiểm định"),$D159=""),"Thiếu mã công việc kế hoạch",IF($Q159="","Thiếu kết quả","OK")))))</f>
        <v/>
      </c>
      <c r="S159" s="29"/>
    </row>
    <row r="160" ht="25.5" customHeight="1">
      <c r="A160" s="10" t="str">
        <f t="shared" si="1"/>
        <v/>
      </c>
      <c r="B160" s="13"/>
      <c r="C160" s="11"/>
      <c r="D160" s="11"/>
      <c r="E160" s="11"/>
      <c r="F160" s="14" t="str">
        <f t="array" ref="F160">IF($E160="","",IFERROR(INDEX('Danh mục thiết bị'!$C$6:$C$65,MATCH($E160,'Danh mục thiết bị'!$B$6:$B$65,0)),"Mã TB không tồn tại"))</f>
        <v/>
      </c>
      <c r="G160" s="14" t="str">
        <f t="array" ref="G160">IF($E160="","",IFERROR(INDEX('Danh mục thiết bị'!$D$6:$D$65,MATCH($E160,'Danh mục thiết bị'!$B$6:$B$65,0)),""))</f>
        <v/>
      </c>
      <c r="H160" s="15"/>
      <c r="I160" s="12"/>
      <c r="J160" s="19"/>
      <c r="K160" s="19"/>
      <c r="L160" s="20"/>
      <c r="M160" s="20"/>
      <c r="N160" s="20"/>
      <c r="O160" s="84" t="str">
        <f t="shared" si="2"/>
        <v/>
      </c>
      <c r="P160" s="15"/>
      <c r="Q160" s="11"/>
      <c r="R160" s="10" t="str">
        <f t="array" ref="R160">IF($E160="","",IF($B160="","Thiếu ngày thực hiện",IF(AND($D160&lt;&gt;"",IFERROR(INDEX('Kế hoạch định kỳ'!$C$6:$C$125,MATCH($D160,'Kế hoạch định kỳ'!$B$6:$B$125,0)),"")&lt;&gt;$E160),"Mã TB không khớp công việc",IF(AND(OR($C160="Bảo trì định kỳ",$C160="Hiệu chuẩn – kiểm định"),$D160=""),"Thiếu mã công việc kế hoạch",IF($Q160="","Thiếu kết quả","OK")))))</f>
        <v/>
      </c>
      <c r="S160" s="15"/>
    </row>
    <row r="161" ht="25.5" customHeight="1">
      <c r="A161" s="26" t="str">
        <f t="shared" si="1"/>
        <v/>
      </c>
      <c r="B161" s="32"/>
      <c r="C161" s="27"/>
      <c r="D161" s="27"/>
      <c r="E161" s="27"/>
      <c r="F161" s="28" t="str">
        <f t="array" ref="F161">IF($E161="","",IFERROR(INDEX('Danh mục thiết bị'!$C$6:$C$65,MATCH($E161,'Danh mục thiết bị'!$B$6:$B$65,0)),"Mã TB không tồn tại"))</f>
        <v/>
      </c>
      <c r="G161" s="28" t="str">
        <f t="array" ref="G161">IF($E161="","",IFERROR(INDEX('Danh mục thiết bị'!$D$6:$D$65,MATCH($E161,'Danh mục thiết bị'!$B$6:$B$65,0)),""))</f>
        <v/>
      </c>
      <c r="H161" s="29"/>
      <c r="I161" s="31"/>
      <c r="J161" s="34"/>
      <c r="K161" s="34"/>
      <c r="L161" s="35"/>
      <c r="M161" s="35"/>
      <c r="N161" s="35"/>
      <c r="O161" s="85" t="str">
        <f t="shared" si="2"/>
        <v/>
      </c>
      <c r="P161" s="29"/>
      <c r="Q161" s="27"/>
      <c r="R161" s="26" t="str">
        <f t="array" ref="R161">IF($E161="","",IF($B161="","Thiếu ngày thực hiện",IF(AND($D161&lt;&gt;"",IFERROR(INDEX('Kế hoạch định kỳ'!$C$6:$C$125,MATCH($D161,'Kế hoạch định kỳ'!$B$6:$B$125,0)),"")&lt;&gt;$E161),"Mã TB không khớp công việc",IF(AND(OR($C161="Bảo trì định kỳ",$C161="Hiệu chuẩn – kiểm định"),$D161=""),"Thiếu mã công việc kế hoạch",IF($Q161="","Thiếu kết quả","OK")))))</f>
        <v/>
      </c>
      <c r="S161" s="29"/>
    </row>
    <row r="162" ht="25.5" customHeight="1">
      <c r="A162" s="10" t="str">
        <f t="shared" si="1"/>
        <v/>
      </c>
      <c r="B162" s="13"/>
      <c r="C162" s="11"/>
      <c r="D162" s="11"/>
      <c r="E162" s="11"/>
      <c r="F162" s="14" t="str">
        <f t="array" ref="F162">IF($E162="","",IFERROR(INDEX('Danh mục thiết bị'!$C$6:$C$65,MATCH($E162,'Danh mục thiết bị'!$B$6:$B$65,0)),"Mã TB không tồn tại"))</f>
        <v/>
      </c>
      <c r="G162" s="14" t="str">
        <f t="array" ref="G162">IF($E162="","",IFERROR(INDEX('Danh mục thiết bị'!$D$6:$D$65,MATCH($E162,'Danh mục thiết bị'!$B$6:$B$65,0)),""))</f>
        <v/>
      </c>
      <c r="H162" s="15"/>
      <c r="I162" s="12"/>
      <c r="J162" s="19"/>
      <c r="K162" s="19"/>
      <c r="L162" s="20"/>
      <c r="M162" s="20"/>
      <c r="N162" s="20"/>
      <c r="O162" s="84" t="str">
        <f t="shared" si="2"/>
        <v/>
      </c>
      <c r="P162" s="15"/>
      <c r="Q162" s="11"/>
      <c r="R162" s="10" t="str">
        <f t="array" ref="R162">IF($E162="","",IF($B162="","Thiếu ngày thực hiện",IF(AND($D162&lt;&gt;"",IFERROR(INDEX('Kế hoạch định kỳ'!$C$6:$C$125,MATCH($D162,'Kế hoạch định kỳ'!$B$6:$B$125,0)),"")&lt;&gt;$E162),"Mã TB không khớp công việc",IF(AND(OR($C162="Bảo trì định kỳ",$C162="Hiệu chuẩn – kiểm định"),$D162=""),"Thiếu mã công việc kế hoạch",IF($Q162="","Thiếu kết quả","OK")))))</f>
        <v/>
      </c>
      <c r="S162" s="15"/>
    </row>
    <row r="163" ht="25.5" customHeight="1">
      <c r="A163" s="26" t="str">
        <f t="shared" si="1"/>
        <v/>
      </c>
      <c r="B163" s="32"/>
      <c r="C163" s="27"/>
      <c r="D163" s="27"/>
      <c r="E163" s="27"/>
      <c r="F163" s="28" t="str">
        <f t="array" ref="F163">IF($E163="","",IFERROR(INDEX('Danh mục thiết bị'!$C$6:$C$65,MATCH($E163,'Danh mục thiết bị'!$B$6:$B$65,0)),"Mã TB không tồn tại"))</f>
        <v/>
      </c>
      <c r="G163" s="28" t="str">
        <f t="array" ref="G163">IF($E163="","",IFERROR(INDEX('Danh mục thiết bị'!$D$6:$D$65,MATCH($E163,'Danh mục thiết bị'!$B$6:$B$65,0)),""))</f>
        <v/>
      </c>
      <c r="H163" s="29"/>
      <c r="I163" s="31"/>
      <c r="J163" s="34"/>
      <c r="K163" s="34"/>
      <c r="L163" s="35"/>
      <c r="M163" s="35"/>
      <c r="N163" s="35"/>
      <c r="O163" s="85" t="str">
        <f t="shared" si="2"/>
        <v/>
      </c>
      <c r="P163" s="29"/>
      <c r="Q163" s="27"/>
      <c r="R163" s="26" t="str">
        <f t="array" ref="R163">IF($E163="","",IF($B163="","Thiếu ngày thực hiện",IF(AND($D163&lt;&gt;"",IFERROR(INDEX('Kế hoạch định kỳ'!$C$6:$C$125,MATCH($D163,'Kế hoạch định kỳ'!$B$6:$B$125,0)),"")&lt;&gt;$E163),"Mã TB không khớp công việc",IF(AND(OR($C163="Bảo trì định kỳ",$C163="Hiệu chuẩn – kiểm định"),$D163=""),"Thiếu mã công việc kế hoạch",IF($Q163="","Thiếu kết quả","OK")))))</f>
        <v/>
      </c>
      <c r="S163" s="29"/>
    </row>
    <row r="164" ht="25.5" customHeight="1">
      <c r="A164" s="10" t="str">
        <f t="shared" si="1"/>
        <v/>
      </c>
      <c r="B164" s="13"/>
      <c r="C164" s="11"/>
      <c r="D164" s="11"/>
      <c r="E164" s="11"/>
      <c r="F164" s="14" t="str">
        <f t="array" ref="F164">IF($E164="","",IFERROR(INDEX('Danh mục thiết bị'!$C$6:$C$65,MATCH($E164,'Danh mục thiết bị'!$B$6:$B$65,0)),"Mã TB không tồn tại"))</f>
        <v/>
      </c>
      <c r="G164" s="14" t="str">
        <f t="array" ref="G164">IF($E164="","",IFERROR(INDEX('Danh mục thiết bị'!$D$6:$D$65,MATCH($E164,'Danh mục thiết bị'!$B$6:$B$65,0)),""))</f>
        <v/>
      </c>
      <c r="H164" s="15"/>
      <c r="I164" s="12"/>
      <c r="J164" s="19"/>
      <c r="K164" s="19"/>
      <c r="L164" s="20"/>
      <c r="M164" s="20"/>
      <c r="N164" s="20"/>
      <c r="O164" s="84" t="str">
        <f t="shared" si="2"/>
        <v/>
      </c>
      <c r="P164" s="15"/>
      <c r="Q164" s="11"/>
      <c r="R164" s="10" t="str">
        <f t="array" ref="R164">IF($E164="","",IF($B164="","Thiếu ngày thực hiện",IF(AND($D164&lt;&gt;"",IFERROR(INDEX('Kế hoạch định kỳ'!$C$6:$C$125,MATCH($D164,'Kế hoạch định kỳ'!$B$6:$B$125,0)),"")&lt;&gt;$E164),"Mã TB không khớp công việc",IF(AND(OR($C164="Bảo trì định kỳ",$C164="Hiệu chuẩn – kiểm định"),$D164=""),"Thiếu mã công việc kế hoạch",IF($Q164="","Thiếu kết quả","OK")))))</f>
        <v/>
      </c>
      <c r="S164" s="15"/>
    </row>
    <row r="165" ht="25.5" customHeight="1">
      <c r="A165" s="26" t="str">
        <f t="shared" si="1"/>
        <v/>
      </c>
      <c r="B165" s="32"/>
      <c r="C165" s="27"/>
      <c r="D165" s="27"/>
      <c r="E165" s="27"/>
      <c r="F165" s="28" t="str">
        <f t="array" ref="F165">IF($E165="","",IFERROR(INDEX('Danh mục thiết bị'!$C$6:$C$65,MATCH($E165,'Danh mục thiết bị'!$B$6:$B$65,0)),"Mã TB không tồn tại"))</f>
        <v/>
      </c>
      <c r="G165" s="28" t="str">
        <f t="array" ref="G165">IF($E165="","",IFERROR(INDEX('Danh mục thiết bị'!$D$6:$D$65,MATCH($E165,'Danh mục thiết bị'!$B$6:$B$65,0)),""))</f>
        <v/>
      </c>
      <c r="H165" s="29"/>
      <c r="I165" s="31"/>
      <c r="J165" s="34"/>
      <c r="K165" s="34"/>
      <c r="L165" s="35"/>
      <c r="M165" s="35"/>
      <c r="N165" s="35"/>
      <c r="O165" s="85" t="str">
        <f t="shared" si="2"/>
        <v/>
      </c>
      <c r="P165" s="29"/>
      <c r="Q165" s="27"/>
      <c r="R165" s="26" t="str">
        <f t="array" ref="R165">IF($E165="","",IF($B165="","Thiếu ngày thực hiện",IF(AND($D165&lt;&gt;"",IFERROR(INDEX('Kế hoạch định kỳ'!$C$6:$C$125,MATCH($D165,'Kế hoạch định kỳ'!$B$6:$B$125,0)),"")&lt;&gt;$E165),"Mã TB không khớp công việc",IF(AND(OR($C165="Bảo trì định kỳ",$C165="Hiệu chuẩn – kiểm định"),$D165=""),"Thiếu mã công việc kế hoạch",IF($Q165="","Thiếu kết quả","OK")))))</f>
        <v/>
      </c>
      <c r="S165" s="29"/>
    </row>
    <row r="166" ht="25.5" customHeight="1">
      <c r="A166" s="10" t="str">
        <f t="shared" si="1"/>
        <v/>
      </c>
      <c r="B166" s="13"/>
      <c r="C166" s="11"/>
      <c r="D166" s="11"/>
      <c r="E166" s="11"/>
      <c r="F166" s="14" t="str">
        <f t="array" ref="F166">IF($E166="","",IFERROR(INDEX('Danh mục thiết bị'!$C$6:$C$65,MATCH($E166,'Danh mục thiết bị'!$B$6:$B$65,0)),"Mã TB không tồn tại"))</f>
        <v/>
      </c>
      <c r="G166" s="14" t="str">
        <f t="array" ref="G166">IF($E166="","",IFERROR(INDEX('Danh mục thiết bị'!$D$6:$D$65,MATCH($E166,'Danh mục thiết bị'!$B$6:$B$65,0)),""))</f>
        <v/>
      </c>
      <c r="H166" s="15"/>
      <c r="I166" s="12"/>
      <c r="J166" s="19"/>
      <c r="K166" s="19"/>
      <c r="L166" s="20"/>
      <c r="M166" s="20"/>
      <c r="N166" s="20"/>
      <c r="O166" s="84" t="str">
        <f t="shared" si="2"/>
        <v/>
      </c>
      <c r="P166" s="15"/>
      <c r="Q166" s="11"/>
      <c r="R166" s="10" t="str">
        <f t="array" ref="R166">IF($E166="","",IF($B166="","Thiếu ngày thực hiện",IF(AND($D166&lt;&gt;"",IFERROR(INDEX('Kế hoạch định kỳ'!$C$6:$C$125,MATCH($D166,'Kế hoạch định kỳ'!$B$6:$B$125,0)),"")&lt;&gt;$E166),"Mã TB không khớp công việc",IF(AND(OR($C166="Bảo trì định kỳ",$C166="Hiệu chuẩn – kiểm định"),$D166=""),"Thiếu mã công việc kế hoạch",IF($Q166="","Thiếu kết quả","OK")))))</f>
        <v/>
      </c>
      <c r="S166" s="15"/>
    </row>
    <row r="167" ht="25.5" customHeight="1">
      <c r="A167" s="26" t="str">
        <f t="shared" si="1"/>
        <v/>
      </c>
      <c r="B167" s="32"/>
      <c r="C167" s="27"/>
      <c r="D167" s="27"/>
      <c r="E167" s="27"/>
      <c r="F167" s="28" t="str">
        <f t="array" ref="F167">IF($E167="","",IFERROR(INDEX('Danh mục thiết bị'!$C$6:$C$65,MATCH($E167,'Danh mục thiết bị'!$B$6:$B$65,0)),"Mã TB không tồn tại"))</f>
        <v/>
      </c>
      <c r="G167" s="28" t="str">
        <f t="array" ref="G167">IF($E167="","",IFERROR(INDEX('Danh mục thiết bị'!$D$6:$D$65,MATCH($E167,'Danh mục thiết bị'!$B$6:$B$65,0)),""))</f>
        <v/>
      </c>
      <c r="H167" s="29"/>
      <c r="I167" s="31"/>
      <c r="J167" s="34"/>
      <c r="K167" s="34"/>
      <c r="L167" s="35"/>
      <c r="M167" s="35"/>
      <c r="N167" s="35"/>
      <c r="O167" s="85" t="str">
        <f t="shared" si="2"/>
        <v/>
      </c>
      <c r="P167" s="29"/>
      <c r="Q167" s="27"/>
      <c r="R167" s="26" t="str">
        <f t="array" ref="R167">IF($E167="","",IF($B167="","Thiếu ngày thực hiện",IF(AND($D167&lt;&gt;"",IFERROR(INDEX('Kế hoạch định kỳ'!$C$6:$C$125,MATCH($D167,'Kế hoạch định kỳ'!$B$6:$B$125,0)),"")&lt;&gt;$E167),"Mã TB không khớp công việc",IF(AND(OR($C167="Bảo trì định kỳ",$C167="Hiệu chuẩn – kiểm định"),$D167=""),"Thiếu mã công việc kế hoạch",IF($Q167="","Thiếu kết quả","OK")))))</f>
        <v/>
      </c>
      <c r="S167" s="29"/>
    </row>
    <row r="168" ht="25.5" customHeight="1">
      <c r="A168" s="10" t="str">
        <f t="shared" si="1"/>
        <v/>
      </c>
      <c r="B168" s="13"/>
      <c r="C168" s="11"/>
      <c r="D168" s="11"/>
      <c r="E168" s="11"/>
      <c r="F168" s="14" t="str">
        <f t="array" ref="F168">IF($E168="","",IFERROR(INDEX('Danh mục thiết bị'!$C$6:$C$65,MATCH($E168,'Danh mục thiết bị'!$B$6:$B$65,0)),"Mã TB không tồn tại"))</f>
        <v/>
      </c>
      <c r="G168" s="14" t="str">
        <f t="array" ref="G168">IF($E168="","",IFERROR(INDEX('Danh mục thiết bị'!$D$6:$D$65,MATCH($E168,'Danh mục thiết bị'!$B$6:$B$65,0)),""))</f>
        <v/>
      </c>
      <c r="H168" s="15"/>
      <c r="I168" s="12"/>
      <c r="J168" s="19"/>
      <c r="K168" s="19"/>
      <c r="L168" s="20"/>
      <c r="M168" s="20"/>
      <c r="N168" s="20"/>
      <c r="O168" s="84" t="str">
        <f t="shared" si="2"/>
        <v/>
      </c>
      <c r="P168" s="15"/>
      <c r="Q168" s="11"/>
      <c r="R168" s="10" t="str">
        <f t="array" ref="R168">IF($E168="","",IF($B168="","Thiếu ngày thực hiện",IF(AND($D168&lt;&gt;"",IFERROR(INDEX('Kế hoạch định kỳ'!$C$6:$C$125,MATCH($D168,'Kế hoạch định kỳ'!$B$6:$B$125,0)),"")&lt;&gt;$E168),"Mã TB không khớp công việc",IF(AND(OR($C168="Bảo trì định kỳ",$C168="Hiệu chuẩn – kiểm định"),$D168=""),"Thiếu mã công việc kế hoạch",IF($Q168="","Thiếu kết quả","OK")))))</f>
        <v/>
      </c>
      <c r="S168" s="15"/>
    </row>
    <row r="169" ht="25.5" customHeight="1">
      <c r="A169" s="26" t="str">
        <f t="shared" si="1"/>
        <v/>
      </c>
      <c r="B169" s="32"/>
      <c r="C169" s="27"/>
      <c r="D169" s="27"/>
      <c r="E169" s="27"/>
      <c r="F169" s="28" t="str">
        <f t="array" ref="F169">IF($E169="","",IFERROR(INDEX('Danh mục thiết bị'!$C$6:$C$65,MATCH($E169,'Danh mục thiết bị'!$B$6:$B$65,0)),"Mã TB không tồn tại"))</f>
        <v/>
      </c>
      <c r="G169" s="28" t="str">
        <f t="array" ref="G169">IF($E169="","",IFERROR(INDEX('Danh mục thiết bị'!$D$6:$D$65,MATCH($E169,'Danh mục thiết bị'!$B$6:$B$65,0)),""))</f>
        <v/>
      </c>
      <c r="H169" s="29"/>
      <c r="I169" s="31"/>
      <c r="J169" s="34"/>
      <c r="K169" s="34"/>
      <c r="L169" s="35"/>
      <c r="M169" s="35"/>
      <c r="N169" s="35"/>
      <c r="O169" s="85" t="str">
        <f t="shared" si="2"/>
        <v/>
      </c>
      <c r="P169" s="29"/>
      <c r="Q169" s="27"/>
      <c r="R169" s="26" t="str">
        <f t="array" ref="R169">IF($E169="","",IF($B169="","Thiếu ngày thực hiện",IF(AND($D169&lt;&gt;"",IFERROR(INDEX('Kế hoạch định kỳ'!$C$6:$C$125,MATCH($D169,'Kế hoạch định kỳ'!$B$6:$B$125,0)),"")&lt;&gt;$E169),"Mã TB không khớp công việc",IF(AND(OR($C169="Bảo trì định kỳ",$C169="Hiệu chuẩn – kiểm định"),$D169=""),"Thiếu mã công việc kế hoạch",IF($Q169="","Thiếu kết quả","OK")))))</f>
        <v/>
      </c>
      <c r="S169" s="29"/>
    </row>
    <row r="170" ht="25.5" customHeight="1">
      <c r="A170" s="10" t="str">
        <f t="shared" si="1"/>
        <v/>
      </c>
      <c r="B170" s="13"/>
      <c r="C170" s="11"/>
      <c r="D170" s="11"/>
      <c r="E170" s="11"/>
      <c r="F170" s="14" t="str">
        <f t="array" ref="F170">IF($E170="","",IFERROR(INDEX('Danh mục thiết bị'!$C$6:$C$65,MATCH($E170,'Danh mục thiết bị'!$B$6:$B$65,0)),"Mã TB không tồn tại"))</f>
        <v/>
      </c>
      <c r="G170" s="14" t="str">
        <f t="array" ref="G170">IF($E170="","",IFERROR(INDEX('Danh mục thiết bị'!$D$6:$D$65,MATCH($E170,'Danh mục thiết bị'!$B$6:$B$65,0)),""))</f>
        <v/>
      </c>
      <c r="H170" s="15"/>
      <c r="I170" s="12"/>
      <c r="J170" s="19"/>
      <c r="K170" s="19"/>
      <c r="L170" s="20"/>
      <c r="M170" s="20"/>
      <c r="N170" s="20"/>
      <c r="O170" s="84" t="str">
        <f t="shared" si="2"/>
        <v/>
      </c>
      <c r="P170" s="15"/>
      <c r="Q170" s="11"/>
      <c r="R170" s="10" t="str">
        <f t="array" ref="R170">IF($E170="","",IF($B170="","Thiếu ngày thực hiện",IF(AND($D170&lt;&gt;"",IFERROR(INDEX('Kế hoạch định kỳ'!$C$6:$C$125,MATCH($D170,'Kế hoạch định kỳ'!$B$6:$B$125,0)),"")&lt;&gt;$E170),"Mã TB không khớp công việc",IF(AND(OR($C170="Bảo trì định kỳ",$C170="Hiệu chuẩn – kiểm định"),$D170=""),"Thiếu mã công việc kế hoạch",IF($Q170="","Thiếu kết quả","OK")))))</f>
        <v/>
      </c>
      <c r="S170" s="15"/>
    </row>
    <row r="171" ht="25.5" customHeight="1">
      <c r="A171" s="26" t="str">
        <f t="shared" si="1"/>
        <v/>
      </c>
      <c r="B171" s="32"/>
      <c r="C171" s="27"/>
      <c r="D171" s="27"/>
      <c r="E171" s="27"/>
      <c r="F171" s="28" t="str">
        <f t="array" ref="F171">IF($E171="","",IFERROR(INDEX('Danh mục thiết bị'!$C$6:$C$65,MATCH($E171,'Danh mục thiết bị'!$B$6:$B$65,0)),"Mã TB không tồn tại"))</f>
        <v/>
      </c>
      <c r="G171" s="28" t="str">
        <f t="array" ref="G171">IF($E171="","",IFERROR(INDEX('Danh mục thiết bị'!$D$6:$D$65,MATCH($E171,'Danh mục thiết bị'!$B$6:$B$65,0)),""))</f>
        <v/>
      </c>
      <c r="H171" s="29"/>
      <c r="I171" s="31"/>
      <c r="J171" s="34"/>
      <c r="K171" s="34"/>
      <c r="L171" s="35"/>
      <c r="M171" s="35"/>
      <c r="N171" s="35"/>
      <c r="O171" s="85" t="str">
        <f t="shared" si="2"/>
        <v/>
      </c>
      <c r="P171" s="29"/>
      <c r="Q171" s="27"/>
      <c r="R171" s="26" t="str">
        <f t="array" ref="R171">IF($E171="","",IF($B171="","Thiếu ngày thực hiện",IF(AND($D171&lt;&gt;"",IFERROR(INDEX('Kế hoạch định kỳ'!$C$6:$C$125,MATCH($D171,'Kế hoạch định kỳ'!$B$6:$B$125,0)),"")&lt;&gt;$E171),"Mã TB không khớp công việc",IF(AND(OR($C171="Bảo trì định kỳ",$C171="Hiệu chuẩn – kiểm định"),$D171=""),"Thiếu mã công việc kế hoạch",IF($Q171="","Thiếu kết quả","OK")))))</f>
        <v/>
      </c>
      <c r="S171" s="29"/>
    </row>
    <row r="172" ht="25.5" customHeight="1">
      <c r="A172" s="10" t="str">
        <f t="shared" si="1"/>
        <v/>
      </c>
      <c r="B172" s="13"/>
      <c r="C172" s="11"/>
      <c r="D172" s="11"/>
      <c r="E172" s="11"/>
      <c r="F172" s="14" t="str">
        <f t="array" ref="F172">IF($E172="","",IFERROR(INDEX('Danh mục thiết bị'!$C$6:$C$65,MATCH($E172,'Danh mục thiết bị'!$B$6:$B$65,0)),"Mã TB không tồn tại"))</f>
        <v/>
      </c>
      <c r="G172" s="14" t="str">
        <f t="array" ref="G172">IF($E172="","",IFERROR(INDEX('Danh mục thiết bị'!$D$6:$D$65,MATCH($E172,'Danh mục thiết bị'!$B$6:$B$65,0)),""))</f>
        <v/>
      </c>
      <c r="H172" s="15"/>
      <c r="I172" s="12"/>
      <c r="J172" s="19"/>
      <c r="K172" s="19"/>
      <c r="L172" s="20"/>
      <c r="M172" s="20"/>
      <c r="N172" s="20"/>
      <c r="O172" s="84" t="str">
        <f t="shared" si="2"/>
        <v/>
      </c>
      <c r="P172" s="15"/>
      <c r="Q172" s="11"/>
      <c r="R172" s="10" t="str">
        <f t="array" ref="R172">IF($E172="","",IF($B172="","Thiếu ngày thực hiện",IF(AND($D172&lt;&gt;"",IFERROR(INDEX('Kế hoạch định kỳ'!$C$6:$C$125,MATCH($D172,'Kế hoạch định kỳ'!$B$6:$B$125,0)),"")&lt;&gt;$E172),"Mã TB không khớp công việc",IF(AND(OR($C172="Bảo trì định kỳ",$C172="Hiệu chuẩn – kiểm định"),$D172=""),"Thiếu mã công việc kế hoạch",IF($Q172="","Thiếu kết quả","OK")))))</f>
        <v/>
      </c>
      <c r="S172" s="15"/>
    </row>
    <row r="173" ht="25.5" customHeight="1">
      <c r="A173" s="26" t="str">
        <f t="shared" si="1"/>
        <v/>
      </c>
      <c r="B173" s="32"/>
      <c r="C173" s="27"/>
      <c r="D173" s="27"/>
      <c r="E173" s="27"/>
      <c r="F173" s="28" t="str">
        <f t="array" ref="F173">IF($E173="","",IFERROR(INDEX('Danh mục thiết bị'!$C$6:$C$65,MATCH($E173,'Danh mục thiết bị'!$B$6:$B$65,0)),"Mã TB không tồn tại"))</f>
        <v/>
      </c>
      <c r="G173" s="28" t="str">
        <f t="array" ref="G173">IF($E173="","",IFERROR(INDEX('Danh mục thiết bị'!$D$6:$D$65,MATCH($E173,'Danh mục thiết bị'!$B$6:$B$65,0)),""))</f>
        <v/>
      </c>
      <c r="H173" s="29"/>
      <c r="I173" s="31"/>
      <c r="J173" s="34"/>
      <c r="K173" s="34"/>
      <c r="L173" s="35"/>
      <c r="M173" s="35"/>
      <c r="N173" s="35"/>
      <c r="O173" s="85" t="str">
        <f t="shared" si="2"/>
        <v/>
      </c>
      <c r="P173" s="29"/>
      <c r="Q173" s="27"/>
      <c r="R173" s="26" t="str">
        <f t="array" ref="R173">IF($E173="","",IF($B173="","Thiếu ngày thực hiện",IF(AND($D173&lt;&gt;"",IFERROR(INDEX('Kế hoạch định kỳ'!$C$6:$C$125,MATCH($D173,'Kế hoạch định kỳ'!$B$6:$B$125,0)),"")&lt;&gt;$E173),"Mã TB không khớp công việc",IF(AND(OR($C173="Bảo trì định kỳ",$C173="Hiệu chuẩn – kiểm định"),$D173=""),"Thiếu mã công việc kế hoạch",IF($Q173="","Thiếu kết quả","OK")))))</f>
        <v/>
      </c>
      <c r="S173" s="29"/>
    </row>
    <row r="174" ht="25.5" customHeight="1">
      <c r="A174" s="10" t="str">
        <f t="shared" si="1"/>
        <v/>
      </c>
      <c r="B174" s="13"/>
      <c r="C174" s="11"/>
      <c r="D174" s="11"/>
      <c r="E174" s="11"/>
      <c r="F174" s="14" t="str">
        <f t="array" ref="F174">IF($E174="","",IFERROR(INDEX('Danh mục thiết bị'!$C$6:$C$65,MATCH($E174,'Danh mục thiết bị'!$B$6:$B$65,0)),"Mã TB không tồn tại"))</f>
        <v/>
      </c>
      <c r="G174" s="14" t="str">
        <f t="array" ref="G174">IF($E174="","",IFERROR(INDEX('Danh mục thiết bị'!$D$6:$D$65,MATCH($E174,'Danh mục thiết bị'!$B$6:$B$65,0)),""))</f>
        <v/>
      </c>
      <c r="H174" s="15"/>
      <c r="I174" s="12"/>
      <c r="J174" s="19"/>
      <c r="K174" s="19"/>
      <c r="L174" s="20"/>
      <c r="M174" s="20"/>
      <c r="N174" s="20"/>
      <c r="O174" s="84" t="str">
        <f t="shared" si="2"/>
        <v/>
      </c>
      <c r="P174" s="15"/>
      <c r="Q174" s="11"/>
      <c r="R174" s="10" t="str">
        <f t="array" ref="R174">IF($E174="","",IF($B174="","Thiếu ngày thực hiện",IF(AND($D174&lt;&gt;"",IFERROR(INDEX('Kế hoạch định kỳ'!$C$6:$C$125,MATCH($D174,'Kế hoạch định kỳ'!$B$6:$B$125,0)),"")&lt;&gt;$E174),"Mã TB không khớp công việc",IF(AND(OR($C174="Bảo trì định kỳ",$C174="Hiệu chuẩn – kiểm định"),$D174=""),"Thiếu mã công việc kế hoạch",IF($Q174="","Thiếu kết quả","OK")))))</f>
        <v/>
      </c>
      <c r="S174" s="15"/>
    </row>
    <row r="175" ht="25.5" customHeight="1">
      <c r="A175" s="26" t="str">
        <f t="shared" si="1"/>
        <v/>
      </c>
      <c r="B175" s="32"/>
      <c r="C175" s="27"/>
      <c r="D175" s="27"/>
      <c r="E175" s="27"/>
      <c r="F175" s="28" t="str">
        <f t="array" ref="F175">IF($E175="","",IFERROR(INDEX('Danh mục thiết bị'!$C$6:$C$65,MATCH($E175,'Danh mục thiết bị'!$B$6:$B$65,0)),"Mã TB không tồn tại"))</f>
        <v/>
      </c>
      <c r="G175" s="28" t="str">
        <f t="array" ref="G175">IF($E175="","",IFERROR(INDEX('Danh mục thiết bị'!$D$6:$D$65,MATCH($E175,'Danh mục thiết bị'!$B$6:$B$65,0)),""))</f>
        <v/>
      </c>
      <c r="H175" s="29"/>
      <c r="I175" s="31"/>
      <c r="J175" s="34"/>
      <c r="K175" s="34"/>
      <c r="L175" s="35"/>
      <c r="M175" s="35"/>
      <c r="N175" s="35"/>
      <c r="O175" s="85" t="str">
        <f t="shared" si="2"/>
        <v/>
      </c>
      <c r="P175" s="29"/>
      <c r="Q175" s="27"/>
      <c r="R175" s="26" t="str">
        <f t="array" ref="R175">IF($E175="","",IF($B175="","Thiếu ngày thực hiện",IF(AND($D175&lt;&gt;"",IFERROR(INDEX('Kế hoạch định kỳ'!$C$6:$C$125,MATCH($D175,'Kế hoạch định kỳ'!$B$6:$B$125,0)),"")&lt;&gt;$E175),"Mã TB không khớp công việc",IF(AND(OR($C175="Bảo trì định kỳ",$C175="Hiệu chuẩn – kiểm định"),$D175=""),"Thiếu mã công việc kế hoạch",IF($Q175="","Thiếu kết quả","OK")))))</f>
        <v/>
      </c>
      <c r="S175" s="29"/>
    </row>
    <row r="176" ht="25.5" customHeight="1">
      <c r="A176" s="10" t="str">
        <f t="shared" si="1"/>
        <v/>
      </c>
      <c r="B176" s="13"/>
      <c r="C176" s="11"/>
      <c r="D176" s="11"/>
      <c r="E176" s="11"/>
      <c r="F176" s="14" t="str">
        <f t="array" ref="F176">IF($E176="","",IFERROR(INDEX('Danh mục thiết bị'!$C$6:$C$65,MATCH($E176,'Danh mục thiết bị'!$B$6:$B$65,0)),"Mã TB không tồn tại"))</f>
        <v/>
      </c>
      <c r="G176" s="14" t="str">
        <f t="array" ref="G176">IF($E176="","",IFERROR(INDEX('Danh mục thiết bị'!$D$6:$D$65,MATCH($E176,'Danh mục thiết bị'!$B$6:$B$65,0)),""))</f>
        <v/>
      </c>
      <c r="H176" s="15"/>
      <c r="I176" s="12"/>
      <c r="J176" s="19"/>
      <c r="K176" s="19"/>
      <c r="L176" s="20"/>
      <c r="M176" s="20"/>
      <c r="N176" s="20"/>
      <c r="O176" s="84" t="str">
        <f t="shared" si="2"/>
        <v/>
      </c>
      <c r="P176" s="15"/>
      <c r="Q176" s="11"/>
      <c r="R176" s="10" t="str">
        <f t="array" ref="R176">IF($E176="","",IF($B176="","Thiếu ngày thực hiện",IF(AND($D176&lt;&gt;"",IFERROR(INDEX('Kế hoạch định kỳ'!$C$6:$C$125,MATCH($D176,'Kế hoạch định kỳ'!$B$6:$B$125,0)),"")&lt;&gt;$E176),"Mã TB không khớp công việc",IF(AND(OR($C176="Bảo trì định kỳ",$C176="Hiệu chuẩn – kiểm định"),$D176=""),"Thiếu mã công việc kế hoạch",IF($Q176="","Thiếu kết quả","OK")))))</f>
        <v/>
      </c>
      <c r="S176" s="15"/>
    </row>
    <row r="177" ht="25.5" customHeight="1">
      <c r="A177" s="26" t="str">
        <f t="shared" si="1"/>
        <v/>
      </c>
      <c r="B177" s="32"/>
      <c r="C177" s="27"/>
      <c r="D177" s="27"/>
      <c r="E177" s="27"/>
      <c r="F177" s="28" t="str">
        <f t="array" ref="F177">IF($E177="","",IFERROR(INDEX('Danh mục thiết bị'!$C$6:$C$65,MATCH($E177,'Danh mục thiết bị'!$B$6:$B$65,0)),"Mã TB không tồn tại"))</f>
        <v/>
      </c>
      <c r="G177" s="28" t="str">
        <f t="array" ref="G177">IF($E177="","",IFERROR(INDEX('Danh mục thiết bị'!$D$6:$D$65,MATCH($E177,'Danh mục thiết bị'!$B$6:$B$65,0)),""))</f>
        <v/>
      </c>
      <c r="H177" s="29"/>
      <c r="I177" s="31"/>
      <c r="J177" s="34"/>
      <c r="K177" s="34"/>
      <c r="L177" s="35"/>
      <c r="M177" s="35"/>
      <c r="N177" s="35"/>
      <c r="O177" s="85" t="str">
        <f t="shared" si="2"/>
        <v/>
      </c>
      <c r="P177" s="29"/>
      <c r="Q177" s="27"/>
      <c r="R177" s="26" t="str">
        <f t="array" ref="R177">IF($E177="","",IF($B177="","Thiếu ngày thực hiện",IF(AND($D177&lt;&gt;"",IFERROR(INDEX('Kế hoạch định kỳ'!$C$6:$C$125,MATCH($D177,'Kế hoạch định kỳ'!$B$6:$B$125,0)),"")&lt;&gt;$E177),"Mã TB không khớp công việc",IF(AND(OR($C177="Bảo trì định kỳ",$C177="Hiệu chuẩn – kiểm định"),$D177=""),"Thiếu mã công việc kế hoạch",IF($Q177="","Thiếu kết quả","OK")))))</f>
        <v/>
      </c>
      <c r="S177" s="29"/>
    </row>
    <row r="178" ht="25.5" customHeight="1">
      <c r="A178" s="10" t="str">
        <f t="shared" si="1"/>
        <v/>
      </c>
      <c r="B178" s="13"/>
      <c r="C178" s="11"/>
      <c r="D178" s="11"/>
      <c r="E178" s="11"/>
      <c r="F178" s="14" t="str">
        <f t="array" ref="F178">IF($E178="","",IFERROR(INDEX('Danh mục thiết bị'!$C$6:$C$65,MATCH($E178,'Danh mục thiết bị'!$B$6:$B$65,0)),"Mã TB không tồn tại"))</f>
        <v/>
      </c>
      <c r="G178" s="14" t="str">
        <f t="array" ref="G178">IF($E178="","",IFERROR(INDEX('Danh mục thiết bị'!$D$6:$D$65,MATCH($E178,'Danh mục thiết bị'!$B$6:$B$65,0)),""))</f>
        <v/>
      </c>
      <c r="H178" s="15"/>
      <c r="I178" s="12"/>
      <c r="J178" s="19"/>
      <c r="K178" s="19"/>
      <c r="L178" s="20"/>
      <c r="M178" s="20"/>
      <c r="N178" s="20"/>
      <c r="O178" s="84" t="str">
        <f t="shared" si="2"/>
        <v/>
      </c>
      <c r="P178" s="15"/>
      <c r="Q178" s="11"/>
      <c r="R178" s="10" t="str">
        <f t="array" ref="R178">IF($E178="","",IF($B178="","Thiếu ngày thực hiện",IF(AND($D178&lt;&gt;"",IFERROR(INDEX('Kế hoạch định kỳ'!$C$6:$C$125,MATCH($D178,'Kế hoạch định kỳ'!$B$6:$B$125,0)),"")&lt;&gt;$E178),"Mã TB không khớp công việc",IF(AND(OR($C178="Bảo trì định kỳ",$C178="Hiệu chuẩn – kiểm định"),$D178=""),"Thiếu mã công việc kế hoạch",IF($Q178="","Thiếu kết quả","OK")))))</f>
        <v/>
      </c>
      <c r="S178" s="15"/>
    </row>
    <row r="179" ht="25.5" customHeight="1">
      <c r="A179" s="26" t="str">
        <f t="shared" si="1"/>
        <v/>
      </c>
      <c r="B179" s="32"/>
      <c r="C179" s="27"/>
      <c r="D179" s="27"/>
      <c r="E179" s="27"/>
      <c r="F179" s="28" t="str">
        <f t="array" ref="F179">IF($E179="","",IFERROR(INDEX('Danh mục thiết bị'!$C$6:$C$65,MATCH($E179,'Danh mục thiết bị'!$B$6:$B$65,0)),"Mã TB không tồn tại"))</f>
        <v/>
      </c>
      <c r="G179" s="28" t="str">
        <f t="array" ref="G179">IF($E179="","",IFERROR(INDEX('Danh mục thiết bị'!$D$6:$D$65,MATCH($E179,'Danh mục thiết bị'!$B$6:$B$65,0)),""))</f>
        <v/>
      </c>
      <c r="H179" s="29"/>
      <c r="I179" s="31"/>
      <c r="J179" s="34"/>
      <c r="K179" s="34"/>
      <c r="L179" s="35"/>
      <c r="M179" s="35"/>
      <c r="N179" s="35"/>
      <c r="O179" s="85" t="str">
        <f t="shared" si="2"/>
        <v/>
      </c>
      <c r="P179" s="29"/>
      <c r="Q179" s="27"/>
      <c r="R179" s="26" t="str">
        <f t="array" ref="R179">IF($E179="","",IF($B179="","Thiếu ngày thực hiện",IF(AND($D179&lt;&gt;"",IFERROR(INDEX('Kế hoạch định kỳ'!$C$6:$C$125,MATCH($D179,'Kế hoạch định kỳ'!$B$6:$B$125,0)),"")&lt;&gt;$E179),"Mã TB không khớp công việc",IF(AND(OR($C179="Bảo trì định kỳ",$C179="Hiệu chuẩn – kiểm định"),$D179=""),"Thiếu mã công việc kế hoạch",IF($Q179="","Thiếu kết quả","OK")))))</f>
        <v/>
      </c>
      <c r="S179" s="29"/>
    </row>
    <row r="180" ht="25.5" customHeight="1">
      <c r="A180" s="10" t="str">
        <f t="shared" si="1"/>
        <v/>
      </c>
      <c r="B180" s="13"/>
      <c r="C180" s="11"/>
      <c r="D180" s="11"/>
      <c r="E180" s="11"/>
      <c r="F180" s="14" t="str">
        <f t="array" ref="F180">IF($E180="","",IFERROR(INDEX('Danh mục thiết bị'!$C$6:$C$65,MATCH($E180,'Danh mục thiết bị'!$B$6:$B$65,0)),"Mã TB không tồn tại"))</f>
        <v/>
      </c>
      <c r="G180" s="14" t="str">
        <f t="array" ref="G180">IF($E180="","",IFERROR(INDEX('Danh mục thiết bị'!$D$6:$D$65,MATCH($E180,'Danh mục thiết bị'!$B$6:$B$65,0)),""))</f>
        <v/>
      </c>
      <c r="H180" s="15"/>
      <c r="I180" s="12"/>
      <c r="J180" s="19"/>
      <c r="K180" s="19"/>
      <c r="L180" s="20"/>
      <c r="M180" s="20"/>
      <c r="N180" s="20"/>
      <c r="O180" s="84" t="str">
        <f t="shared" si="2"/>
        <v/>
      </c>
      <c r="P180" s="15"/>
      <c r="Q180" s="11"/>
      <c r="R180" s="10" t="str">
        <f t="array" ref="R180">IF($E180="","",IF($B180="","Thiếu ngày thực hiện",IF(AND($D180&lt;&gt;"",IFERROR(INDEX('Kế hoạch định kỳ'!$C$6:$C$125,MATCH($D180,'Kế hoạch định kỳ'!$B$6:$B$125,0)),"")&lt;&gt;$E180),"Mã TB không khớp công việc",IF(AND(OR($C180="Bảo trì định kỳ",$C180="Hiệu chuẩn – kiểm định"),$D180=""),"Thiếu mã công việc kế hoạch",IF($Q180="","Thiếu kết quả","OK")))))</f>
        <v/>
      </c>
      <c r="S180" s="15"/>
    </row>
    <row r="181" ht="25.5" customHeight="1">
      <c r="A181" s="26" t="str">
        <f t="shared" si="1"/>
        <v/>
      </c>
      <c r="B181" s="32"/>
      <c r="C181" s="27"/>
      <c r="D181" s="27"/>
      <c r="E181" s="27"/>
      <c r="F181" s="28" t="str">
        <f t="array" ref="F181">IF($E181="","",IFERROR(INDEX('Danh mục thiết bị'!$C$6:$C$65,MATCH($E181,'Danh mục thiết bị'!$B$6:$B$65,0)),"Mã TB không tồn tại"))</f>
        <v/>
      </c>
      <c r="G181" s="28" t="str">
        <f t="array" ref="G181">IF($E181="","",IFERROR(INDEX('Danh mục thiết bị'!$D$6:$D$65,MATCH($E181,'Danh mục thiết bị'!$B$6:$B$65,0)),""))</f>
        <v/>
      </c>
      <c r="H181" s="29"/>
      <c r="I181" s="31"/>
      <c r="J181" s="34"/>
      <c r="K181" s="34"/>
      <c r="L181" s="35"/>
      <c r="M181" s="35"/>
      <c r="N181" s="35"/>
      <c r="O181" s="85" t="str">
        <f t="shared" si="2"/>
        <v/>
      </c>
      <c r="P181" s="29"/>
      <c r="Q181" s="27"/>
      <c r="R181" s="26" t="str">
        <f t="array" ref="R181">IF($E181="","",IF($B181="","Thiếu ngày thực hiện",IF(AND($D181&lt;&gt;"",IFERROR(INDEX('Kế hoạch định kỳ'!$C$6:$C$125,MATCH($D181,'Kế hoạch định kỳ'!$B$6:$B$125,0)),"")&lt;&gt;$E181),"Mã TB không khớp công việc",IF(AND(OR($C181="Bảo trì định kỳ",$C181="Hiệu chuẩn – kiểm định"),$D181=""),"Thiếu mã công việc kế hoạch",IF($Q181="","Thiếu kết quả","OK")))))</f>
        <v/>
      </c>
      <c r="S181" s="29"/>
    </row>
    <row r="182" ht="25.5" customHeight="1">
      <c r="A182" s="10" t="str">
        <f t="shared" si="1"/>
        <v/>
      </c>
      <c r="B182" s="13"/>
      <c r="C182" s="11"/>
      <c r="D182" s="11"/>
      <c r="E182" s="11"/>
      <c r="F182" s="14" t="str">
        <f t="array" ref="F182">IF($E182="","",IFERROR(INDEX('Danh mục thiết bị'!$C$6:$C$65,MATCH($E182,'Danh mục thiết bị'!$B$6:$B$65,0)),"Mã TB không tồn tại"))</f>
        <v/>
      </c>
      <c r="G182" s="14" t="str">
        <f t="array" ref="G182">IF($E182="","",IFERROR(INDEX('Danh mục thiết bị'!$D$6:$D$65,MATCH($E182,'Danh mục thiết bị'!$B$6:$B$65,0)),""))</f>
        <v/>
      </c>
      <c r="H182" s="15"/>
      <c r="I182" s="12"/>
      <c r="J182" s="19"/>
      <c r="K182" s="19"/>
      <c r="L182" s="20"/>
      <c r="M182" s="20"/>
      <c r="N182" s="20"/>
      <c r="O182" s="84" t="str">
        <f t="shared" si="2"/>
        <v/>
      </c>
      <c r="P182" s="15"/>
      <c r="Q182" s="11"/>
      <c r="R182" s="10" t="str">
        <f t="array" ref="R182">IF($E182="","",IF($B182="","Thiếu ngày thực hiện",IF(AND($D182&lt;&gt;"",IFERROR(INDEX('Kế hoạch định kỳ'!$C$6:$C$125,MATCH($D182,'Kế hoạch định kỳ'!$B$6:$B$125,0)),"")&lt;&gt;$E182),"Mã TB không khớp công việc",IF(AND(OR($C182="Bảo trì định kỳ",$C182="Hiệu chuẩn – kiểm định"),$D182=""),"Thiếu mã công việc kế hoạch",IF($Q182="","Thiếu kết quả","OK")))))</f>
        <v/>
      </c>
      <c r="S182" s="15"/>
    </row>
    <row r="183" ht="25.5" customHeight="1">
      <c r="A183" s="26" t="str">
        <f t="shared" si="1"/>
        <v/>
      </c>
      <c r="B183" s="32"/>
      <c r="C183" s="27"/>
      <c r="D183" s="27"/>
      <c r="E183" s="27"/>
      <c r="F183" s="28" t="str">
        <f t="array" ref="F183">IF($E183="","",IFERROR(INDEX('Danh mục thiết bị'!$C$6:$C$65,MATCH($E183,'Danh mục thiết bị'!$B$6:$B$65,0)),"Mã TB không tồn tại"))</f>
        <v/>
      </c>
      <c r="G183" s="28" t="str">
        <f t="array" ref="G183">IF($E183="","",IFERROR(INDEX('Danh mục thiết bị'!$D$6:$D$65,MATCH($E183,'Danh mục thiết bị'!$B$6:$B$65,0)),""))</f>
        <v/>
      </c>
      <c r="H183" s="29"/>
      <c r="I183" s="31"/>
      <c r="J183" s="34"/>
      <c r="K183" s="34"/>
      <c r="L183" s="35"/>
      <c r="M183" s="35"/>
      <c r="N183" s="35"/>
      <c r="O183" s="85" t="str">
        <f t="shared" si="2"/>
        <v/>
      </c>
      <c r="P183" s="29"/>
      <c r="Q183" s="27"/>
      <c r="R183" s="26" t="str">
        <f t="array" ref="R183">IF($E183="","",IF($B183="","Thiếu ngày thực hiện",IF(AND($D183&lt;&gt;"",IFERROR(INDEX('Kế hoạch định kỳ'!$C$6:$C$125,MATCH($D183,'Kế hoạch định kỳ'!$B$6:$B$125,0)),"")&lt;&gt;$E183),"Mã TB không khớp công việc",IF(AND(OR($C183="Bảo trì định kỳ",$C183="Hiệu chuẩn – kiểm định"),$D183=""),"Thiếu mã công việc kế hoạch",IF($Q183="","Thiếu kết quả","OK")))))</f>
        <v/>
      </c>
      <c r="S183" s="29"/>
    </row>
    <row r="184" ht="25.5" customHeight="1">
      <c r="A184" s="10" t="str">
        <f t="shared" si="1"/>
        <v/>
      </c>
      <c r="B184" s="13"/>
      <c r="C184" s="11"/>
      <c r="D184" s="11"/>
      <c r="E184" s="11"/>
      <c r="F184" s="14" t="str">
        <f t="array" ref="F184">IF($E184="","",IFERROR(INDEX('Danh mục thiết bị'!$C$6:$C$65,MATCH($E184,'Danh mục thiết bị'!$B$6:$B$65,0)),"Mã TB không tồn tại"))</f>
        <v/>
      </c>
      <c r="G184" s="14" t="str">
        <f t="array" ref="G184">IF($E184="","",IFERROR(INDEX('Danh mục thiết bị'!$D$6:$D$65,MATCH($E184,'Danh mục thiết bị'!$B$6:$B$65,0)),""))</f>
        <v/>
      </c>
      <c r="H184" s="15"/>
      <c r="I184" s="12"/>
      <c r="J184" s="19"/>
      <c r="K184" s="19"/>
      <c r="L184" s="20"/>
      <c r="M184" s="20"/>
      <c r="N184" s="20"/>
      <c r="O184" s="84" t="str">
        <f t="shared" si="2"/>
        <v/>
      </c>
      <c r="P184" s="15"/>
      <c r="Q184" s="11"/>
      <c r="R184" s="10" t="str">
        <f t="array" ref="R184">IF($E184="","",IF($B184="","Thiếu ngày thực hiện",IF(AND($D184&lt;&gt;"",IFERROR(INDEX('Kế hoạch định kỳ'!$C$6:$C$125,MATCH($D184,'Kế hoạch định kỳ'!$B$6:$B$125,0)),"")&lt;&gt;$E184),"Mã TB không khớp công việc",IF(AND(OR($C184="Bảo trì định kỳ",$C184="Hiệu chuẩn – kiểm định"),$D184=""),"Thiếu mã công việc kế hoạch",IF($Q184="","Thiếu kết quả","OK")))))</f>
        <v/>
      </c>
      <c r="S184" s="15"/>
    </row>
    <row r="185" ht="25.5" customHeight="1">
      <c r="A185" s="26" t="str">
        <f t="shared" si="1"/>
        <v/>
      </c>
      <c r="B185" s="32"/>
      <c r="C185" s="27"/>
      <c r="D185" s="27"/>
      <c r="E185" s="27"/>
      <c r="F185" s="28" t="str">
        <f t="array" ref="F185">IF($E185="","",IFERROR(INDEX('Danh mục thiết bị'!$C$6:$C$65,MATCH($E185,'Danh mục thiết bị'!$B$6:$B$65,0)),"Mã TB không tồn tại"))</f>
        <v/>
      </c>
      <c r="G185" s="28" t="str">
        <f t="array" ref="G185">IF($E185="","",IFERROR(INDEX('Danh mục thiết bị'!$D$6:$D$65,MATCH($E185,'Danh mục thiết bị'!$B$6:$B$65,0)),""))</f>
        <v/>
      </c>
      <c r="H185" s="29"/>
      <c r="I185" s="31"/>
      <c r="J185" s="34"/>
      <c r="K185" s="34"/>
      <c r="L185" s="35"/>
      <c r="M185" s="35"/>
      <c r="N185" s="35"/>
      <c r="O185" s="85" t="str">
        <f t="shared" si="2"/>
        <v/>
      </c>
      <c r="P185" s="29"/>
      <c r="Q185" s="27"/>
      <c r="R185" s="26" t="str">
        <f t="array" ref="R185">IF($E185="","",IF($B185="","Thiếu ngày thực hiện",IF(AND($D185&lt;&gt;"",IFERROR(INDEX('Kế hoạch định kỳ'!$C$6:$C$125,MATCH($D185,'Kế hoạch định kỳ'!$B$6:$B$125,0)),"")&lt;&gt;$E185),"Mã TB không khớp công việc",IF(AND(OR($C185="Bảo trì định kỳ",$C185="Hiệu chuẩn – kiểm định"),$D185=""),"Thiếu mã công việc kế hoạch",IF($Q185="","Thiếu kết quả","OK")))))</f>
        <v/>
      </c>
      <c r="S185" s="29"/>
    </row>
    <row r="186" ht="25.5" customHeight="1">
      <c r="A186" s="10" t="str">
        <f t="shared" si="1"/>
        <v/>
      </c>
      <c r="B186" s="13"/>
      <c r="C186" s="11"/>
      <c r="D186" s="11"/>
      <c r="E186" s="11"/>
      <c r="F186" s="14" t="str">
        <f t="array" ref="F186">IF($E186="","",IFERROR(INDEX('Danh mục thiết bị'!$C$6:$C$65,MATCH($E186,'Danh mục thiết bị'!$B$6:$B$65,0)),"Mã TB không tồn tại"))</f>
        <v/>
      </c>
      <c r="G186" s="14" t="str">
        <f t="array" ref="G186">IF($E186="","",IFERROR(INDEX('Danh mục thiết bị'!$D$6:$D$65,MATCH($E186,'Danh mục thiết bị'!$B$6:$B$65,0)),""))</f>
        <v/>
      </c>
      <c r="H186" s="15"/>
      <c r="I186" s="12"/>
      <c r="J186" s="19"/>
      <c r="K186" s="19"/>
      <c r="L186" s="20"/>
      <c r="M186" s="20"/>
      <c r="N186" s="20"/>
      <c r="O186" s="84" t="str">
        <f t="shared" si="2"/>
        <v/>
      </c>
      <c r="P186" s="15"/>
      <c r="Q186" s="11"/>
      <c r="R186" s="10" t="str">
        <f t="array" ref="R186">IF($E186="","",IF($B186="","Thiếu ngày thực hiện",IF(AND($D186&lt;&gt;"",IFERROR(INDEX('Kế hoạch định kỳ'!$C$6:$C$125,MATCH($D186,'Kế hoạch định kỳ'!$B$6:$B$125,0)),"")&lt;&gt;$E186),"Mã TB không khớp công việc",IF(AND(OR($C186="Bảo trì định kỳ",$C186="Hiệu chuẩn – kiểm định"),$D186=""),"Thiếu mã công việc kế hoạch",IF($Q186="","Thiếu kết quả","OK")))))</f>
        <v/>
      </c>
      <c r="S186" s="15"/>
    </row>
    <row r="187" ht="25.5" customHeight="1">
      <c r="A187" s="26" t="str">
        <f t="shared" si="1"/>
        <v/>
      </c>
      <c r="B187" s="32"/>
      <c r="C187" s="27"/>
      <c r="D187" s="27"/>
      <c r="E187" s="27"/>
      <c r="F187" s="28" t="str">
        <f t="array" ref="F187">IF($E187="","",IFERROR(INDEX('Danh mục thiết bị'!$C$6:$C$65,MATCH($E187,'Danh mục thiết bị'!$B$6:$B$65,0)),"Mã TB không tồn tại"))</f>
        <v/>
      </c>
      <c r="G187" s="28" t="str">
        <f t="array" ref="G187">IF($E187="","",IFERROR(INDEX('Danh mục thiết bị'!$D$6:$D$65,MATCH($E187,'Danh mục thiết bị'!$B$6:$B$65,0)),""))</f>
        <v/>
      </c>
      <c r="H187" s="29"/>
      <c r="I187" s="31"/>
      <c r="J187" s="34"/>
      <c r="K187" s="34"/>
      <c r="L187" s="35"/>
      <c r="M187" s="35"/>
      <c r="N187" s="35"/>
      <c r="O187" s="85" t="str">
        <f t="shared" si="2"/>
        <v/>
      </c>
      <c r="P187" s="29"/>
      <c r="Q187" s="27"/>
      <c r="R187" s="26" t="str">
        <f t="array" ref="R187">IF($E187="","",IF($B187="","Thiếu ngày thực hiện",IF(AND($D187&lt;&gt;"",IFERROR(INDEX('Kế hoạch định kỳ'!$C$6:$C$125,MATCH($D187,'Kế hoạch định kỳ'!$B$6:$B$125,0)),"")&lt;&gt;$E187),"Mã TB không khớp công việc",IF(AND(OR($C187="Bảo trì định kỳ",$C187="Hiệu chuẩn – kiểm định"),$D187=""),"Thiếu mã công việc kế hoạch",IF($Q187="","Thiếu kết quả","OK")))))</f>
        <v/>
      </c>
      <c r="S187" s="29"/>
    </row>
    <row r="188" ht="25.5" customHeight="1">
      <c r="A188" s="10" t="str">
        <f t="shared" si="1"/>
        <v/>
      </c>
      <c r="B188" s="13"/>
      <c r="C188" s="11"/>
      <c r="D188" s="11"/>
      <c r="E188" s="11"/>
      <c r="F188" s="14" t="str">
        <f t="array" ref="F188">IF($E188="","",IFERROR(INDEX('Danh mục thiết bị'!$C$6:$C$65,MATCH($E188,'Danh mục thiết bị'!$B$6:$B$65,0)),"Mã TB không tồn tại"))</f>
        <v/>
      </c>
      <c r="G188" s="14" t="str">
        <f t="array" ref="G188">IF($E188="","",IFERROR(INDEX('Danh mục thiết bị'!$D$6:$D$65,MATCH($E188,'Danh mục thiết bị'!$B$6:$B$65,0)),""))</f>
        <v/>
      </c>
      <c r="H188" s="15"/>
      <c r="I188" s="12"/>
      <c r="J188" s="19"/>
      <c r="K188" s="19"/>
      <c r="L188" s="20"/>
      <c r="M188" s="20"/>
      <c r="N188" s="20"/>
      <c r="O188" s="84" t="str">
        <f t="shared" si="2"/>
        <v/>
      </c>
      <c r="P188" s="15"/>
      <c r="Q188" s="11"/>
      <c r="R188" s="10" t="str">
        <f t="array" ref="R188">IF($E188="","",IF($B188="","Thiếu ngày thực hiện",IF(AND($D188&lt;&gt;"",IFERROR(INDEX('Kế hoạch định kỳ'!$C$6:$C$125,MATCH($D188,'Kế hoạch định kỳ'!$B$6:$B$125,0)),"")&lt;&gt;$E188),"Mã TB không khớp công việc",IF(AND(OR($C188="Bảo trì định kỳ",$C188="Hiệu chuẩn – kiểm định"),$D188=""),"Thiếu mã công việc kế hoạch",IF($Q188="","Thiếu kết quả","OK")))))</f>
        <v/>
      </c>
      <c r="S188" s="15"/>
    </row>
    <row r="189" ht="25.5" customHeight="1">
      <c r="A189" s="26" t="str">
        <f t="shared" si="1"/>
        <v/>
      </c>
      <c r="B189" s="32"/>
      <c r="C189" s="27"/>
      <c r="D189" s="27"/>
      <c r="E189" s="27"/>
      <c r="F189" s="28" t="str">
        <f t="array" ref="F189">IF($E189="","",IFERROR(INDEX('Danh mục thiết bị'!$C$6:$C$65,MATCH($E189,'Danh mục thiết bị'!$B$6:$B$65,0)),"Mã TB không tồn tại"))</f>
        <v/>
      </c>
      <c r="G189" s="28" t="str">
        <f t="array" ref="G189">IF($E189="","",IFERROR(INDEX('Danh mục thiết bị'!$D$6:$D$65,MATCH($E189,'Danh mục thiết bị'!$B$6:$B$65,0)),""))</f>
        <v/>
      </c>
      <c r="H189" s="29"/>
      <c r="I189" s="31"/>
      <c r="J189" s="34"/>
      <c r="K189" s="34"/>
      <c r="L189" s="35"/>
      <c r="M189" s="35"/>
      <c r="N189" s="35"/>
      <c r="O189" s="85" t="str">
        <f t="shared" si="2"/>
        <v/>
      </c>
      <c r="P189" s="29"/>
      <c r="Q189" s="27"/>
      <c r="R189" s="26" t="str">
        <f t="array" ref="R189">IF($E189="","",IF($B189="","Thiếu ngày thực hiện",IF(AND($D189&lt;&gt;"",IFERROR(INDEX('Kế hoạch định kỳ'!$C$6:$C$125,MATCH($D189,'Kế hoạch định kỳ'!$B$6:$B$125,0)),"")&lt;&gt;$E189),"Mã TB không khớp công việc",IF(AND(OR($C189="Bảo trì định kỳ",$C189="Hiệu chuẩn – kiểm định"),$D189=""),"Thiếu mã công việc kế hoạch",IF($Q189="","Thiếu kết quả","OK")))))</f>
        <v/>
      </c>
      <c r="S189" s="29"/>
    </row>
    <row r="190" ht="25.5" customHeight="1">
      <c r="A190" s="10" t="str">
        <f t="shared" si="1"/>
        <v/>
      </c>
      <c r="B190" s="13"/>
      <c r="C190" s="11"/>
      <c r="D190" s="11"/>
      <c r="E190" s="11"/>
      <c r="F190" s="14" t="str">
        <f t="array" ref="F190">IF($E190="","",IFERROR(INDEX('Danh mục thiết bị'!$C$6:$C$65,MATCH($E190,'Danh mục thiết bị'!$B$6:$B$65,0)),"Mã TB không tồn tại"))</f>
        <v/>
      </c>
      <c r="G190" s="14" t="str">
        <f t="array" ref="G190">IF($E190="","",IFERROR(INDEX('Danh mục thiết bị'!$D$6:$D$65,MATCH($E190,'Danh mục thiết bị'!$B$6:$B$65,0)),""))</f>
        <v/>
      </c>
      <c r="H190" s="15"/>
      <c r="I190" s="12"/>
      <c r="J190" s="19"/>
      <c r="K190" s="19"/>
      <c r="L190" s="20"/>
      <c r="M190" s="20"/>
      <c r="N190" s="20"/>
      <c r="O190" s="84" t="str">
        <f t="shared" si="2"/>
        <v/>
      </c>
      <c r="P190" s="15"/>
      <c r="Q190" s="11"/>
      <c r="R190" s="10" t="str">
        <f t="array" ref="R190">IF($E190="","",IF($B190="","Thiếu ngày thực hiện",IF(AND($D190&lt;&gt;"",IFERROR(INDEX('Kế hoạch định kỳ'!$C$6:$C$125,MATCH($D190,'Kế hoạch định kỳ'!$B$6:$B$125,0)),"")&lt;&gt;$E190),"Mã TB không khớp công việc",IF(AND(OR($C190="Bảo trì định kỳ",$C190="Hiệu chuẩn – kiểm định"),$D190=""),"Thiếu mã công việc kế hoạch",IF($Q190="","Thiếu kết quả","OK")))))</f>
        <v/>
      </c>
      <c r="S190" s="15"/>
    </row>
    <row r="191" ht="25.5" customHeight="1">
      <c r="A191" s="26" t="str">
        <f t="shared" si="1"/>
        <v/>
      </c>
      <c r="B191" s="32"/>
      <c r="C191" s="27"/>
      <c r="D191" s="27"/>
      <c r="E191" s="27"/>
      <c r="F191" s="28" t="str">
        <f t="array" ref="F191">IF($E191="","",IFERROR(INDEX('Danh mục thiết bị'!$C$6:$C$65,MATCH($E191,'Danh mục thiết bị'!$B$6:$B$65,0)),"Mã TB không tồn tại"))</f>
        <v/>
      </c>
      <c r="G191" s="28" t="str">
        <f t="array" ref="G191">IF($E191="","",IFERROR(INDEX('Danh mục thiết bị'!$D$6:$D$65,MATCH($E191,'Danh mục thiết bị'!$B$6:$B$65,0)),""))</f>
        <v/>
      </c>
      <c r="H191" s="29"/>
      <c r="I191" s="31"/>
      <c r="J191" s="34"/>
      <c r="K191" s="34"/>
      <c r="L191" s="35"/>
      <c r="M191" s="35"/>
      <c r="N191" s="35"/>
      <c r="O191" s="85" t="str">
        <f t="shared" si="2"/>
        <v/>
      </c>
      <c r="P191" s="29"/>
      <c r="Q191" s="27"/>
      <c r="R191" s="26" t="str">
        <f t="array" ref="R191">IF($E191="","",IF($B191="","Thiếu ngày thực hiện",IF(AND($D191&lt;&gt;"",IFERROR(INDEX('Kế hoạch định kỳ'!$C$6:$C$125,MATCH($D191,'Kế hoạch định kỳ'!$B$6:$B$125,0)),"")&lt;&gt;$E191),"Mã TB không khớp công việc",IF(AND(OR($C191="Bảo trì định kỳ",$C191="Hiệu chuẩn – kiểm định"),$D191=""),"Thiếu mã công việc kế hoạch",IF($Q191="","Thiếu kết quả","OK")))))</f>
        <v/>
      </c>
      <c r="S191" s="29"/>
    </row>
    <row r="192" ht="25.5" customHeight="1">
      <c r="A192" s="10" t="str">
        <f t="shared" si="1"/>
        <v/>
      </c>
      <c r="B192" s="13"/>
      <c r="C192" s="11"/>
      <c r="D192" s="11"/>
      <c r="E192" s="11"/>
      <c r="F192" s="14" t="str">
        <f t="array" ref="F192">IF($E192="","",IFERROR(INDEX('Danh mục thiết bị'!$C$6:$C$65,MATCH($E192,'Danh mục thiết bị'!$B$6:$B$65,0)),"Mã TB không tồn tại"))</f>
        <v/>
      </c>
      <c r="G192" s="14" t="str">
        <f t="array" ref="G192">IF($E192="","",IFERROR(INDEX('Danh mục thiết bị'!$D$6:$D$65,MATCH($E192,'Danh mục thiết bị'!$B$6:$B$65,0)),""))</f>
        <v/>
      </c>
      <c r="H192" s="15"/>
      <c r="I192" s="12"/>
      <c r="J192" s="19"/>
      <c r="K192" s="19"/>
      <c r="L192" s="20"/>
      <c r="M192" s="20"/>
      <c r="N192" s="20"/>
      <c r="O192" s="84" t="str">
        <f t="shared" si="2"/>
        <v/>
      </c>
      <c r="P192" s="15"/>
      <c r="Q192" s="11"/>
      <c r="R192" s="10" t="str">
        <f t="array" ref="R192">IF($E192="","",IF($B192="","Thiếu ngày thực hiện",IF(AND($D192&lt;&gt;"",IFERROR(INDEX('Kế hoạch định kỳ'!$C$6:$C$125,MATCH($D192,'Kế hoạch định kỳ'!$B$6:$B$125,0)),"")&lt;&gt;$E192),"Mã TB không khớp công việc",IF(AND(OR($C192="Bảo trì định kỳ",$C192="Hiệu chuẩn – kiểm định"),$D192=""),"Thiếu mã công việc kế hoạch",IF($Q192="","Thiếu kết quả","OK")))))</f>
        <v/>
      </c>
      <c r="S192" s="15"/>
    </row>
    <row r="193" ht="25.5" customHeight="1">
      <c r="A193" s="26" t="str">
        <f t="shared" si="1"/>
        <v/>
      </c>
      <c r="B193" s="32"/>
      <c r="C193" s="27"/>
      <c r="D193" s="27"/>
      <c r="E193" s="27"/>
      <c r="F193" s="28" t="str">
        <f t="array" ref="F193">IF($E193="","",IFERROR(INDEX('Danh mục thiết bị'!$C$6:$C$65,MATCH($E193,'Danh mục thiết bị'!$B$6:$B$65,0)),"Mã TB không tồn tại"))</f>
        <v/>
      </c>
      <c r="G193" s="28" t="str">
        <f t="array" ref="G193">IF($E193="","",IFERROR(INDEX('Danh mục thiết bị'!$D$6:$D$65,MATCH($E193,'Danh mục thiết bị'!$B$6:$B$65,0)),""))</f>
        <v/>
      </c>
      <c r="H193" s="29"/>
      <c r="I193" s="31"/>
      <c r="J193" s="34"/>
      <c r="K193" s="34"/>
      <c r="L193" s="35"/>
      <c r="M193" s="35"/>
      <c r="N193" s="35"/>
      <c r="O193" s="85" t="str">
        <f t="shared" si="2"/>
        <v/>
      </c>
      <c r="P193" s="29"/>
      <c r="Q193" s="27"/>
      <c r="R193" s="26" t="str">
        <f t="array" ref="R193">IF($E193="","",IF($B193="","Thiếu ngày thực hiện",IF(AND($D193&lt;&gt;"",IFERROR(INDEX('Kế hoạch định kỳ'!$C$6:$C$125,MATCH($D193,'Kế hoạch định kỳ'!$B$6:$B$125,0)),"")&lt;&gt;$E193),"Mã TB không khớp công việc",IF(AND(OR($C193="Bảo trì định kỳ",$C193="Hiệu chuẩn – kiểm định"),$D193=""),"Thiếu mã công việc kế hoạch",IF($Q193="","Thiếu kết quả","OK")))))</f>
        <v/>
      </c>
      <c r="S193" s="29"/>
    </row>
    <row r="194" ht="25.5" customHeight="1">
      <c r="A194" s="10" t="str">
        <f t="shared" si="1"/>
        <v/>
      </c>
      <c r="B194" s="13"/>
      <c r="C194" s="11"/>
      <c r="D194" s="11"/>
      <c r="E194" s="11"/>
      <c r="F194" s="14" t="str">
        <f t="array" ref="F194">IF($E194="","",IFERROR(INDEX('Danh mục thiết bị'!$C$6:$C$65,MATCH($E194,'Danh mục thiết bị'!$B$6:$B$65,0)),"Mã TB không tồn tại"))</f>
        <v/>
      </c>
      <c r="G194" s="14" t="str">
        <f t="array" ref="G194">IF($E194="","",IFERROR(INDEX('Danh mục thiết bị'!$D$6:$D$65,MATCH($E194,'Danh mục thiết bị'!$B$6:$B$65,0)),""))</f>
        <v/>
      </c>
      <c r="H194" s="15"/>
      <c r="I194" s="12"/>
      <c r="J194" s="19"/>
      <c r="K194" s="19"/>
      <c r="L194" s="20"/>
      <c r="M194" s="20"/>
      <c r="N194" s="20"/>
      <c r="O194" s="84" t="str">
        <f t="shared" si="2"/>
        <v/>
      </c>
      <c r="P194" s="15"/>
      <c r="Q194" s="11"/>
      <c r="R194" s="10" t="str">
        <f t="array" ref="R194">IF($E194="","",IF($B194="","Thiếu ngày thực hiện",IF(AND($D194&lt;&gt;"",IFERROR(INDEX('Kế hoạch định kỳ'!$C$6:$C$125,MATCH($D194,'Kế hoạch định kỳ'!$B$6:$B$125,0)),"")&lt;&gt;$E194),"Mã TB không khớp công việc",IF(AND(OR($C194="Bảo trì định kỳ",$C194="Hiệu chuẩn – kiểm định"),$D194=""),"Thiếu mã công việc kế hoạch",IF($Q194="","Thiếu kết quả","OK")))))</f>
        <v/>
      </c>
      <c r="S194" s="15"/>
    </row>
    <row r="195" ht="25.5" customHeight="1">
      <c r="A195" s="26" t="str">
        <f t="shared" si="1"/>
        <v/>
      </c>
      <c r="B195" s="32"/>
      <c r="C195" s="27"/>
      <c r="D195" s="27"/>
      <c r="E195" s="27"/>
      <c r="F195" s="28" t="str">
        <f t="array" ref="F195">IF($E195="","",IFERROR(INDEX('Danh mục thiết bị'!$C$6:$C$65,MATCH($E195,'Danh mục thiết bị'!$B$6:$B$65,0)),"Mã TB không tồn tại"))</f>
        <v/>
      </c>
      <c r="G195" s="28" t="str">
        <f t="array" ref="G195">IF($E195="","",IFERROR(INDEX('Danh mục thiết bị'!$D$6:$D$65,MATCH($E195,'Danh mục thiết bị'!$B$6:$B$65,0)),""))</f>
        <v/>
      </c>
      <c r="H195" s="29"/>
      <c r="I195" s="31"/>
      <c r="J195" s="34"/>
      <c r="K195" s="34"/>
      <c r="L195" s="35"/>
      <c r="M195" s="35"/>
      <c r="N195" s="35"/>
      <c r="O195" s="85" t="str">
        <f t="shared" si="2"/>
        <v/>
      </c>
      <c r="P195" s="29"/>
      <c r="Q195" s="27"/>
      <c r="R195" s="26" t="str">
        <f t="array" ref="R195">IF($E195="","",IF($B195="","Thiếu ngày thực hiện",IF(AND($D195&lt;&gt;"",IFERROR(INDEX('Kế hoạch định kỳ'!$C$6:$C$125,MATCH($D195,'Kế hoạch định kỳ'!$B$6:$B$125,0)),"")&lt;&gt;$E195),"Mã TB không khớp công việc",IF(AND(OR($C195="Bảo trì định kỳ",$C195="Hiệu chuẩn – kiểm định"),$D195=""),"Thiếu mã công việc kế hoạch",IF($Q195="","Thiếu kết quả","OK")))))</f>
        <v/>
      </c>
      <c r="S195" s="29"/>
    </row>
    <row r="196" ht="25.5" customHeight="1">
      <c r="A196" s="10" t="str">
        <f t="shared" si="1"/>
        <v/>
      </c>
      <c r="B196" s="13"/>
      <c r="C196" s="11"/>
      <c r="D196" s="11"/>
      <c r="E196" s="11"/>
      <c r="F196" s="14" t="str">
        <f t="array" ref="F196">IF($E196="","",IFERROR(INDEX('Danh mục thiết bị'!$C$6:$C$65,MATCH($E196,'Danh mục thiết bị'!$B$6:$B$65,0)),"Mã TB không tồn tại"))</f>
        <v/>
      </c>
      <c r="G196" s="14" t="str">
        <f t="array" ref="G196">IF($E196="","",IFERROR(INDEX('Danh mục thiết bị'!$D$6:$D$65,MATCH($E196,'Danh mục thiết bị'!$B$6:$B$65,0)),""))</f>
        <v/>
      </c>
      <c r="H196" s="15"/>
      <c r="I196" s="12"/>
      <c r="J196" s="19"/>
      <c r="K196" s="19"/>
      <c r="L196" s="20"/>
      <c r="M196" s="20"/>
      <c r="N196" s="20"/>
      <c r="O196" s="84" t="str">
        <f t="shared" si="2"/>
        <v/>
      </c>
      <c r="P196" s="15"/>
      <c r="Q196" s="11"/>
      <c r="R196" s="10" t="str">
        <f t="array" ref="R196">IF($E196="","",IF($B196="","Thiếu ngày thực hiện",IF(AND($D196&lt;&gt;"",IFERROR(INDEX('Kế hoạch định kỳ'!$C$6:$C$125,MATCH($D196,'Kế hoạch định kỳ'!$B$6:$B$125,0)),"")&lt;&gt;$E196),"Mã TB không khớp công việc",IF(AND(OR($C196="Bảo trì định kỳ",$C196="Hiệu chuẩn – kiểm định"),$D196=""),"Thiếu mã công việc kế hoạch",IF($Q196="","Thiếu kết quả","OK")))))</f>
        <v/>
      </c>
      <c r="S196" s="15"/>
    </row>
    <row r="197" ht="25.5" customHeight="1">
      <c r="A197" s="26" t="str">
        <f t="shared" si="1"/>
        <v/>
      </c>
      <c r="B197" s="32"/>
      <c r="C197" s="27"/>
      <c r="D197" s="27"/>
      <c r="E197" s="27"/>
      <c r="F197" s="28" t="str">
        <f t="array" ref="F197">IF($E197="","",IFERROR(INDEX('Danh mục thiết bị'!$C$6:$C$65,MATCH($E197,'Danh mục thiết bị'!$B$6:$B$65,0)),"Mã TB không tồn tại"))</f>
        <v/>
      </c>
      <c r="G197" s="28" t="str">
        <f t="array" ref="G197">IF($E197="","",IFERROR(INDEX('Danh mục thiết bị'!$D$6:$D$65,MATCH($E197,'Danh mục thiết bị'!$B$6:$B$65,0)),""))</f>
        <v/>
      </c>
      <c r="H197" s="29"/>
      <c r="I197" s="31"/>
      <c r="J197" s="34"/>
      <c r="K197" s="34"/>
      <c r="L197" s="35"/>
      <c r="M197" s="35"/>
      <c r="N197" s="35"/>
      <c r="O197" s="85" t="str">
        <f t="shared" si="2"/>
        <v/>
      </c>
      <c r="P197" s="29"/>
      <c r="Q197" s="27"/>
      <c r="R197" s="26" t="str">
        <f t="array" ref="R197">IF($E197="","",IF($B197="","Thiếu ngày thực hiện",IF(AND($D197&lt;&gt;"",IFERROR(INDEX('Kế hoạch định kỳ'!$C$6:$C$125,MATCH($D197,'Kế hoạch định kỳ'!$B$6:$B$125,0)),"")&lt;&gt;$E197),"Mã TB không khớp công việc",IF(AND(OR($C197="Bảo trì định kỳ",$C197="Hiệu chuẩn – kiểm định"),$D197=""),"Thiếu mã công việc kế hoạch",IF($Q197="","Thiếu kết quả","OK")))))</f>
        <v/>
      </c>
      <c r="S197" s="29"/>
    </row>
    <row r="198" ht="25.5" customHeight="1">
      <c r="A198" s="10" t="str">
        <f t="shared" si="1"/>
        <v/>
      </c>
      <c r="B198" s="13"/>
      <c r="C198" s="11"/>
      <c r="D198" s="11"/>
      <c r="E198" s="11"/>
      <c r="F198" s="14" t="str">
        <f t="array" ref="F198">IF($E198="","",IFERROR(INDEX('Danh mục thiết bị'!$C$6:$C$65,MATCH($E198,'Danh mục thiết bị'!$B$6:$B$65,0)),"Mã TB không tồn tại"))</f>
        <v/>
      </c>
      <c r="G198" s="14" t="str">
        <f t="array" ref="G198">IF($E198="","",IFERROR(INDEX('Danh mục thiết bị'!$D$6:$D$65,MATCH($E198,'Danh mục thiết bị'!$B$6:$B$65,0)),""))</f>
        <v/>
      </c>
      <c r="H198" s="15"/>
      <c r="I198" s="12"/>
      <c r="J198" s="19"/>
      <c r="K198" s="19"/>
      <c r="L198" s="20"/>
      <c r="M198" s="20"/>
      <c r="N198" s="20"/>
      <c r="O198" s="84" t="str">
        <f t="shared" si="2"/>
        <v/>
      </c>
      <c r="P198" s="15"/>
      <c r="Q198" s="11"/>
      <c r="R198" s="10" t="str">
        <f t="array" ref="R198">IF($E198="","",IF($B198="","Thiếu ngày thực hiện",IF(AND($D198&lt;&gt;"",IFERROR(INDEX('Kế hoạch định kỳ'!$C$6:$C$125,MATCH($D198,'Kế hoạch định kỳ'!$B$6:$B$125,0)),"")&lt;&gt;$E198),"Mã TB không khớp công việc",IF(AND(OR($C198="Bảo trì định kỳ",$C198="Hiệu chuẩn – kiểm định"),$D198=""),"Thiếu mã công việc kế hoạch",IF($Q198="","Thiếu kết quả","OK")))))</f>
        <v/>
      </c>
      <c r="S198" s="15"/>
    </row>
    <row r="199" ht="25.5" customHeight="1">
      <c r="A199" s="26" t="str">
        <f t="shared" si="1"/>
        <v/>
      </c>
      <c r="B199" s="32"/>
      <c r="C199" s="27"/>
      <c r="D199" s="27"/>
      <c r="E199" s="27"/>
      <c r="F199" s="28" t="str">
        <f t="array" ref="F199">IF($E199="","",IFERROR(INDEX('Danh mục thiết bị'!$C$6:$C$65,MATCH($E199,'Danh mục thiết bị'!$B$6:$B$65,0)),"Mã TB không tồn tại"))</f>
        <v/>
      </c>
      <c r="G199" s="28" t="str">
        <f t="array" ref="G199">IF($E199="","",IFERROR(INDEX('Danh mục thiết bị'!$D$6:$D$65,MATCH($E199,'Danh mục thiết bị'!$B$6:$B$65,0)),""))</f>
        <v/>
      </c>
      <c r="H199" s="29"/>
      <c r="I199" s="31"/>
      <c r="J199" s="34"/>
      <c r="K199" s="34"/>
      <c r="L199" s="35"/>
      <c r="M199" s="35"/>
      <c r="N199" s="35"/>
      <c r="O199" s="85" t="str">
        <f t="shared" si="2"/>
        <v/>
      </c>
      <c r="P199" s="29"/>
      <c r="Q199" s="27"/>
      <c r="R199" s="26" t="str">
        <f t="array" ref="R199">IF($E199="","",IF($B199="","Thiếu ngày thực hiện",IF(AND($D199&lt;&gt;"",IFERROR(INDEX('Kế hoạch định kỳ'!$C$6:$C$125,MATCH($D199,'Kế hoạch định kỳ'!$B$6:$B$125,0)),"")&lt;&gt;$E199),"Mã TB không khớp công việc",IF(AND(OR($C199="Bảo trì định kỳ",$C199="Hiệu chuẩn – kiểm định"),$D199=""),"Thiếu mã công việc kế hoạch",IF($Q199="","Thiếu kết quả","OK")))))</f>
        <v/>
      </c>
      <c r="S199" s="29"/>
    </row>
    <row r="200" ht="25.5" customHeight="1">
      <c r="A200" s="10" t="str">
        <f t="shared" si="1"/>
        <v/>
      </c>
      <c r="B200" s="13"/>
      <c r="C200" s="11"/>
      <c r="D200" s="11"/>
      <c r="E200" s="11"/>
      <c r="F200" s="14" t="str">
        <f t="array" ref="F200">IF($E200="","",IFERROR(INDEX('Danh mục thiết bị'!$C$6:$C$65,MATCH($E200,'Danh mục thiết bị'!$B$6:$B$65,0)),"Mã TB không tồn tại"))</f>
        <v/>
      </c>
      <c r="G200" s="14" t="str">
        <f t="array" ref="G200">IF($E200="","",IFERROR(INDEX('Danh mục thiết bị'!$D$6:$D$65,MATCH($E200,'Danh mục thiết bị'!$B$6:$B$65,0)),""))</f>
        <v/>
      </c>
      <c r="H200" s="15"/>
      <c r="I200" s="12"/>
      <c r="J200" s="19"/>
      <c r="K200" s="19"/>
      <c r="L200" s="20"/>
      <c r="M200" s="20"/>
      <c r="N200" s="20"/>
      <c r="O200" s="84" t="str">
        <f t="shared" si="2"/>
        <v/>
      </c>
      <c r="P200" s="15"/>
      <c r="Q200" s="11"/>
      <c r="R200" s="10" t="str">
        <f t="array" ref="R200">IF($E200="","",IF($B200="","Thiếu ngày thực hiện",IF(AND($D200&lt;&gt;"",IFERROR(INDEX('Kế hoạch định kỳ'!$C$6:$C$125,MATCH($D200,'Kế hoạch định kỳ'!$B$6:$B$125,0)),"")&lt;&gt;$E200),"Mã TB không khớp công việc",IF(AND(OR($C200="Bảo trì định kỳ",$C200="Hiệu chuẩn – kiểm định"),$D200=""),"Thiếu mã công việc kế hoạch",IF($Q200="","Thiếu kết quả","OK")))))</f>
        <v/>
      </c>
      <c r="S200" s="15"/>
    </row>
    <row r="201" ht="25.5" customHeight="1">
      <c r="A201" s="26" t="str">
        <f t="shared" si="1"/>
        <v/>
      </c>
      <c r="B201" s="32"/>
      <c r="C201" s="27"/>
      <c r="D201" s="27"/>
      <c r="E201" s="27"/>
      <c r="F201" s="28" t="str">
        <f t="array" ref="F201">IF($E201="","",IFERROR(INDEX('Danh mục thiết bị'!$C$6:$C$65,MATCH($E201,'Danh mục thiết bị'!$B$6:$B$65,0)),"Mã TB không tồn tại"))</f>
        <v/>
      </c>
      <c r="G201" s="28" t="str">
        <f t="array" ref="G201">IF($E201="","",IFERROR(INDEX('Danh mục thiết bị'!$D$6:$D$65,MATCH($E201,'Danh mục thiết bị'!$B$6:$B$65,0)),""))</f>
        <v/>
      </c>
      <c r="H201" s="29"/>
      <c r="I201" s="31"/>
      <c r="J201" s="34"/>
      <c r="K201" s="34"/>
      <c r="L201" s="35"/>
      <c r="M201" s="35"/>
      <c r="N201" s="35"/>
      <c r="O201" s="85" t="str">
        <f t="shared" si="2"/>
        <v/>
      </c>
      <c r="P201" s="29"/>
      <c r="Q201" s="27"/>
      <c r="R201" s="26" t="str">
        <f t="array" ref="R201">IF($E201="","",IF($B201="","Thiếu ngày thực hiện",IF(AND($D201&lt;&gt;"",IFERROR(INDEX('Kế hoạch định kỳ'!$C$6:$C$125,MATCH($D201,'Kế hoạch định kỳ'!$B$6:$B$125,0)),"")&lt;&gt;$E201),"Mã TB không khớp công việc",IF(AND(OR($C201="Bảo trì định kỳ",$C201="Hiệu chuẩn – kiểm định"),$D201=""),"Thiếu mã công việc kế hoạch",IF($Q201="","Thiếu kết quả","OK")))))</f>
        <v/>
      </c>
      <c r="S201" s="29"/>
    </row>
    <row r="202" ht="25.5" customHeight="1">
      <c r="A202" s="10" t="str">
        <f t="shared" si="1"/>
        <v/>
      </c>
      <c r="B202" s="13"/>
      <c r="C202" s="11"/>
      <c r="D202" s="11"/>
      <c r="E202" s="11"/>
      <c r="F202" s="14" t="str">
        <f t="array" ref="F202">IF($E202="","",IFERROR(INDEX('Danh mục thiết bị'!$C$6:$C$65,MATCH($E202,'Danh mục thiết bị'!$B$6:$B$65,0)),"Mã TB không tồn tại"))</f>
        <v/>
      </c>
      <c r="G202" s="14" t="str">
        <f t="array" ref="G202">IF($E202="","",IFERROR(INDEX('Danh mục thiết bị'!$D$6:$D$65,MATCH($E202,'Danh mục thiết bị'!$B$6:$B$65,0)),""))</f>
        <v/>
      </c>
      <c r="H202" s="15"/>
      <c r="I202" s="12"/>
      <c r="J202" s="19"/>
      <c r="K202" s="19"/>
      <c r="L202" s="20"/>
      <c r="M202" s="20"/>
      <c r="N202" s="20"/>
      <c r="O202" s="84" t="str">
        <f t="shared" si="2"/>
        <v/>
      </c>
      <c r="P202" s="15"/>
      <c r="Q202" s="11"/>
      <c r="R202" s="10" t="str">
        <f t="array" ref="R202">IF($E202="","",IF($B202="","Thiếu ngày thực hiện",IF(AND($D202&lt;&gt;"",IFERROR(INDEX('Kế hoạch định kỳ'!$C$6:$C$125,MATCH($D202,'Kế hoạch định kỳ'!$B$6:$B$125,0)),"")&lt;&gt;$E202),"Mã TB không khớp công việc",IF(AND(OR($C202="Bảo trì định kỳ",$C202="Hiệu chuẩn – kiểm định"),$D202=""),"Thiếu mã công việc kế hoạch",IF($Q202="","Thiếu kết quả","OK")))))</f>
        <v/>
      </c>
      <c r="S202" s="15"/>
    </row>
    <row r="203" ht="25.5" customHeight="1">
      <c r="A203" s="26" t="str">
        <f t="shared" si="1"/>
        <v/>
      </c>
      <c r="B203" s="32"/>
      <c r="C203" s="27"/>
      <c r="D203" s="27"/>
      <c r="E203" s="27"/>
      <c r="F203" s="28" t="str">
        <f t="array" ref="F203">IF($E203="","",IFERROR(INDEX('Danh mục thiết bị'!$C$6:$C$65,MATCH($E203,'Danh mục thiết bị'!$B$6:$B$65,0)),"Mã TB không tồn tại"))</f>
        <v/>
      </c>
      <c r="G203" s="28" t="str">
        <f t="array" ref="G203">IF($E203="","",IFERROR(INDEX('Danh mục thiết bị'!$D$6:$D$65,MATCH($E203,'Danh mục thiết bị'!$B$6:$B$65,0)),""))</f>
        <v/>
      </c>
      <c r="H203" s="29"/>
      <c r="I203" s="31"/>
      <c r="J203" s="34"/>
      <c r="K203" s="34"/>
      <c r="L203" s="35"/>
      <c r="M203" s="35"/>
      <c r="N203" s="35"/>
      <c r="O203" s="85" t="str">
        <f t="shared" si="2"/>
        <v/>
      </c>
      <c r="P203" s="29"/>
      <c r="Q203" s="27"/>
      <c r="R203" s="26" t="str">
        <f t="array" ref="R203">IF($E203="","",IF($B203="","Thiếu ngày thực hiện",IF(AND($D203&lt;&gt;"",IFERROR(INDEX('Kế hoạch định kỳ'!$C$6:$C$125,MATCH($D203,'Kế hoạch định kỳ'!$B$6:$B$125,0)),"")&lt;&gt;$E203),"Mã TB không khớp công việc",IF(AND(OR($C203="Bảo trì định kỳ",$C203="Hiệu chuẩn – kiểm định"),$D203=""),"Thiếu mã công việc kế hoạch",IF($Q203="","Thiếu kết quả","OK")))))</f>
        <v/>
      </c>
      <c r="S203" s="29"/>
    </row>
    <row r="204" ht="25.5" customHeight="1">
      <c r="A204" s="10" t="str">
        <f t="shared" si="1"/>
        <v/>
      </c>
      <c r="B204" s="13"/>
      <c r="C204" s="11"/>
      <c r="D204" s="11"/>
      <c r="E204" s="11"/>
      <c r="F204" s="14" t="str">
        <f t="array" ref="F204">IF($E204="","",IFERROR(INDEX('Danh mục thiết bị'!$C$6:$C$65,MATCH($E204,'Danh mục thiết bị'!$B$6:$B$65,0)),"Mã TB không tồn tại"))</f>
        <v/>
      </c>
      <c r="G204" s="14" t="str">
        <f t="array" ref="G204">IF($E204="","",IFERROR(INDEX('Danh mục thiết bị'!$D$6:$D$65,MATCH($E204,'Danh mục thiết bị'!$B$6:$B$65,0)),""))</f>
        <v/>
      </c>
      <c r="H204" s="15"/>
      <c r="I204" s="12"/>
      <c r="J204" s="19"/>
      <c r="K204" s="19"/>
      <c r="L204" s="20"/>
      <c r="M204" s="20"/>
      <c r="N204" s="20"/>
      <c r="O204" s="84" t="str">
        <f t="shared" si="2"/>
        <v/>
      </c>
      <c r="P204" s="15"/>
      <c r="Q204" s="11"/>
      <c r="R204" s="10" t="str">
        <f t="array" ref="R204">IF($E204="","",IF($B204="","Thiếu ngày thực hiện",IF(AND($D204&lt;&gt;"",IFERROR(INDEX('Kế hoạch định kỳ'!$C$6:$C$125,MATCH($D204,'Kế hoạch định kỳ'!$B$6:$B$125,0)),"")&lt;&gt;$E204),"Mã TB không khớp công việc",IF(AND(OR($C204="Bảo trì định kỳ",$C204="Hiệu chuẩn – kiểm định"),$D204=""),"Thiếu mã công việc kế hoạch",IF($Q204="","Thiếu kết quả","OK")))))</f>
        <v/>
      </c>
      <c r="S204" s="15"/>
    </row>
    <row r="205" ht="25.5" customHeight="1">
      <c r="A205" s="26" t="str">
        <f t="shared" si="1"/>
        <v/>
      </c>
      <c r="B205" s="32"/>
      <c r="C205" s="27"/>
      <c r="D205" s="27"/>
      <c r="E205" s="27"/>
      <c r="F205" s="28" t="str">
        <f t="array" ref="F205">IF($E205="","",IFERROR(INDEX('Danh mục thiết bị'!$C$6:$C$65,MATCH($E205,'Danh mục thiết bị'!$B$6:$B$65,0)),"Mã TB không tồn tại"))</f>
        <v/>
      </c>
      <c r="G205" s="28" t="str">
        <f t="array" ref="G205">IF($E205="","",IFERROR(INDEX('Danh mục thiết bị'!$D$6:$D$65,MATCH($E205,'Danh mục thiết bị'!$B$6:$B$65,0)),""))</f>
        <v/>
      </c>
      <c r="H205" s="29"/>
      <c r="I205" s="31"/>
      <c r="J205" s="34"/>
      <c r="K205" s="34"/>
      <c r="L205" s="35"/>
      <c r="M205" s="35"/>
      <c r="N205" s="35"/>
      <c r="O205" s="85" t="str">
        <f t="shared" si="2"/>
        <v/>
      </c>
      <c r="P205" s="29"/>
      <c r="Q205" s="27"/>
      <c r="R205" s="26" t="str">
        <f t="array" ref="R205">IF($E205="","",IF($B205="","Thiếu ngày thực hiện",IF(AND($D205&lt;&gt;"",IFERROR(INDEX('Kế hoạch định kỳ'!$C$6:$C$125,MATCH($D205,'Kế hoạch định kỳ'!$B$6:$B$125,0)),"")&lt;&gt;$E205),"Mã TB không khớp công việc",IF(AND(OR($C205="Bảo trì định kỳ",$C205="Hiệu chuẩn – kiểm định"),$D205=""),"Thiếu mã công việc kế hoạch",IF($Q205="","Thiếu kết quả","OK")))))</f>
        <v/>
      </c>
      <c r="S205" s="29"/>
    </row>
    <row r="206" ht="25.5" customHeight="1">
      <c r="A206" s="10" t="str">
        <f t="shared" si="1"/>
        <v/>
      </c>
      <c r="B206" s="13"/>
      <c r="C206" s="11"/>
      <c r="D206" s="11"/>
      <c r="E206" s="11"/>
      <c r="F206" s="14" t="str">
        <f t="array" ref="F206">IF($E206="","",IFERROR(INDEX('Danh mục thiết bị'!$C$6:$C$65,MATCH($E206,'Danh mục thiết bị'!$B$6:$B$65,0)),"Mã TB không tồn tại"))</f>
        <v/>
      </c>
      <c r="G206" s="14" t="str">
        <f t="array" ref="G206">IF($E206="","",IFERROR(INDEX('Danh mục thiết bị'!$D$6:$D$65,MATCH($E206,'Danh mục thiết bị'!$B$6:$B$65,0)),""))</f>
        <v/>
      </c>
      <c r="H206" s="15"/>
      <c r="I206" s="12"/>
      <c r="J206" s="19"/>
      <c r="K206" s="19"/>
      <c r="L206" s="20"/>
      <c r="M206" s="20"/>
      <c r="N206" s="20"/>
      <c r="O206" s="84" t="str">
        <f t="shared" si="2"/>
        <v/>
      </c>
      <c r="P206" s="15"/>
      <c r="Q206" s="11"/>
      <c r="R206" s="10" t="str">
        <f t="array" ref="R206">IF($E206="","",IF($B206="","Thiếu ngày thực hiện",IF(AND($D206&lt;&gt;"",IFERROR(INDEX('Kế hoạch định kỳ'!$C$6:$C$125,MATCH($D206,'Kế hoạch định kỳ'!$B$6:$B$125,0)),"")&lt;&gt;$E206),"Mã TB không khớp công việc",IF(AND(OR($C206="Bảo trì định kỳ",$C206="Hiệu chuẩn – kiểm định"),$D206=""),"Thiếu mã công việc kế hoạch",IF($Q206="","Thiếu kết quả","OK")))))</f>
        <v/>
      </c>
      <c r="S206" s="15"/>
    </row>
    <row r="207" ht="25.5" customHeight="1">
      <c r="A207" s="26" t="str">
        <f t="shared" si="1"/>
        <v/>
      </c>
      <c r="B207" s="32"/>
      <c r="C207" s="27"/>
      <c r="D207" s="27"/>
      <c r="E207" s="27"/>
      <c r="F207" s="28" t="str">
        <f t="array" ref="F207">IF($E207="","",IFERROR(INDEX('Danh mục thiết bị'!$C$6:$C$65,MATCH($E207,'Danh mục thiết bị'!$B$6:$B$65,0)),"Mã TB không tồn tại"))</f>
        <v/>
      </c>
      <c r="G207" s="28" t="str">
        <f t="array" ref="G207">IF($E207="","",IFERROR(INDEX('Danh mục thiết bị'!$D$6:$D$65,MATCH($E207,'Danh mục thiết bị'!$B$6:$B$65,0)),""))</f>
        <v/>
      </c>
      <c r="H207" s="29"/>
      <c r="I207" s="31"/>
      <c r="J207" s="34"/>
      <c r="K207" s="34"/>
      <c r="L207" s="35"/>
      <c r="M207" s="35"/>
      <c r="N207" s="35"/>
      <c r="O207" s="85" t="str">
        <f t="shared" si="2"/>
        <v/>
      </c>
      <c r="P207" s="29"/>
      <c r="Q207" s="27"/>
      <c r="R207" s="26" t="str">
        <f t="array" ref="R207">IF($E207="","",IF($B207="","Thiếu ngày thực hiện",IF(AND($D207&lt;&gt;"",IFERROR(INDEX('Kế hoạch định kỳ'!$C$6:$C$125,MATCH($D207,'Kế hoạch định kỳ'!$B$6:$B$125,0)),"")&lt;&gt;$E207),"Mã TB không khớp công việc",IF(AND(OR($C207="Bảo trì định kỳ",$C207="Hiệu chuẩn – kiểm định"),$D207=""),"Thiếu mã công việc kế hoạch",IF($Q207="","Thiếu kết quả","OK")))))</f>
        <v/>
      </c>
      <c r="S207" s="29"/>
    </row>
    <row r="208" ht="25.5" customHeight="1">
      <c r="A208" s="10" t="str">
        <f t="shared" si="1"/>
        <v/>
      </c>
      <c r="B208" s="13"/>
      <c r="C208" s="11"/>
      <c r="D208" s="11"/>
      <c r="E208" s="11"/>
      <c r="F208" s="14" t="str">
        <f t="array" ref="F208">IF($E208="","",IFERROR(INDEX('Danh mục thiết bị'!$C$6:$C$65,MATCH($E208,'Danh mục thiết bị'!$B$6:$B$65,0)),"Mã TB không tồn tại"))</f>
        <v/>
      </c>
      <c r="G208" s="14" t="str">
        <f t="array" ref="G208">IF($E208="","",IFERROR(INDEX('Danh mục thiết bị'!$D$6:$D$65,MATCH($E208,'Danh mục thiết bị'!$B$6:$B$65,0)),""))</f>
        <v/>
      </c>
      <c r="H208" s="15"/>
      <c r="I208" s="12"/>
      <c r="J208" s="19"/>
      <c r="K208" s="19"/>
      <c r="L208" s="20"/>
      <c r="M208" s="20"/>
      <c r="N208" s="20"/>
      <c r="O208" s="84" t="str">
        <f t="shared" si="2"/>
        <v/>
      </c>
      <c r="P208" s="15"/>
      <c r="Q208" s="11"/>
      <c r="R208" s="10" t="str">
        <f t="array" ref="R208">IF($E208="","",IF($B208="","Thiếu ngày thực hiện",IF(AND($D208&lt;&gt;"",IFERROR(INDEX('Kế hoạch định kỳ'!$C$6:$C$125,MATCH($D208,'Kế hoạch định kỳ'!$B$6:$B$125,0)),"")&lt;&gt;$E208),"Mã TB không khớp công việc",IF(AND(OR($C208="Bảo trì định kỳ",$C208="Hiệu chuẩn – kiểm định"),$D208=""),"Thiếu mã công việc kế hoạch",IF($Q208="","Thiếu kết quả","OK")))))</f>
        <v/>
      </c>
      <c r="S208" s="15"/>
    </row>
    <row r="209" ht="25.5" customHeight="1">
      <c r="A209" s="26" t="str">
        <f t="shared" si="1"/>
        <v/>
      </c>
      <c r="B209" s="32"/>
      <c r="C209" s="27"/>
      <c r="D209" s="27"/>
      <c r="E209" s="27"/>
      <c r="F209" s="28" t="str">
        <f t="array" ref="F209">IF($E209="","",IFERROR(INDEX('Danh mục thiết bị'!$C$6:$C$65,MATCH($E209,'Danh mục thiết bị'!$B$6:$B$65,0)),"Mã TB không tồn tại"))</f>
        <v/>
      </c>
      <c r="G209" s="28" t="str">
        <f t="array" ref="G209">IF($E209="","",IFERROR(INDEX('Danh mục thiết bị'!$D$6:$D$65,MATCH($E209,'Danh mục thiết bị'!$B$6:$B$65,0)),""))</f>
        <v/>
      </c>
      <c r="H209" s="29"/>
      <c r="I209" s="31"/>
      <c r="J209" s="34"/>
      <c r="K209" s="34"/>
      <c r="L209" s="35"/>
      <c r="M209" s="35"/>
      <c r="N209" s="35"/>
      <c r="O209" s="85" t="str">
        <f t="shared" si="2"/>
        <v/>
      </c>
      <c r="P209" s="29"/>
      <c r="Q209" s="27"/>
      <c r="R209" s="26" t="str">
        <f t="array" ref="R209">IF($E209="","",IF($B209="","Thiếu ngày thực hiện",IF(AND($D209&lt;&gt;"",IFERROR(INDEX('Kế hoạch định kỳ'!$C$6:$C$125,MATCH($D209,'Kế hoạch định kỳ'!$B$6:$B$125,0)),"")&lt;&gt;$E209),"Mã TB không khớp công việc",IF(AND(OR($C209="Bảo trì định kỳ",$C209="Hiệu chuẩn – kiểm định"),$D209=""),"Thiếu mã công việc kế hoạch",IF($Q209="","Thiếu kết quả","OK")))))</f>
        <v/>
      </c>
      <c r="S209" s="29"/>
    </row>
    <row r="210" ht="25.5" customHeight="1">
      <c r="A210" s="10" t="str">
        <f t="shared" si="1"/>
        <v/>
      </c>
      <c r="B210" s="13"/>
      <c r="C210" s="11"/>
      <c r="D210" s="11"/>
      <c r="E210" s="11"/>
      <c r="F210" s="14" t="str">
        <f t="array" ref="F210">IF($E210="","",IFERROR(INDEX('Danh mục thiết bị'!$C$6:$C$65,MATCH($E210,'Danh mục thiết bị'!$B$6:$B$65,0)),"Mã TB không tồn tại"))</f>
        <v/>
      </c>
      <c r="G210" s="14" t="str">
        <f t="array" ref="G210">IF($E210="","",IFERROR(INDEX('Danh mục thiết bị'!$D$6:$D$65,MATCH($E210,'Danh mục thiết bị'!$B$6:$B$65,0)),""))</f>
        <v/>
      </c>
      <c r="H210" s="15"/>
      <c r="I210" s="12"/>
      <c r="J210" s="19"/>
      <c r="K210" s="19"/>
      <c r="L210" s="20"/>
      <c r="M210" s="20"/>
      <c r="N210" s="20"/>
      <c r="O210" s="84" t="str">
        <f t="shared" si="2"/>
        <v/>
      </c>
      <c r="P210" s="15"/>
      <c r="Q210" s="11"/>
      <c r="R210" s="10" t="str">
        <f t="array" ref="R210">IF($E210="","",IF($B210="","Thiếu ngày thực hiện",IF(AND($D210&lt;&gt;"",IFERROR(INDEX('Kế hoạch định kỳ'!$C$6:$C$125,MATCH($D210,'Kế hoạch định kỳ'!$B$6:$B$125,0)),"")&lt;&gt;$E210),"Mã TB không khớp công việc",IF(AND(OR($C210="Bảo trì định kỳ",$C210="Hiệu chuẩn – kiểm định"),$D210=""),"Thiếu mã công việc kế hoạch",IF($Q210="","Thiếu kết quả","OK")))))</f>
        <v/>
      </c>
      <c r="S210" s="15"/>
    </row>
    <row r="211" ht="25.5" customHeight="1">
      <c r="A211" s="26" t="str">
        <f t="shared" si="1"/>
        <v/>
      </c>
      <c r="B211" s="32"/>
      <c r="C211" s="27"/>
      <c r="D211" s="27"/>
      <c r="E211" s="27"/>
      <c r="F211" s="28" t="str">
        <f t="array" ref="F211">IF($E211="","",IFERROR(INDEX('Danh mục thiết bị'!$C$6:$C$65,MATCH($E211,'Danh mục thiết bị'!$B$6:$B$65,0)),"Mã TB không tồn tại"))</f>
        <v/>
      </c>
      <c r="G211" s="28" t="str">
        <f t="array" ref="G211">IF($E211="","",IFERROR(INDEX('Danh mục thiết bị'!$D$6:$D$65,MATCH($E211,'Danh mục thiết bị'!$B$6:$B$65,0)),""))</f>
        <v/>
      </c>
      <c r="H211" s="29"/>
      <c r="I211" s="31"/>
      <c r="J211" s="34"/>
      <c r="K211" s="34"/>
      <c r="L211" s="35"/>
      <c r="M211" s="35"/>
      <c r="N211" s="35"/>
      <c r="O211" s="85" t="str">
        <f t="shared" si="2"/>
        <v/>
      </c>
      <c r="P211" s="29"/>
      <c r="Q211" s="27"/>
      <c r="R211" s="26" t="str">
        <f t="array" ref="R211">IF($E211="","",IF($B211="","Thiếu ngày thực hiện",IF(AND($D211&lt;&gt;"",IFERROR(INDEX('Kế hoạch định kỳ'!$C$6:$C$125,MATCH($D211,'Kế hoạch định kỳ'!$B$6:$B$125,0)),"")&lt;&gt;$E211),"Mã TB không khớp công việc",IF(AND(OR($C211="Bảo trì định kỳ",$C211="Hiệu chuẩn – kiểm định"),$D211=""),"Thiếu mã công việc kế hoạch",IF($Q211="","Thiếu kết quả","OK")))))</f>
        <v/>
      </c>
      <c r="S211" s="29"/>
    </row>
    <row r="212" ht="25.5" customHeight="1">
      <c r="A212" s="10" t="str">
        <f t="shared" si="1"/>
        <v/>
      </c>
      <c r="B212" s="13"/>
      <c r="C212" s="11"/>
      <c r="D212" s="11"/>
      <c r="E212" s="11"/>
      <c r="F212" s="14" t="str">
        <f t="array" ref="F212">IF($E212="","",IFERROR(INDEX('Danh mục thiết bị'!$C$6:$C$65,MATCH($E212,'Danh mục thiết bị'!$B$6:$B$65,0)),"Mã TB không tồn tại"))</f>
        <v/>
      </c>
      <c r="G212" s="14" t="str">
        <f t="array" ref="G212">IF($E212="","",IFERROR(INDEX('Danh mục thiết bị'!$D$6:$D$65,MATCH($E212,'Danh mục thiết bị'!$B$6:$B$65,0)),""))</f>
        <v/>
      </c>
      <c r="H212" s="15"/>
      <c r="I212" s="12"/>
      <c r="J212" s="19"/>
      <c r="K212" s="19"/>
      <c r="L212" s="20"/>
      <c r="M212" s="20"/>
      <c r="N212" s="20"/>
      <c r="O212" s="84" t="str">
        <f t="shared" si="2"/>
        <v/>
      </c>
      <c r="P212" s="15"/>
      <c r="Q212" s="11"/>
      <c r="R212" s="10" t="str">
        <f t="array" ref="R212">IF($E212="","",IF($B212="","Thiếu ngày thực hiện",IF(AND($D212&lt;&gt;"",IFERROR(INDEX('Kế hoạch định kỳ'!$C$6:$C$125,MATCH($D212,'Kế hoạch định kỳ'!$B$6:$B$125,0)),"")&lt;&gt;$E212),"Mã TB không khớp công việc",IF(AND(OR($C212="Bảo trì định kỳ",$C212="Hiệu chuẩn – kiểm định"),$D212=""),"Thiếu mã công việc kế hoạch",IF($Q212="","Thiếu kết quả","OK")))))</f>
        <v/>
      </c>
      <c r="S212" s="15"/>
    </row>
    <row r="213" ht="25.5" customHeight="1">
      <c r="A213" s="26" t="str">
        <f t="shared" si="1"/>
        <v/>
      </c>
      <c r="B213" s="32"/>
      <c r="C213" s="27"/>
      <c r="D213" s="27"/>
      <c r="E213" s="27"/>
      <c r="F213" s="28" t="str">
        <f t="array" ref="F213">IF($E213="","",IFERROR(INDEX('Danh mục thiết bị'!$C$6:$C$65,MATCH($E213,'Danh mục thiết bị'!$B$6:$B$65,0)),"Mã TB không tồn tại"))</f>
        <v/>
      </c>
      <c r="G213" s="28" t="str">
        <f t="array" ref="G213">IF($E213="","",IFERROR(INDEX('Danh mục thiết bị'!$D$6:$D$65,MATCH($E213,'Danh mục thiết bị'!$B$6:$B$65,0)),""))</f>
        <v/>
      </c>
      <c r="H213" s="29"/>
      <c r="I213" s="31"/>
      <c r="J213" s="34"/>
      <c r="K213" s="34"/>
      <c r="L213" s="35"/>
      <c r="M213" s="35"/>
      <c r="N213" s="35"/>
      <c r="O213" s="85" t="str">
        <f t="shared" si="2"/>
        <v/>
      </c>
      <c r="P213" s="29"/>
      <c r="Q213" s="27"/>
      <c r="R213" s="26" t="str">
        <f t="array" ref="R213">IF($E213="","",IF($B213="","Thiếu ngày thực hiện",IF(AND($D213&lt;&gt;"",IFERROR(INDEX('Kế hoạch định kỳ'!$C$6:$C$125,MATCH($D213,'Kế hoạch định kỳ'!$B$6:$B$125,0)),"")&lt;&gt;$E213),"Mã TB không khớp công việc",IF(AND(OR($C213="Bảo trì định kỳ",$C213="Hiệu chuẩn – kiểm định"),$D213=""),"Thiếu mã công việc kế hoạch",IF($Q213="","Thiếu kết quả","OK")))))</f>
        <v/>
      </c>
      <c r="S213" s="29"/>
    </row>
    <row r="214" ht="25.5" customHeight="1">
      <c r="A214" s="10" t="str">
        <f t="shared" si="1"/>
        <v/>
      </c>
      <c r="B214" s="13"/>
      <c r="C214" s="11"/>
      <c r="D214" s="11"/>
      <c r="E214" s="11"/>
      <c r="F214" s="14" t="str">
        <f t="array" ref="F214">IF($E214="","",IFERROR(INDEX('Danh mục thiết bị'!$C$6:$C$65,MATCH($E214,'Danh mục thiết bị'!$B$6:$B$65,0)),"Mã TB không tồn tại"))</f>
        <v/>
      </c>
      <c r="G214" s="14" t="str">
        <f t="array" ref="G214">IF($E214="","",IFERROR(INDEX('Danh mục thiết bị'!$D$6:$D$65,MATCH($E214,'Danh mục thiết bị'!$B$6:$B$65,0)),""))</f>
        <v/>
      </c>
      <c r="H214" s="15"/>
      <c r="I214" s="12"/>
      <c r="J214" s="19"/>
      <c r="K214" s="19"/>
      <c r="L214" s="20"/>
      <c r="M214" s="20"/>
      <c r="N214" s="20"/>
      <c r="O214" s="84" t="str">
        <f t="shared" si="2"/>
        <v/>
      </c>
      <c r="P214" s="15"/>
      <c r="Q214" s="11"/>
      <c r="R214" s="10" t="str">
        <f t="array" ref="R214">IF($E214="","",IF($B214="","Thiếu ngày thực hiện",IF(AND($D214&lt;&gt;"",IFERROR(INDEX('Kế hoạch định kỳ'!$C$6:$C$125,MATCH($D214,'Kế hoạch định kỳ'!$B$6:$B$125,0)),"")&lt;&gt;$E214),"Mã TB không khớp công việc",IF(AND(OR($C214="Bảo trì định kỳ",$C214="Hiệu chuẩn – kiểm định"),$D214=""),"Thiếu mã công việc kế hoạch",IF($Q214="","Thiếu kết quả","OK")))))</f>
        <v/>
      </c>
      <c r="S214" s="15"/>
    </row>
    <row r="215" ht="25.5" customHeight="1">
      <c r="A215" s="26" t="str">
        <f t="shared" si="1"/>
        <v/>
      </c>
      <c r="B215" s="32"/>
      <c r="C215" s="27"/>
      <c r="D215" s="27"/>
      <c r="E215" s="27"/>
      <c r="F215" s="28" t="str">
        <f t="array" ref="F215">IF($E215="","",IFERROR(INDEX('Danh mục thiết bị'!$C$6:$C$65,MATCH($E215,'Danh mục thiết bị'!$B$6:$B$65,0)),"Mã TB không tồn tại"))</f>
        <v/>
      </c>
      <c r="G215" s="28" t="str">
        <f t="array" ref="G215">IF($E215="","",IFERROR(INDEX('Danh mục thiết bị'!$D$6:$D$65,MATCH($E215,'Danh mục thiết bị'!$B$6:$B$65,0)),""))</f>
        <v/>
      </c>
      <c r="H215" s="29"/>
      <c r="I215" s="31"/>
      <c r="J215" s="34"/>
      <c r="K215" s="34"/>
      <c r="L215" s="35"/>
      <c r="M215" s="35"/>
      <c r="N215" s="35"/>
      <c r="O215" s="85" t="str">
        <f t="shared" si="2"/>
        <v/>
      </c>
      <c r="P215" s="29"/>
      <c r="Q215" s="27"/>
      <c r="R215" s="26" t="str">
        <f t="array" ref="R215">IF($E215="","",IF($B215="","Thiếu ngày thực hiện",IF(AND($D215&lt;&gt;"",IFERROR(INDEX('Kế hoạch định kỳ'!$C$6:$C$125,MATCH($D215,'Kế hoạch định kỳ'!$B$6:$B$125,0)),"")&lt;&gt;$E215),"Mã TB không khớp công việc",IF(AND(OR($C215="Bảo trì định kỳ",$C215="Hiệu chuẩn – kiểm định"),$D215=""),"Thiếu mã công việc kế hoạch",IF($Q215="","Thiếu kết quả","OK")))))</f>
        <v/>
      </c>
      <c r="S215" s="29"/>
    </row>
    <row r="216" ht="25.5" customHeight="1">
      <c r="A216" s="10" t="str">
        <f t="shared" si="1"/>
        <v/>
      </c>
      <c r="B216" s="13"/>
      <c r="C216" s="11"/>
      <c r="D216" s="11"/>
      <c r="E216" s="11"/>
      <c r="F216" s="14" t="str">
        <f t="array" ref="F216">IF($E216="","",IFERROR(INDEX('Danh mục thiết bị'!$C$6:$C$65,MATCH($E216,'Danh mục thiết bị'!$B$6:$B$65,0)),"Mã TB không tồn tại"))</f>
        <v/>
      </c>
      <c r="G216" s="14" t="str">
        <f t="array" ref="G216">IF($E216="","",IFERROR(INDEX('Danh mục thiết bị'!$D$6:$D$65,MATCH($E216,'Danh mục thiết bị'!$B$6:$B$65,0)),""))</f>
        <v/>
      </c>
      <c r="H216" s="15"/>
      <c r="I216" s="12"/>
      <c r="J216" s="19"/>
      <c r="K216" s="19"/>
      <c r="L216" s="20"/>
      <c r="M216" s="20"/>
      <c r="N216" s="20"/>
      <c r="O216" s="84" t="str">
        <f t="shared" si="2"/>
        <v/>
      </c>
      <c r="P216" s="15"/>
      <c r="Q216" s="11"/>
      <c r="R216" s="10" t="str">
        <f t="array" ref="R216">IF($E216="","",IF($B216="","Thiếu ngày thực hiện",IF(AND($D216&lt;&gt;"",IFERROR(INDEX('Kế hoạch định kỳ'!$C$6:$C$125,MATCH($D216,'Kế hoạch định kỳ'!$B$6:$B$125,0)),"")&lt;&gt;$E216),"Mã TB không khớp công việc",IF(AND(OR($C216="Bảo trì định kỳ",$C216="Hiệu chuẩn – kiểm định"),$D216=""),"Thiếu mã công việc kế hoạch",IF($Q216="","Thiếu kết quả","OK")))))</f>
        <v/>
      </c>
      <c r="S216" s="15"/>
    </row>
    <row r="217" ht="25.5" customHeight="1">
      <c r="A217" s="26" t="str">
        <f t="shared" si="1"/>
        <v/>
      </c>
      <c r="B217" s="32"/>
      <c r="C217" s="27"/>
      <c r="D217" s="27"/>
      <c r="E217" s="27"/>
      <c r="F217" s="28" t="str">
        <f t="array" ref="F217">IF($E217="","",IFERROR(INDEX('Danh mục thiết bị'!$C$6:$C$65,MATCH($E217,'Danh mục thiết bị'!$B$6:$B$65,0)),"Mã TB không tồn tại"))</f>
        <v/>
      </c>
      <c r="G217" s="28" t="str">
        <f t="array" ref="G217">IF($E217="","",IFERROR(INDEX('Danh mục thiết bị'!$D$6:$D$65,MATCH($E217,'Danh mục thiết bị'!$B$6:$B$65,0)),""))</f>
        <v/>
      </c>
      <c r="H217" s="29"/>
      <c r="I217" s="31"/>
      <c r="J217" s="34"/>
      <c r="K217" s="34"/>
      <c r="L217" s="35"/>
      <c r="M217" s="35"/>
      <c r="N217" s="35"/>
      <c r="O217" s="85" t="str">
        <f t="shared" si="2"/>
        <v/>
      </c>
      <c r="P217" s="29"/>
      <c r="Q217" s="27"/>
      <c r="R217" s="26" t="str">
        <f t="array" ref="R217">IF($E217="","",IF($B217="","Thiếu ngày thực hiện",IF(AND($D217&lt;&gt;"",IFERROR(INDEX('Kế hoạch định kỳ'!$C$6:$C$125,MATCH($D217,'Kế hoạch định kỳ'!$B$6:$B$125,0)),"")&lt;&gt;$E217),"Mã TB không khớp công việc",IF(AND(OR($C217="Bảo trì định kỳ",$C217="Hiệu chuẩn – kiểm định"),$D217=""),"Thiếu mã công việc kế hoạch",IF($Q217="","Thiếu kết quả","OK")))))</f>
        <v/>
      </c>
      <c r="S217" s="29"/>
    </row>
    <row r="218" ht="25.5" customHeight="1">
      <c r="A218" s="10" t="str">
        <f t="shared" si="1"/>
        <v/>
      </c>
      <c r="B218" s="13"/>
      <c r="C218" s="11"/>
      <c r="D218" s="11"/>
      <c r="E218" s="11"/>
      <c r="F218" s="14" t="str">
        <f t="array" ref="F218">IF($E218="","",IFERROR(INDEX('Danh mục thiết bị'!$C$6:$C$65,MATCH($E218,'Danh mục thiết bị'!$B$6:$B$65,0)),"Mã TB không tồn tại"))</f>
        <v/>
      </c>
      <c r="G218" s="14" t="str">
        <f t="array" ref="G218">IF($E218="","",IFERROR(INDEX('Danh mục thiết bị'!$D$6:$D$65,MATCH($E218,'Danh mục thiết bị'!$B$6:$B$65,0)),""))</f>
        <v/>
      </c>
      <c r="H218" s="15"/>
      <c r="I218" s="12"/>
      <c r="J218" s="19"/>
      <c r="K218" s="19"/>
      <c r="L218" s="20"/>
      <c r="M218" s="20"/>
      <c r="N218" s="20"/>
      <c r="O218" s="84" t="str">
        <f t="shared" si="2"/>
        <v/>
      </c>
      <c r="P218" s="15"/>
      <c r="Q218" s="11"/>
      <c r="R218" s="10" t="str">
        <f t="array" ref="R218">IF($E218="","",IF($B218="","Thiếu ngày thực hiện",IF(AND($D218&lt;&gt;"",IFERROR(INDEX('Kế hoạch định kỳ'!$C$6:$C$125,MATCH($D218,'Kế hoạch định kỳ'!$B$6:$B$125,0)),"")&lt;&gt;$E218),"Mã TB không khớp công việc",IF(AND(OR($C218="Bảo trì định kỳ",$C218="Hiệu chuẩn – kiểm định"),$D218=""),"Thiếu mã công việc kế hoạch",IF($Q218="","Thiếu kết quả","OK")))))</f>
        <v/>
      </c>
      <c r="S218" s="15"/>
    </row>
    <row r="219" ht="25.5" customHeight="1">
      <c r="A219" s="26" t="str">
        <f t="shared" si="1"/>
        <v/>
      </c>
      <c r="B219" s="32"/>
      <c r="C219" s="27"/>
      <c r="D219" s="27"/>
      <c r="E219" s="27"/>
      <c r="F219" s="28" t="str">
        <f t="array" ref="F219">IF($E219="","",IFERROR(INDEX('Danh mục thiết bị'!$C$6:$C$65,MATCH($E219,'Danh mục thiết bị'!$B$6:$B$65,0)),"Mã TB không tồn tại"))</f>
        <v/>
      </c>
      <c r="G219" s="28" t="str">
        <f t="array" ref="G219">IF($E219="","",IFERROR(INDEX('Danh mục thiết bị'!$D$6:$D$65,MATCH($E219,'Danh mục thiết bị'!$B$6:$B$65,0)),""))</f>
        <v/>
      </c>
      <c r="H219" s="29"/>
      <c r="I219" s="31"/>
      <c r="J219" s="34"/>
      <c r="K219" s="34"/>
      <c r="L219" s="35"/>
      <c r="M219" s="35"/>
      <c r="N219" s="35"/>
      <c r="O219" s="85" t="str">
        <f t="shared" si="2"/>
        <v/>
      </c>
      <c r="P219" s="29"/>
      <c r="Q219" s="27"/>
      <c r="R219" s="26" t="str">
        <f t="array" ref="R219">IF($E219="","",IF($B219="","Thiếu ngày thực hiện",IF(AND($D219&lt;&gt;"",IFERROR(INDEX('Kế hoạch định kỳ'!$C$6:$C$125,MATCH($D219,'Kế hoạch định kỳ'!$B$6:$B$125,0)),"")&lt;&gt;$E219),"Mã TB không khớp công việc",IF(AND(OR($C219="Bảo trì định kỳ",$C219="Hiệu chuẩn – kiểm định"),$D219=""),"Thiếu mã công việc kế hoạch",IF($Q219="","Thiếu kết quả","OK")))))</f>
        <v/>
      </c>
      <c r="S219" s="29"/>
    </row>
    <row r="220" ht="25.5" customHeight="1">
      <c r="A220" s="10" t="str">
        <f t="shared" si="1"/>
        <v/>
      </c>
      <c r="B220" s="13"/>
      <c r="C220" s="11"/>
      <c r="D220" s="11"/>
      <c r="E220" s="11"/>
      <c r="F220" s="14" t="str">
        <f t="array" ref="F220">IF($E220="","",IFERROR(INDEX('Danh mục thiết bị'!$C$6:$C$65,MATCH($E220,'Danh mục thiết bị'!$B$6:$B$65,0)),"Mã TB không tồn tại"))</f>
        <v/>
      </c>
      <c r="G220" s="14" t="str">
        <f t="array" ref="G220">IF($E220="","",IFERROR(INDEX('Danh mục thiết bị'!$D$6:$D$65,MATCH($E220,'Danh mục thiết bị'!$B$6:$B$65,0)),""))</f>
        <v/>
      </c>
      <c r="H220" s="15"/>
      <c r="I220" s="12"/>
      <c r="J220" s="19"/>
      <c r="K220" s="19"/>
      <c r="L220" s="20"/>
      <c r="M220" s="20"/>
      <c r="N220" s="20"/>
      <c r="O220" s="84" t="str">
        <f t="shared" si="2"/>
        <v/>
      </c>
      <c r="P220" s="15"/>
      <c r="Q220" s="11"/>
      <c r="R220" s="10" t="str">
        <f t="array" ref="R220">IF($E220="","",IF($B220="","Thiếu ngày thực hiện",IF(AND($D220&lt;&gt;"",IFERROR(INDEX('Kế hoạch định kỳ'!$C$6:$C$125,MATCH($D220,'Kế hoạch định kỳ'!$B$6:$B$125,0)),"")&lt;&gt;$E220),"Mã TB không khớp công việc",IF(AND(OR($C220="Bảo trì định kỳ",$C220="Hiệu chuẩn – kiểm định"),$D220=""),"Thiếu mã công việc kế hoạch",IF($Q220="","Thiếu kết quả","OK")))))</f>
        <v/>
      </c>
      <c r="S220" s="15"/>
    </row>
    <row r="221" ht="25.5" customHeight="1">
      <c r="A221" s="26" t="str">
        <f t="shared" si="1"/>
        <v/>
      </c>
      <c r="B221" s="32"/>
      <c r="C221" s="27"/>
      <c r="D221" s="27"/>
      <c r="E221" s="27"/>
      <c r="F221" s="28" t="str">
        <f t="array" ref="F221">IF($E221="","",IFERROR(INDEX('Danh mục thiết bị'!$C$6:$C$65,MATCH($E221,'Danh mục thiết bị'!$B$6:$B$65,0)),"Mã TB không tồn tại"))</f>
        <v/>
      </c>
      <c r="G221" s="28" t="str">
        <f t="array" ref="G221">IF($E221="","",IFERROR(INDEX('Danh mục thiết bị'!$D$6:$D$65,MATCH($E221,'Danh mục thiết bị'!$B$6:$B$65,0)),""))</f>
        <v/>
      </c>
      <c r="H221" s="29"/>
      <c r="I221" s="31"/>
      <c r="J221" s="34"/>
      <c r="K221" s="34"/>
      <c r="L221" s="35"/>
      <c r="M221" s="35"/>
      <c r="N221" s="35"/>
      <c r="O221" s="85" t="str">
        <f t="shared" si="2"/>
        <v/>
      </c>
      <c r="P221" s="29"/>
      <c r="Q221" s="27"/>
      <c r="R221" s="26" t="str">
        <f t="array" ref="R221">IF($E221="","",IF($B221="","Thiếu ngày thực hiện",IF(AND($D221&lt;&gt;"",IFERROR(INDEX('Kế hoạch định kỳ'!$C$6:$C$125,MATCH($D221,'Kế hoạch định kỳ'!$B$6:$B$125,0)),"")&lt;&gt;$E221),"Mã TB không khớp công việc",IF(AND(OR($C221="Bảo trì định kỳ",$C221="Hiệu chuẩn – kiểm định"),$D221=""),"Thiếu mã công việc kế hoạch",IF($Q221="","Thiếu kết quả","OK")))))</f>
        <v/>
      </c>
      <c r="S221" s="29"/>
    </row>
    <row r="222" ht="25.5" customHeight="1">
      <c r="A222" s="10" t="str">
        <f t="shared" si="1"/>
        <v/>
      </c>
      <c r="B222" s="13"/>
      <c r="C222" s="11"/>
      <c r="D222" s="11"/>
      <c r="E222" s="11"/>
      <c r="F222" s="14" t="str">
        <f t="array" ref="F222">IF($E222="","",IFERROR(INDEX('Danh mục thiết bị'!$C$6:$C$65,MATCH($E222,'Danh mục thiết bị'!$B$6:$B$65,0)),"Mã TB không tồn tại"))</f>
        <v/>
      </c>
      <c r="G222" s="14" t="str">
        <f t="array" ref="G222">IF($E222="","",IFERROR(INDEX('Danh mục thiết bị'!$D$6:$D$65,MATCH($E222,'Danh mục thiết bị'!$B$6:$B$65,0)),""))</f>
        <v/>
      </c>
      <c r="H222" s="15"/>
      <c r="I222" s="12"/>
      <c r="J222" s="19"/>
      <c r="K222" s="19"/>
      <c r="L222" s="20"/>
      <c r="M222" s="20"/>
      <c r="N222" s="20"/>
      <c r="O222" s="84" t="str">
        <f t="shared" si="2"/>
        <v/>
      </c>
      <c r="P222" s="15"/>
      <c r="Q222" s="11"/>
      <c r="R222" s="10" t="str">
        <f t="array" ref="R222">IF($E222="","",IF($B222="","Thiếu ngày thực hiện",IF(AND($D222&lt;&gt;"",IFERROR(INDEX('Kế hoạch định kỳ'!$C$6:$C$125,MATCH($D222,'Kế hoạch định kỳ'!$B$6:$B$125,0)),"")&lt;&gt;$E222),"Mã TB không khớp công việc",IF(AND(OR($C222="Bảo trì định kỳ",$C222="Hiệu chuẩn – kiểm định"),$D222=""),"Thiếu mã công việc kế hoạch",IF($Q222="","Thiếu kết quả","OK")))))</f>
        <v/>
      </c>
      <c r="S222" s="15"/>
    </row>
    <row r="223" ht="25.5" customHeight="1">
      <c r="A223" s="26" t="str">
        <f t="shared" si="1"/>
        <v/>
      </c>
      <c r="B223" s="32"/>
      <c r="C223" s="27"/>
      <c r="D223" s="27"/>
      <c r="E223" s="27"/>
      <c r="F223" s="28" t="str">
        <f t="array" ref="F223">IF($E223="","",IFERROR(INDEX('Danh mục thiết bị'!$C$6:$C$65,MATCH($E223,'Danh mục thiết bị'!$B$6:$B$65,0)),"Mã TB không tồn tại"))</f>
        <v/>
      </c>
      <c r="G223" s="28" t="str">
        <f t="array" ref="G223">IF($E223="","",IFERROR(INDEX('Danh mục thiết bị'!$D$6:$D$65,MATCH($E223,'Danh mục thiết bị'!$B$6:$B$65,0)),""))</f>
        <v/>
      </c>
      <c r="H223" s="29"/>
      <c r="I223" s="31"/>
      <c r="J223" s="34"/>
      <c r="K223" s="34"/>
      <c r="L223" s="35"/>
      <c r="M223" s="35"/>
      <c r="N223" s="35"/>
      <c r="O223" s="85" t="str">
        <f t="shared" si="2"/>
        <v/>
      </c>
      <c r="P223" s="29"/>
      <c r="Q223" s="27"/>
      <c r="R223" s="26" t="str">
        <f t="array" ref="R223">IF($E223="","",IF($B223="","Thiếu ngày thực hiện",IF(AND($D223&lt;&gt;"",IFERROR(INDEX('Kế hoạch định kỳ'!$C$6:$C$125,MATCH($D223,'Kế hoạch định kỳ'!$B$6:$B$125,0)),"")&lt;&gt;$E223),"Mã TB không khớp công việc",IF(AND(OR($C223="Bảo trì định kỳ",$C223="Hiệu chuẩn – kiểm định"),$D223=""),"Thiếu mã công việc kế hoạch",IF($Q223="","Thiếu kết quả","OK")))))</f>
        <v/>
      </c>
      <c r="S223" s="29"/>
    </row>
    <row r="224" ht="25.5" customHeight="1">
      <c r="A224" s="10" t="str">
        <f t="shared" si="1"/>
        <v/>
      </c>
      <c r="B224" s="13"/>
      <c r="C224" s="11"/>
      <c r="D224" s="11"/>
      <c r="E224" s="11"/>
      <c r="F224" s="14" t="str">
        <f t="array" ref="F224">IF($E224="","",IFERROR(INDEX('Danh mục thiết bị'!$C$6:$C$65,MATCH($E224,'Danh mục thiết bị'!$B$6:$B$65,0)),"Mã TB không tồn tại"))</f>
        <v/>
      </c>
      <c r="G224" s="14" t="str">
        <f t="array" ref="G224">IF($E224="","",IFERROR(INDEX('Danh mục thiết bị'!$D$6:$D$65,MATCH($E224,'Danh mục thiết bị'!$B$6:$B$65,0)),""))</f>
        <v/>
      </c>
      <c r="H224" s="15"/>
      <c r="I224" s="12"/>
      <c r="J224" s="19"/>
      <c r="K224" s="19"/>
      <c r="L224" s="20"/>
      <c r="M224" s="20"/>
      <c r="N224" s="20"/>
      <c r="O224" s="84" t="str">
        <f t="shared" si="2"/>
        <v/>
      </c>
      <c r="P224" s="15"/>
      <c r="Q224" s="11"/>
      <c r="R224" s="10" t="str">
        <f t="array" ref="R224">IF($E224="","",IF($B224="","Thiếu ngày thực hiện",IF(AND($D224&lt;&gt;"",IFERROR(INDEX('Kế hoạch định kỳ'!$C$6:$C$125,MATCH($D224,'Kế hoạch định kỳ'!$B$6:$B$125,0)),"")&lt;&gt;$E224),"Mã TB không khớp công việc",IF(AND(OR($C224="Bảo trì định kỳ",$C224="Hiệu chuẩn – kiểm định"),$D224=""),"Thiếu mã công việc kế hoạch",IF($Q224="","Thiếu kết quả","OK")))))</f>
        <v/>
      </c>
      <c r="S224" s="15"/>
    </row>
    <row r="225" ht="25.5" customHeight="1">
      <c r="A225" s="26" t="str">
        <f t="shared" si="1"/>
        <v/>
      </c>
      <c r="B225" s="32"/>
      <c r="C225" s="27"/>
      <c r="D225" s="27"/>
      <c r="E225" s="27"/>
      <c r="F225" s="28" t="str">
        <f t="array" ref="F225">IF($E225="","",IFERROR(INDEX('Danh mục thiết bị'!$C$6:$C$65,MATCH($E225,'Danh mục thiết bị'!$B$6:$B$65,0)),"Mã TB không tồn tại"))</f>
        <v/>
      </c>
      <c r="G225" s="28" t="str">
        <f t="array" ref="G225">IF($E225="","",IFERROR(INDEX('Danh mục thiết bị'!$D$6:$D$65,MATCH($E225,'Danh mục thiết bị'!$B$6:$B$65,0)),""))</f>
        <v/>
      </c>
      <c r="H225" s="29"/>
      <c r="I225" s="31"/>
      <c r="J225" s="34"/>
      <c r="K225" s="34"/>
      <c r="L225" s="35"/>
      <c r="M225" s="35"/>
      <c r="N225" s="35"/>
      <c r="O225" s="85" t="str">
        <f t="shared" si="2"/>
        <v/>
      </c>
      <c r="P225" s="29"/>
      <c r="Q225" s="27"/>
      <c r="R225" s="26" t="str">
        <f t="array" ref="R225">IF($E225="","",IF($B225="","Thiếu ngày thực hiện",IF(AND($D225&lt;&gt;"",IFERROR(INDEX('Kế hoạch định kỳ'!$C$6:$C$125,MATCH($D225,'Kế hoạch định kỳ'!$B$6:$B$125,0)),"")&lt;&gt;$E225),"Mã TB không khớp công việc",IF(AND(OR($C225="Bảo trì định kỳ",$C225="Hiệu chuẩn – kiểm định"),$D225=""),"Thiếu mã công việc kế hoạch",IF($Q225="","Thiếu kết quả","OK")))))</f>
        <v/>
      </c>
      <c r="S225" s="29"/>
    </row>
    <row r="226" ht="25.5" customHeight="1">
      <c r="A226" s="10" t="str">
        <f t="shared" si="1"/>
        <v/>
      </c>
      <c r="B226" s="13"/>
      <c r="C226" s="11"/>
      <c r="D226" s="11"/>
      <c r="E226" s="11"/>
      <c r="F226" s="14" t="str">
        <f t="array" ref="F226">IF($E226="","",IFERROR(INDEX('Danh mục thiết bị'!$C$6:$C$65,MATCH($E226,'Danh mục thiết bị'!$B$6:$B$65,0)),"Mã TB không tồn tại"))</f>
        <v/>
      </c>
      <c r="G226" s="14" t="str">
        <f t="array" ref="G226">IF($E226="","",IFERROR(INDEX('Danh mục thiết bị'!$D$6:$D$65,MATCH($E226,'Danh mục thiết bị'!$B$6:$B$65,0)),""))</f>
        <v/>
      </c>
      <c r="H226" s="15"/>
      <c r="I226" s="12"/>
      <c r="J226" s="19"/>
      <c r="K226" s="19"/>
      <c r="L226" s="20"/>
      <c r="M226" s="20"/>
      <c r="N226" s="20"/>
      <c r="O226" s="84" t="str">
        <f t="shared" si="2"/>
        <v/>
      </c>
      <c r="P226" s="15"/>
      <c r="Q226" s="11"/>
      <c r="R226" s="10" t="str">
        <f t="array" ref="R226">IF($E226="","",IF($B226="","Thiếu ngày thực hiện",IF(AND($D226&lt;&gt;"",IFERROR(INDEX('Kế hoạch định kỳ'!$C$6:$C$125,MATCH($D226,'Kế hoạch định kỳ'!$B$6:$B$125,0)),"")&lt;&gt;$E226),"Mã TB không khớp công việc",IF(AND(OR($C226="Bảo trì định kỳ",$C226="Hiệu chuẩn – kiểm định"),$D226=""),"Thiếu mã công việc kế hoạch",IF($Q226="","Thiếu kết quả","OK")))))</f>
        <v/>
      </c>
      <c r="S226" s="15"/>
    </row>
    <row r="227" ht="25.5" customHeight="1">
      <c r="A227" s="26" t="str">
        <f t="shared" si="1"/>
        <v/>
      </c>
      <c r="B227" s="32"/>
      <c r="C227" s="27"/>
      <c r="D227" s="27"/>
      <c r="E227" s="27"/>
      <c r="F227" s="28" t="str">
        <f t="array" ref="F227">IF($E227="","",IFERROR(INDEX('Danh mục thiết bị'!$C$6:$C$65,MATCH($E227,'Danh mục thiết bị'!$B$6:$B$65,0)),"Mã TB không tồn tại"))</f>
        <v/>
      </c>
      <c r="G227" s="28" t="str">
        <f t="array" ref="G227">IF($E227="","",IFERROR(INDEX('Danh mục thiết bị'!$D$6:$D$65,MATCH($E227,'Danh mục thiết bị'!$B$6:$B$65,0)),""))</f>
        <v/>
      </c>
      <c r="H227" s="29"/>
      <c r="I227" s="31"/>
      <c r="J227" s="34"/>
      <c r="K227" s="34"/>
      <c r="L227" s="35"/>
      <c r="M227" s="35"/>
      <c r="N227" s="35"/>
      <c r="O227" s="85" t="str">
        <f t="shared" si="2"/>
        <v/>
      </c>
      <c r="P227" s="29"/>
      <c r="Q227" s="27"/>
      <c r="R227" s="26" t="str">
        <f t="array" ref="R227">IF($E227="","",IF($B227="","Thiếu ngày thực hiện",IF(AND($D227&lt;&gt;"",IFERROR(INDEX('Kế hoạch định kỳ'!$C$6:$C$125,MATCH($D227,'Kế hoạch định kỳ'!$B$6:$B$125,0)),"")&lt;&gt;$E227),"Mã TB không khớp công việc",IF(AND(OR($C227="Bảo trì định kỳ",$C227="Hiệu chuẩn – kiểm định"),$D227=""),"Thiếu mã công việc kế hoạch",IF($Q227="","Thiếu kết quả","OK")))))</f>
        <v/>
      </c>
      <c r="S227" s="29"/>
    </row>
    <row r="228" ht="25.5" customHeight="1">
      <c r="A228" s="10" t="str">
        <f t="shared" si="1"/>
        <v/>
      </c>
      <c r="B228" s="13"/>
      <c r="C228" s="11"/>
      <c r="D228" s="11"/>
      <c r="E228" s="11"/>
      <c r="F228" s="14" t="str">
        <f t="array" ref="F228">IF($E228="","",IFERROR(INDEX('Danh mục thiết bị'!$C$6:$C$65,MATCH($E228,'Danh mục thiết bị'!$B$6:$B$65,0)),"Mã TB không tồn tại"))</f>
        <v/>
      </c>
      <c r="G228" s="14" t="str">
        <f t="array" ref="G228">IF($E228="","",IFERROR(INDEX('Danh mục thiết bị'!$D$6:$D$65,MATCH($E228,'Danh mục thiết bị'!$B$6:$B$65,0)),""))</f>
        <v/>
      </c>
      <c r="H228" s="15"/>
      <c r="I228" s="12"/>
      <c r="J228" s="19"/>
      <c r="K228" s="19"/>
      <c r="L228" s="20"/>
      <c r="M228" s="20"/>
      <c r="N228" s="20"/>
      <c r="O228" s="84" t="str">
        <f t="shared" si="2"/>
        <v/>
      </c>
      <c r="P228" s="15"/>
      <c r="Q228" s="11"/>
      <c r="R228" s="10" t="str">
        <f t="array" ref="R228">IF($E228="","",IF($B228="","Thiếu ngày thực hiện",IF(AND($D228&lt;&gt;"",IFERROR(INDEX('Kế hoạch định kỳ'!$C$6:$C$125,MATCH($D228,'Kế hoạch định kỳ'!$B$6:$B$125,0)),"")&lt;&gt;$E228),"Mã TB không khớp công việc",IF(AND(OR($C228="Bảo trì định kỳ",$C228="Hiệu chuẩn – kiểm định"),$D228=""),"Thiếu mã công việc kế hoạch",IF($Q228="","Thiếu kết quả","OK")))))</f>
        <v/>
      </c>
      <c r="S228" s="15"/>
    </row>
    <row r="229" ht="25.5" customHeight="1">
      <c r="A229" s="26" t="str">
        <f t="shared" si="1"/>
        <v/>
      </c>
      <c r="B229" s="32"/>
      <c r="C229" s="27"/>
      <c r="D229" s="27"/>
      <c r="E229" s="27"/>
      <c r="F229" s="28" t="str">
        <f t="array" ref="F229">IF($E229="","",IFERROR(INDEX('Danh mục thiết bị'!$C$6:$C$65,MATCH($E229,'Danh mục thiết bị'!$B$6:$B$65,0)),"Mã TB không tồn tại"))</f>
        <v/>
      </c>
      <c r="G229" s="28" t="str">
        <f t="array" ref="G229">IF($E229="","",IFERROR(INDEX('Danh mục thiết bị'!$D$6:$D$65,MATCH($E229,'Danh mục thiết bị'!$B$6:$B$65,0)),""))</f>
        <v/>
      </c>
      <c r="H229" s="29"/>
      <c r="I229" s="31"/>
      <c r="J229" s="34"/>
      <c r="K229" s="34"/>
      <c r="L229" s="35"/>
      <c r="M229" s="35"/>
      <c r="N229" s="35"/>
      <c r="O229" s="85" t="str">
        <f t="shared" si="2"/>
        <v/>
      </c>
      <c r="P229" s="29"/>
      <c r="Q229" s="27"/>
      <c r="R229" s="26" t="str">
        <f t="array" ref="R229">IF($E229="","",IF($B229="","Thiếu ngày thực hiện",IF(AND($D229&lt;&gt;"",IFERROR(INDEX('Kế hoạch định kỳ'!$C$6:$C$125,MATCH($D229,'Kế hoạch định kỳ'!$B$6:$B$125,0)),"")&lt;&gt;$E229),"Mã TB không khớp công việc",IF(AND(OR($C229="Bảo trì định kỳ",$C229="Hiệu chuẩn – kiểm định"),$D229=""),"Thiếu mã công việc kế hoạch",IF($Q229="","Thiếu kết quả","OK")))))</f>
        <v/>
      </c>
      <c r="S229" s="29"/>
    </row>
    <row r="230" ht="25.5" customHeight="1">
      <c r="A230" s="10" t="str">
        <f t="shared" si="1"/>
        <v/>
      </c>
      <c r="B230" s="13"/>
      <c r="C230" s="11"/>
      <c r="D230" s="11"/>
      <c r="E230" s="11"/>
      <c r="F230" s="14" t="str">
        <f t="array" ref="F230">IF($E230="","",IFERROR(INDEX('Danh mục thiết bị'!$C$6:$C$65,MATCH($E230,'Danh mục thiết bị'!$B$6:$B$65,0)),"Mã TB không tồn tại"))</f>
        <v/>
      </c>
      <c r="G230" s="14" t="str">
        <f t="array" ref="G230">IF($E230="","",IFERROR(INDEX('Danh mục thiết bị'!$D$6:$D$65,MATCH($E230,'Danh mục thiết bị'!$B$6:$B$65,0)),""))</f>
        <v/>
      </c>
      <c r="H230" s="15"/>
      <c r="I230" s="12"/>
      <c r="J230" s="19"/>
      <c r="K230" s="19"/>
      <c r="L230" s="20"/>
      <c r="M230" s="20"/>
      <c r="N230" s="20"/>
      <c r="O230" s="84" t="str">
        <f t="shared" si="2"/>
        <v/>
      </c>
      <c r="P230" s="15"/>
      <c r="Q230" s="11"/>
      <c r="R230" s="10" t="str">
        <f t="array" ref="R230">IF($E230="","",IF($B230="","Thiếu ngày thực hiện",IF(AND($D230&lt;&gt;"",IFERROR(INDEX('Kế hoạch định kỳ'!$C$6:$C$125,MATCH($D230,'Kế hoạch định kỳ'!$B$6:$B$125,0)),"")&lt;&gt;$E230),"Mã TB không khớp công việc",IF(AND(OR($C230="Bảo trì định kỳ",$C230="Hiệu chuẩn – kiểm định"),$D230=""),"Thiếu mã công việc kế hoạch",IF($Q230="","Thiếu kết quả","OK")))))</f>
        <v/>
      </c>
      <c r="S230" s="15"/>
    </row>
    <row r="231" ht="25.5" customHeight="1">
      <c r="A231" s="26" t="str">
        <f t="shared" si="1"/>
        <v/>
      </c>
      <c r="B231" s="32"/>
      <c r="C231" s="27"/>
      <c r="D231" s="27"/>
      <c r="E231" s="27"/>
      <c r="F231" s="28" t="str">
        <f t="array" ref="F231">IF($E231="","",IFERROR(INDEX('Danh mục thiết bị'!$C$6:$C$65,MATCH($E231,'Danh mục thiết bị'!$B$6:$B$65,0)),"Mã TB không tồn tại"))</f>
        <v/>
      </c>
      <c r="G231" s="28" t="str">
        <f t="array" ref="G231">IF($E231="","",IFERROR(INDEX('Danh mục thiết bị'!$D$6:$D$65,MATCH($E231,'Danh mục thiết bị'!$B$6:$B$65,0)),""))</f>
        <v/>
      </c>
      <c r="H231" s="29"/>
      <c r="I231" s="31"/>
      <c r="J231" s="34"/>
      <c r="K231" s="34"/>
      <c r="L231" s="35"/>
      <c r="M231" s="35"/>
      <c r="N231" s="35"/>
      <c r="O231" s="85" t="str">
        <f t="shared" si="2"/>
        <v/>
      </c>
      <c r="P231" s="29"/>
      <c r="Q231" s="27"/>
      <c r="R231" s="26" t="str">
        <f t="array" ref="R231">IF($E231="","",IF($B231="","Thiếu ngày thực hiện",IF(AND($D231&lt;&gt;"",IFERROR(INDEX('Kế hoạch định kỳ'!$C$6:$C$125,MATCH($D231,'Kế hoạch định kỳ'!$B$6:$B$125,0)),"")&lt;&gt;$E231),"Mã TB không khớp công việc",IF(AND(OR($C231="Bảo trì định kỳ",$C231="Hiệu chuẩn – kiểm định"),$D231=""),"Thiếu mã công việc kế hoạch",IF($Q231="","Thiếu kết quả","OK")))))</f>
        <v/>
      </c>
      <c r="S231" s="29"/>
    </row>
    <row r="232" ht="25.5" customHeight="1">
      <c r="A232" s="10" t="str">
        <f t="shared" si="1"/>
        <v/>
      </c>
      <c r="B232" s="13"/>
      <c r="C232" s="11"/>
      <c r="D232" s="11"/>
      <c r="E232" s="11"/>
      <c r="F232" s="14" t="str">
        <f t="array" ref="F232">IF($E232="","",IFERROR(INDEX('Danh mục thiết bị'!$C$6:$C$65,MATCH($E232,'Danh mục thiết bị'!$B$6:$B$65,0)),"Mã TB không tồn tại"))</f>
        <v/>
      </c>
      <c r="G232" s="14" t="str">
        <f t="array" ref="G232">IF($E232="","",IFERROR(INDEX('Danh mục thiết bị'!$D$6:$D$65,MATCH($E232,'Danh mục thiết bị'!$B$6:$B$65,0)),""))</f>
        <v/>
      </c>
      <c r="H232" s="15"/>
      <c r="I232" s="12"/>
      <c r="J232" s="19"/>
      <c r="K232" s="19"/>
      <c r="L232" s="20"/>
      <c r="M232" s="20"/>
      <c r="N232" s="20"/>
      <c r="O232" s="84" t="str">
        <f t="shared" si="2"/>
        <v/>
      </c>
      <c r="P232" s="15"/>
      <c r="Q232" s="11"/>
      <c r="R232" s="10" t="str">
        <f t="array" ref="R232">IF($E232="","",IF($B232="","Thiếu ngày thực hiện",IF(AND($D232&lt;&gt;"",IFERROR(INDEX('Kế hoạch định kỳ'!$C$6:$C$125,MATCH($D232,'Kế hoạch định kỳ'!$B$6:$B$125,0)),"")&lt;&gt;$E232),"Mã TB không khớp công việc",IF(AND(OR($C232="Bảo trì định kỳ",$C232="Hiệu chuẩn – kiểm định"),$D232=""),"Thiếu mã công việc kế hoạch",IF($Q232="","Thiếu kết quả","OK")))))</f>
        <v/>
      </c>
      <c r="S232" s="15"/>
    </row>
    <row r="233" ht="25.5" customHeight="1">
      <c r="A233" s="26" t="str">
        <f t="shared" si="1"/>
        <v/>
      </c>
      <c r="B233" s="32"/>
      <c r="C233" s="27"/>
      <c r="D233" s="27"/>
      <c r="E233" s="27"/>
      <c r="F233" s="28" t="str">
        <f t="array" ref="F233">IF($E233="","",IFERROR(INDEX('Danh mục thiết bị'!$C$6:$C$65,MATCH($E233,'Danh mục thiết bị'!$B$6:$B$65,0)),"Mã TB không tồn tại"))</f>
        <v/>
      </c>
      <c r="G233" s="28" t="str">
        <f t="array" ref="G233">IF($E233="","",IFERROR(INDEX('Danh mục thiết bị'!$D$6:$D$65,MATCH($E233,'Danh mục thiết bị'!$B$6:$B$65,0)),""))</f>
        <v/>
      </c>
      <c r="H233" s="29"/>
      <c r="I233" s="31"/>
      <c r="J233" s="34"/>
      <c r="K233" s="34"/>
      <c r="L233" s="35"/>
      <c r="M233" s="35"/>
      <c r="N233" s="35"/>
      <c r="O233" s="85" t="str">
        <f t="shared" si="2"/>
        <v/>
      </c>
      <c r="P233" s="29"/>
      <c r="Q233" s="27"/>
      <c r="R233" s="26" t="str">
        <f t="array" ref="R233">IF($E233="","",IF($B233="","Thiếu ngày thực hiện",IF(AND($D233&lt;&gt;"",IFERROR(INDEX('Kế hoạch định kỳ'!$C$6:$C$125,MATCH($D233,'Kế hoạch định kỳ'!$B$6:$B$125,0)),"")&lt;&gt;$E233),"Mã TB không khớp công việc",IF(AND(OR($C233="Bảo trì định kỳ",$C233="Hiệu chuẩn – kiểm định"),$D233=""),"Thiếu mã công việc kế hoạch",IF($Q233="","Thiếu kết quả","OK")))))</f>
        <v/>
      </c>
      <c r="S233" s="29"/>
    </row>
    <row r="234" ht="25.5" customHeight="1">
      <c r="A234" s="10" t="str">
        <f t="shared" si="1"/>
        <v/>
      </c>
      <c r="B234" s="13"/>
      <c r="C234" s="11"/>
      <c r="D234" s="11"/>
      <c r="E234" s="11"/>
      <c r="F234" s="14" t="str">
        <f t="array" ref="F234">IF($E234="","",IFERROR(INDEX('Danh mục thiết bị'!$C$6:$C$65,MATCH($E234,'Danh mục thiết bị'!$B$6:$B$65,0)),"Mã TB không tồn tại"))</f>
        <v/>
      </c>
      <c r="G234" s="14" t="str">
        <f t="array" ref="G234">IF($E234="","",IFERROR(INDEX('Danh mục thiết bị'!$D$6:$D$65,MATCH($E234,'Danh mục thiết bị'!$B$6:$B$65,0)),""))</f>
        <v/>
      </c>
      <c r="H234" s="15"/>
      <c r="I234" s="12"/>
      <c r="J234" s="19"/>
      <c r="K234" s="19"/>
      <c r="L234" s="20"/>
      <c r="M234" s="20"/>
      <c r="N234" s="20"/>
      <c r="O234" s="84" t="str">
        <f t="shared" si="2"/>
        <v/>
      </c>
      <c r="P234" s="15"/>
      <c r="Q234" s="11"/>
      <c r="R234" s="10" t="str">
        <f t="array" ref="R234">IF($E234="","",IF($B234="","Thiếu ngày thực hiện",IF(AND($D234&lt;&gt;"",IFERROR(INDEX('Kế hoạch định kỳ'!$C$6:$C$125,MATCH($D234,'Kế hoạch định kỳ'!$B$6:$B$125,0)),"")&lt;&gt;$E234),"Mã TB không khớp công việc",IF(AND(OR($C234="Bảo trì định kỳ",$C234="Hiệu chuẩn – kiểm định"),$D234=""),"Thiếu mã công việc kế hoạch",IF($Q234="","Thiếu kết quả","OK")))))</f>
        <v/>
      </c>
      <c r="S234" s="15"/>
    </row>
    <row r="235" ht="25.5" customHeight="1">
      <c r="A235" s="26" t="str">
        <f t="shared" si="1"/>
        <v/>
      </c>
      <c r="B235" s="32"/>
      <c r="C235" s="27"/>
      <c r="D235" s="27"/>
      <c r="E235" s="27"/>
      <c r="F235" s="28" t="str">
        <f t="array" ref="F235">IF($E235="","",IFERROR(INDEX('Danh mục thiết bị'!$C$6:$C$65,MATCH($E235,'Danh mục thiết bị'!$B$6:$B$65,0)),"Mã TB không tồn tại"))</f>
        <v/>
      </c>
      <c r="G235" s="28" t="str">
        <f t="array" ref="G235">IF($E235="","",IFERROR(INDEX('Danh mục thiết bị'!$D$6:$D$65,MATCH($E235,'Danh mục thiết bị'!$B$6:$B$65,0)),""))</f>
        <v/>
      </c>
      <c r="H235" s="29"/>
      <c r="I235" s="31"/>
      <c r="J235" s="34"/>
      <c r="K235" s="34"/>
      <c r="L235" s="35"/>
      <c r="M235" s="35"/>
      <c r="N235" s="35"/>
      <c r="O235" s="85" t="str">
        <f t="shared" si="2"/>
        <v/>
      </c>
      <c r="P235" s="29"/>
      <c r="Q235" s="27"/>
      <c r="R235" s="26" t="str">
        <f t="array" ref="R235">IF($E235="","",IF($B235="","Thiếu ngày thực hiện",IF(AND($D235&lt;&gt;"",IFERROR(INDEX('Kế hoạch định kỳ'!$C$6:$C$125,MATCH($D235,'Kế hoạch định kỳ'!$B$6:$B$125,0)),"")&lt;&gt;$E235),"Mã TB không khớp công việc",IF(AND(OR($C235="Bảo trì định kỳ",$C235="Hiệu chuẩn – kiểm định"),$D235=""),"Thiếu mã công việc kế hoạch",IF($Q235="","Thiếu kết quả","OK")))))</f>
        <v/>
      </c>
      <c r="S235" s="29"/>
    </row>
    <row r="236" ht="25.5" customHeight="1">
      <c r="A236" s="10" t="str">
        <f t="shared" si="1"/>
        <v/>
      </c>
      <c r="B236" s="13"/>
      <c r="C236" s="11"/>
      <c r="D236" s="11"/>
      <c r="E236" s="11"/>
      <c r="F236" s="14" t="str">
        <f t="array" ref="F236">IF($E236="","",IFERROR(INDEX('Danh mục thiết bị'!$C$6:$C$65,MATCH($E236,'Danh mục thiết bị'!$B$6:$B$65,0)),"Mã TB không tồn tại"))</f>
        <v/>
      </c>
      <c r="G236" s="14" t="str">
        <f t="array" ref="G236">IF($E236="","",IFERROR(INDEX('Danh mục thiết bị'!$D$6:$D$65,MATCH($E236,'Danh mục thiết bị'!$B$6:$B$65,0)),""))</f>
        <v/>
      </c>
      <c r="H236" s="15"/>
      <c r="I236" s="12"/>
      <c r="J236" s="19"/>
      <c r="K236" s="19"/>
      <c r="L236" s="20"/>
      <c r="M236" s="20"/>
      <c r="N236" s="20"/>
      <c r="O236" s="84" t="str">
        <f t="shared" si="2"/>
        <v/>
      </c>
      <c r="P236" s="15"/>
      <c r="Q236" s="11"/>
      <c r="R236" s="10" t="str">
        <f t="array" ref="R236">IF($E236="","",IF($B236="","Thiếu ngày thực hiện",IF(AND($D236&lt;&gt;"",IFERROR(INDEX('Kế hoạch định kỳ'!$C$6:$C$125,MATCH($D236,'Kế hoạch định kỳ'!$B$6:$B$125,0)),"")&lt;&gt;$E236),"Mã TB không khớp công việc",IF(AND(OR($C236="Bảo trì định kỳ",$C236="Hiệu chuẩn – kiểm định"),$D236=""),"Thiếu mã công việc kế hoạch",IF($Q236="","Thiếu kết quả","OK")))))</f>
        <v/>
      </c>
      <c r="S236" s="15"/>
    </row>
    <row r="237" ht="25.5" customHeight="1">
      <c r="A237" s="26" t="str">
        <f t="shared" si="1"/>
        <v/>
      </c>
      <c r="B237" s="32"/>
      <c r="C237" s="27"/>
      <c r="D237" s="27"/>
      <c r="E237" s="27"/>
      <c r="F237" s="28" t="str">
        <f t="array" ref="F237">IF($E237="","",IFERROR(INDEX('Danh mục thiết bị'!$C$6:$C$65,MATCH($E237,'Danh mục thiết bị'!$B$6:$B$65,0)),"Mã TB không tồn tại"))</f>
        <v/>
      </c>
      <c r="G237" s="28" t="str">
        <f t="array" ref="G237">IF($E237="","",IFERROR(INDEX('Danh mục thiết bị'!$D$6:$D$65,MATCH($E237,'Danh mục thiết bị'!$B$6:$B$65,0)),""))</f>
        <v/>
      </c>
      <c r="H237" s="29"/>
      <c r="I237" s="31"/>
      <c r="J237" s="34"/>
      <c r="K237" s="34"/>
      <c r="L237" s="35"/>
      <c r="M237" s="35"/>
      <c r="N237" s="35"/>
      <c r="O237" s="85" t="str">
        <f t="shared" si="2"/>
        <v/>
      </c>
      <c r="P237" s="29"/>
      <c r="Q237" s="27"/>
      <c r="R237" s="26" t="str">
        <f t="array" ref="R237">IF($E237="","",IF($B237="","Thiếu ngày thực hiện",IF(AND($D237&lt;&gt;"",IFERROR(INDEX('Kế hoạch định kỳ'!$C$6:$C$125,MATCH($D237,'Kế hoạch định kỳ'!$B$6:$B$125,0)),"")&lt;&gt;$E237),"Mã TB không khớp công việc",IF(AND(OR($C237="Bảo trì định kỳ",$C237="Hiệu chuẩn – kiểm định"),$D237=""),"Thiếu mã công việc kế hoạch",IF($Q237="","Thiếu kết quả","OK")))))</f>
        <v/>
      </c>
      <c r="S237" s="29"/>
    </row>
    <row r="238" ht="25.5" customHeight="1">
      <c r="A238" s="10" t="str">
        <f t="shared" si="1"/>
        <v/>
      </c>
      <c r="B238" s="13"/>
      <c r="C238" s="11"/>
      <c r="D238" s="11"/>
      <c r="E238" s="11"/>
      <c r="F238" s="14" t="str">
        <f t="array" ref="F238">IF($E238="","",IFERROR(INDEX('Danh mục thiết bị'!$C$6:$C$65,MATCH($E238,'Danh mục thiết bị'!$B$6:$B$65,0)),"Mã TB không tồn tại"))</f>
        <v/>
      </c>
      <c r="G238" s="14" t="str">
        <f t="array" ref="G238">IF($E238="","",IFERROR(INDEX('Danh mục thiết bị'!$D$6:$D$65,MATCH($E238,'Danh mục thiết bị'!$B$6:$B$65,0)),""))</f>
        <v/>
      </c>
      <c r="H238" s="15"/>
      <c r="I238" s="12"/>
      <c r="J238" s="19"/>
      <c r="K238" s="19"/>
      <c r="L238" s="20"/>
      <c r="M238" s="20"/>
      <c r="N238" s="20"/>
      <c r="O238" s="84" t="str">
        <f t="shared" si="2"/>
        <v/>
      </c>
      <c r="P238" s="15"/>
      <c r="Q238" s="11"/>
      <c r="R238" s="10" t="str">
        <f t="array" ref="R238">IF($E238="","",IF($B238="","Thiếu ngày thực hiện",IF(AND($D238&lt;&gt;"",IFERROR(INDEX('Kế hoạch định kỳ'!$C$6:$C$125,MATCH($D238,'Kế hoạch định kỳ'!$B$6:$B$125,0)),"")&lt;&gt;$E238),"Mã TB không khớp công việc",IF(AND(OR($C238="Bảo trì định kỳ",$C238="Hiệu chuẩn – kiểm định"),$D238=""),"Thiếu mã công việc kế hoạch",IF($Q238="","Thiếu kết quả","OK")))))</f>
        <v/>
      </c>
      <c r="S238" s="15"/>
    </row>
    <row r="239" ht="25.5" customHeight="1">
      <c r="A239" s="26" t="str">
        <f t="shared" si="1"/>
        <v/>
      </c>
      <c r="B239" s="32"/>
      <c r="C239" s="27"/>
      <c r="D239" s="27"/>
      <c r="E239" s="27"/>
      <c r="F239" s="28" t="str">
        <f t="array" ref="F239">IF($E239="","",IFERROR(INDEX('Danh mục thiết bị'!$C$6:$C$65,MATCH($E239,'Danh mục thiết bị'!$B$6:$B$65,0)),"Mã TB không tồn tại"))</f>
        <v/>
      </c>
      <c r="G239" s="28" t="str">
        <f t="array" ref="G239">IF($E239="","",IFERROR(INDEX('Danh mục thiết bị'!$D$6:$D$65,MATCH($E239,'Danh mục thiết bị'!$B$6:$B$65,0)),""))</f>
        <v/>
      </c>
      <c r="H239" s="29"/>
      <c r="I239" s="31"/>
      <c r="J239" s="34"/>
      <c r="K239" s="34"/>
      <c r="L239" s="35"/>
      <c r="M239" s="35"/>
      <c r="N239" s="35"/>
      <c r="O239" s="85" t="str">
        <f t="shared" si="2"/>
        <v/>
      </c>
      <c r="P239" s="29"/>
      <c r="Q239" s="27"/>
      <c r="R239" s="26" t="str">
        <f t="array" ref="R239">IF($E239="","",IF($B239="","Thiếu ngày thực hiện",IF(AND($D239&lt;&gt;"",IFERROR(INDEX('Kế hoạch định kỳ'!$C$6:$C$125,MATCH($D239,'Kế hoạch định kỳ'!$B$6:$B$125,0)),"")&lt;&gt;$E239),"Mã TB không khớp công việc",IF(AND(OR($C239="Bảo trì định kỳ",$C239="Hiệu chuẩn – kiểm định"),$D239=""),"Thiếu mã công việc kế hoạch",IF($Q239="","Thiếu kết quả","OK")))))</f>
        <v/>
      </c>
      <c r="S239" s="29"/>
    </row>
    <row r="240" ht="25.5" customHeight="1">
      <c r="A240" s="10" t="str">
        <f t="shared" si="1"/>
        <v/>
      </c>
      <c r="B240" s="13"/>
      <c r="C240" s="11"/>
      <c r="D240" s="11"/>
      <c r="E240" s="11"/>
      <c r="F240" s="14" t="str">
        <f t="array" ref="F240">IF($E240="","",IFERROR(INDEX('Danh mục thiết bị'!$C$6:$C$65,MATCH($E240,'Danh mục thiết bị'!$B$6:$B$65,0)),"Mã TB không tồn tại"))</f>
        <v/>
      </c>
      <c r="G240" s="14" t="str">
        <f t="array" ref="G240">IF($E240="","",IFERROR(INDEX('Danh mục thiết bị'!$D$6:$D$65,MATCH($E240,'Danh mục thiết bị'!$B$6:$B$65,0)),""))</f>
        <v/>
      </c>
      <c r="H240" s="15"/>
      <c r="I240" s="12"/>
      <c r="J240" s="19"/>
      <c r="K240" s="19"/>
      <c r="L240" s="20"/>
      <c r="M240" s="20"/>
      <c r="N240" s="20"/>
      <c r="O240" s="84" t="str">
        <f t="shared" si="2"/>
        <v/>
      </c>
      <c r="P240" s="15"/>
      <c r="Q240" s="11"/>
      <c r="R240" s="10" t="str">
        <f t="array" ref="R240">IF($E240="","",IF($B240="","Thiếu ngày thực hiện",IF(AND($D240&lt;&gt;"",IFERROR(INDEX('Kế hoạch định kỳ'!$C$6:$C$125,MATCH($D240,'Kế hoạch định kỳ'!$B$6:$B$125,0)),"")&lt;&gt;$E240),"Mã TB không khớp công việc",IF(AND(OR($C240="Bảo trì định kỳ",$C240="Hiệu chuẩn – kiểm định"),$D240=""),"Thiếu mã công việc kế hoạch",IF($Q240="","Thiếu kết quả","OK")))))</f>
        <v/>
      </c>
      <c r="S240" s="15"/>
    </row>
    <row r="241" ht="25.5" customHeight="1">
      <c r="A241" s="26" t="str">
        <f t="shared" si="1"/>
        <v/>
      </c>
      <c r="B241" s="32"/>
      <c r="C241" s="27"/>
      <c r="D241" s="27"/>
      <c r="E241" s="27"/>
      <c r="F241" s="28" t="str">
        <f t="array" ref="F241">IF($E241="","",IFERROR(INDEX('Danh mục thiết bị'!$C$6:$C$65,MATCH($E241,'Danh mục thiết bị'!$B$6:$B$65,0)),"Mã TB không tồn tại"))</f>
        <v/>
      </c>
      <c r="G241" s="28" t="str">
        <f t="array" ref="G241">IF($E241="","",IFERROR(INDEX('Danh mục thiết bị'!$D$6:$D$65,MATCH($E241,'Danh mục thiết bị'!$B$6:$B$65,0)),""))</f>
        <v/>
      </c>
      <c r="H241" s="29"/>
      <c r="I241" s="31"/>
      <c r="J241" s="34"/>
      <c r="K241" s="34"/>
      <c r="L241" s="35"/>
      <c r="M241" s="35"/>
      <c r="N241" s="35"/>
      <c r="O241" s="85" t="str">
        <f t="shared" si="2"/>
        <v/>
      </c>
      <c r="P241" s="29"/>
      <c r="Q241" s="27"/>
      <c r="R241" s="26" t="str">
        <f t="array" ref="R241">IF($E241="","",IF($B241="","Thiếu ngày thực hiện",IF(AND($D241&lt;&gt;"",IFERROR(INDEX('Kế hoạch định kỳ'!$C$6:$C$125,MATCH($D241,'Kế hoạch định kỳ'!$B$6:$B$125,0)),"")&lt;&gt;$E241),"Mã TB không khớp công việc",IF(AND(OR($C241="Bảo trì định kỳ",$C241="Hiệu chuẩn – kiểm định"),$D241=""),"Thiếu mã công việc kế hoạch",IF($Q241="","Thiếu kết quả","OK")))))</f>
        <v/>
      </c>
      <c r="S241" s="29"/>
    </row>
    <row r="242" ht="25.5" customHeight="1">
      <c r="A242" s="10" t="str">
        <f t="shared" si="1"/>
        <v/>
      </c>
      <c r="B242" s="13"/>
      <c r="C242" s="11"/>
      <c r="D242" s="11"/>
      <c r="E242" s="11"/>
      <c r="F242" s="14" t="str">
        <f t="array" ref="F242">IF($E242="","",IFERROR(INDEX('Danh mục thiết bị'!$C$6:$C$65,MATCH($E242,'Danh mục thiết bị'!$B$6:$B$65,0)),"Mã TB không tồn tại"))</f>
        <v/>
      </c>
      <c r="G242" s="14" t="str">
        <f t="array" ref="G242">IF($E242="","",IFERROR(INDEX('Danh mục thiết bị'!$D$6:$D$65,MATCH($E242,'Danh mục thiết bị'!$B$6:$B$65,0)),""))</f>
        <v/>
      </c>
      <c r="H242" s="15"/>
      <c r="I242" s="12"/>
      <c r="J242" s="19"/>
      <c r="K242" s="19"/>
      <c r="L242" s="20"/>
      <c r="M242" s="20"/>
      <c r="N242" s="20"/>
      <c r="O242" s="84" t="str">
        <f t="shared" si="2"/>
        <v/>
      </c>
      <c r="P242" s="15"/>
      <c r="Q242" s="11"/>
      <c r="R242" s="10" t="str">
        <f t="array" ref="R242">IF($E242="","",IF($B242="","Thiếu ngày thực hiện",IF(AND($D242&lt;&gt;"",IFERROR(INDEX('Kế hoạch định kỳ'!$C$6:$C$125,MATCH($D242,'Kế hoạch định kỳ'!$B$6:$B$125,0)),"")&lt;&gt;$E242),"Mã TB không khớp công việc",IF(AND(OR($C242="Bảo trì định kỳ",$C242="Hiệu chuẩn – kiểm định"),$D242=""),"Thiếu mã công việc kế hoạch",IF($Q242="","Thiếu kết quả","OK")))))</f>
        <v/>
      </c>
      <c r="S242" s="15"/>
    </row>
    <row r="243" ht="25.5" customHeight="1">
      <c r="A243" s="26" t="str">
        <f t="shared" si="1"/>
        <v/>
      </c>
      <c r="B243" s="32"/>
      <c r="C243" s="27"/>
      <c r="D243" s="27"/>
      <c r="E243" s="27"/>
      <c r="F243" s="28" t="str">
        <f t="array" ref="F243">IF($E243="","",IFERROR(INDEX('Danh mục thiết bị'!$C$6:$C$65,MATCH($E243,'Danh mục thiết bị'!$B$6:$B$65,0)),"Mã TB không tồn tại"))</f>
        <v/>
      </c>
      <c r="G243" s="28" t="str">
        <f t="array" ref="G243">IF($E243="","",IFERROR(INDEX('Danh mục thiết bị'!$D$6:$D$65,MATCH($E243,'Danh mục thiết bị'!$B$6:$B$65,0)),""))</f>
        <v/>
      </c>
      <c r="H243" s="29"/>
      <c r="I243" s="31"/>
      <c r="J243" s="34"/>
      <c r="K243" s="34"/>
      <c r="L243" s="35"/>
      <c r="M243" s="35"/>
      <c r="N243" s="35"/>
      <c r="O243" s="85" t="str">
        <f t="shared" si="2"/>
        <v/>
      </c>
      <c r="P243" s="29"/>
      <c r="Q243" s="27"/>
      <c r="R243" s="26" t="str">
        <f t="array" ref="R243">IF($E243="","",IF($B243="","Thiếu ngày thực hiện",IF(AND($D243&lt;&gt;"",IFERROR(INDEX('Kế hoạch định kỳ'!$C$6:$C$125,MATCH($D243,'Kế hoạch định kỳ'!$B$6:$B$125,0)),"")&lt;&gt;$E243),"Mã TB không khớp công việc",IF(AND(OR($C243="Bảo trì định kỳ",$C243="Hiệu chuẩn – kiểm định"),$D243=""),"Thiếu mã công việc kế hoạch",IF($Q243="","Thiếu kết quả","OK")))))</f>
        <v/>
      </c>
      <c r="S243" s="29"/>
    </row>
    <row r="244" ht="25.5" customHeight="1">
      <c r="A244" s="10" t="str">
        <f t="shared" si="1"/>
        <v/>
      </c>
      <c r="B244" s="13"/>
      <c r="C244" s="11"/>
      <c r="D244" s="11"/>
      <c r="E244" s="11"/>
      <c r="F244" s="14" t="str">
        <f t="array" ref="F244">IF($E244="","",IFERROR(INDEX('Danh mục thiết bị'!$C$6:$C$65,MATCH($E244,'Danh mục thiết bị'!$B$6:$B$65,0)),"Mã TB không tồn tại"))</f>
        <v/>
      </c>
      <c r="G244" s="14" t="str">
        <f t="array" ref="G244">IF($E244="","",IFERROR(INDEX('Danh mục thiết bị'!$D$6:$D$65,MATCH($E244,'Danh mục thiết bị'!$B$6:$B$65,0)),""))</f>
        <v/>
      </c>
      <c r="H244" s="15"/>
      <c r="I244" s="12"/>
      <c r="J244" s="19"/>
      <c r="K244" s="19"/>
      <c r="L244" s="20"/>
      <c r="M244" s="20"/>
      <c r="N244" s="20"/>
      <c r="O244" s="84" t="str">
        <f t="shared" si="2"/>
        <v/>
      </c>
      <c r="P244" s="15"/>
      <c r="Q244" s="11"/>
      <c r="R244" s="10" t="str">
        <f t="array" ref="R244">IF($E244="","",IF($B244="","Thiếu ngày thực hiện",IF(AND($D244&lt;&gt;"",IFERROR(INDEX('Kế hoạch định kỳ'!$C$6:$C$125,MATCH($D244,'Kế hoạch định kỳ'!$B$6:$B$125,0)),"")&lt;&gt;$E244),"Mã TB không khớp công việc",IF(AND(OR($C244="Bảo trì định kỳ",$C244="Hiệu chuẩn – kiểm định"),$D244=""),"Thiếu mã công việc kế hoạch",IF($Q244="","Thiếu kết quả","OK")))))</f>
        <v/>
      </c>
      <c r="S244" s="15"/>
    </row>
    <row r="245" ht="25.5" customHeight="1">
      <c r="A245" s="26" t="str">
        <f t="shared" si="1"/>
        <v/>
      </c>
      <c r="B245" s="32"/>
      <c r="C245" s="27"/>
      <c r="D245" s="27"/>
      <c r="E245" s="27"/>
      <c r="F245" s="28" t="str">
        <f t="array" ref="F245">IF($E245="","",IFERROR(INDEX('Danh mục thiết bị'!$C$6:$C$65,MATCH($E245,'Danh mục thiết bị'!$B$6:$B$65,0)),"Mã TB không tồn tại"))</f>
        <v/>
      </c>
      <c r="G245" s="28" t="str">
        <f t="array" ref="G245">IF($E245="","",IFERROR(INDEX('Danh mục thiết bị'!$D$6:$D$65,MATCH($E245,'Danh mục thiết bị'!$B$6:$B$65,0)),""))</f>
        <v/>
      </c>
      <c r="H245" s="29"/>
      <c r="I245" s="31"/>
      <c r="J245" s="34"/>
      <c r="K245" s="34"/>
      <c r="L245" s="35"/>
      <c r="M245" s="35"/>
      <c r="N245" s="35"/>
      <c r="O245" s="85" t="str">
        <f t="shared" si="2"/>
        <v/>
      </c>
      <c r="P245" s="29"/>
      <c r="Q245" s="27"/>
      <c r="R245" s="26" t="str">
        <f t="array" ref="R245">IF($E245="","",IF($B245="","Thiếu ngày thực hiện",IF(AND($D245&lt;&gt;"",IFERROR(INDEX('Kế hoạch định kỳ'!$C$6:$C$125,MATCH($D245,'Kế hoạch định kỳ'!$B$6:$B$125,0)),"")&lt;&gt;$E245),"Mã TB không khớp công việc",IF(AND(OR($C245="Bảo trì định kỳ",$C245="Hiệu chuẩn – kiểm định"),$D245=""),"Thiếu mã công việc kế hoạch",IF($Q245="","Thiếu kết quả","OK")))))</f>
        <v/>
      </c>
      <c r="S245" s="29"/>
    </row>
    <row r="246" ht="25.5" customHeight="1">
      <c r="A246" s="10" t="str">
        <f t="shared" si="1"/>
        <v/>
      </c>
      <c r="B246" s="13"/>
      <c r="C246" s="11"/>
      <c r="D246" s="11"/>
      <c r="E246" s="11"/>
      <c r="F246" s="14" t="str">
        <f t="array" ref="F246">IF($E246="","",IFERROR(INDEX('Danh mục thiết bị'!$C$6:$C$65,MATCH($E246,'Danh mục thiết bị'!$B$6:$B$65,0)),"Mã TB không tồn tại"))</f>
        <v/>
      </c>
      <c r="G246" s="14" t="str">
        <f t="array" ref="G246">IF($E246="","",IFERROR(INDEX('Danh mục thiết bị'!$D$6:$D$65,MATCH($E246,'Danh mục thiết bị'!$B$6:$B$65,0)),""))</f>
        <v/>
      </c>
      <c r="H246" s="15"/>
      <c r="I246" s="12"/>
      <c r="J246" s="19"/>
      <c r="K246" s="19"/>
      <c r="L246" s="20"/>
      <c r="M246" s="20"/>
      <c r="N246" s="20"/>
      <c r="O246" s="84" t="str">
        <f t="shared" si="2"/>
        <v/>
      </c>
      <c r="P246" s="15"/>
      <c r="Q246" s="11"/>
      <c r="R246" s="10" t="str">
        <f t="array" ref="R246">IF($E246="","",IF($B246="","Thiếu ngày thực hiện",IF(AND($D246&lt;&gt;"",IFERROR(INDEX('Kế hoạch định kỳ'!$C$6:$C$125,MATCH($D246,'Kế hoạch định kỳ'!$B$6:$B$125,0)),"")&lt;&gt;$E246),"Mã TB không khớp công việc",IF(AND(OR($C246="Bảo trì định kỳ",$C246="Hiệu chuẩn – kiểm định"),$D246=""),"Thiếu mã công việc kế hoạch",IF($Q246="","Thiếu kết quả","OK")))))</f>
        <v/>
      </c>
      <c r="S246" s="15"/>
    </row>
    <row r="247" ht="25.5" customHeight="1">
      <c r="A247" s="26" t="str">
        <f t="shared" si="1"/>
        <v/>
      </c>
      <c r="B247" s="32"/>
      <c r="C247" s="27"/>
      <c r="D247" s="27"/>
      <c r="E247" s="27"/>
      <c r="F247" s="28" t="str">
        <f t="array" ref="F247">IF($E247="","",IFERROR(INDEX('Danh mục thiết bị'!$C$6:$C$65,MATCH($E247,'Danh mục thiết bị'!$B$6:$B$65,0)),"Mã TB không tồn tại"))</f>
        <v/>
      </c>
      <c r="G247" s="28" t="str">
        <f t="array" ref="G247">IF($E247="","",IFERROR(INDEX('Danh mục thiết bị'!$D$6:$D$65,MATCH($E247,'Danh mục thiết bị'!$B$6:$B$65,0)),""))</f>
        <v/>
      </c>
      <c r="H247" s="29"/>
      <c r="I247" s="31"/>
      <c r="J247" s="34"/>
      <c r="K247" s="34"/>
      <c r="L247" s="35"/>
      <c r="M247" s="35"/>
      <c r="N247" s="35"/>
      <c r="O247" s="85" t="str">
        <f t="shared" si="2"/>
        <v/>
      </c>
      <c r="P247" s="29"/>
      <c r="Q247" s="27"/>
      <c r="R247" s="26" t="str">
        <f t="array" ref="R247">IF($E247="","",IF($B247="","Thiếu ngày thực hiện",IF(AND($D247&lt;&gt;"",IFERROR(INDEX('Kế hoạch định kỳ'!$C$6:$C$125,MATCH($D247,'Kế hoạch định kỳ'!$B$6:$B$125,0)),"")&lt;&gt;$E247),"Mã TB không khớp công việc",IF(AND(OR($C247="Bảo trì định kỳ",$C247="Hiệu chuẩn – kiểm định"),$D247=""),"Thiếu mã công việc kế hoạch",IF($Q247="","Thiếu kết quả","OK")))))</f>
        <v/>
      </c>
      <c r="S247" s="29"/>
    </row>
    <row r="248" ht="25.5" customHeight="1">
      <c r="A248" s="10" t="str">
        <f t="shared" si="1"/>
        <v/>
      </c>
      <c r="B248" s="13"/>
      <c r="C248" s="11"/>
      <c r="D248" s="11"/>
      <c r="E248" s="11"/>
      <c r="F248" s="14" t="str">
        <f t="array" ref="F248">IF($E248="","",IFERROR(INDEX('Danh mục thiết bị'!$C$6:$C$65,MATCH($E248,'Danh mục thiết bị'!$B$6:$B$65,0)),"Mã TB không tồn tại"))</f>
        <v/>
      </c>
      <c r="G248" s="14" t="str">
        <f t="array" ref="G248">IF($E248="","",IFERROR(INDEX('Danh mục thiết bị'!$D$6:$D$65,MATCH($E248,'Danh mục thiết bị'!$B$6:$B$65,0)),""))</f>
        <v/>
      </c>
      <c r="H248" s="15"/>
      <c r="I248" s="12"/>
      <c r="J248" s="19"/>
      <c r="K248" s="19"/>
      <c r="L248" s="20"/>
      <c r="M248" s="20"/>
      <c r="N248" s="20"/>
      <c r="O248" s="84" t="str">
        <f t="shared" si="2"/>
        <v/>
      </c>
      <c r="P248" s="15"/>
      <c r="Q248" s="11"/>
      <c r="R248" s="10" t="str">
        <f t="array" ref="R248">IF($E248="","",IF($B248="","Thiếu ngày thực hiện",IF(AND($D248&lt;&gt;"",IFERROR(INDEX('Kế hoạch định kỳ'!$C$6:$C$125,MATCH($D248,'Kế hoạch định kỳ'!$B$6:$B$125,0)),"")&lt;&gt;$E248),"Mã TB không khớp công việc",IF(AND(OR($C248="Bảo trì định kỳ",$C248="Hiệu chuẩn – kiểm định"),$D248=""),"Thiếu mã công việc kế hoạch",IF($Q248="","Thiếu kết quả","OK")))))</f>
        <v/>
      </c>
      <c r="S248" s="15"/>
    </row>
    <row r="249" ht="25.5" customHeight="1">
      <c r="A249" s="26" t="str">
        <f t="shared" si="1"/>
        <v/>
      </c>
      <c r="B249" s="32"/>
      <c r="C249" s="27"/>
      <c r="D249" s="27"/>
      <c r="E249" s="27"/>
      <c r="F249" s="28" t="str">
        <f t="array" ref="F249">IF($E249="","",IFERROR(INDEX('Danh mục thiết bị'!$C$6:$C$65,MATCH($E249,'Danh mục thiết bị'!$B$6:$B$65,0)),"Mã TB không tồn tại"))</f>
        <v/>
      </c>
      <c r="G249" s="28" t="str">
        <f t="array" ref="G249">IF($E249="","",IFERROR(INDEX('Danh mục thiết bị'!$D$6:$D$65,MATCH($E249,'Danh mục thiết bị'!$B$6:$B$65,0)),""))</f>
        <v/>
      </c>
      <c r="H249" s="29"/>
      <c r="I249" s="31"/>
      <c r="J249" s="34"/>
      <c r="K249" s="34"/>
      <c r="L249" s="35"/>
      <c r="M249" s="35"/>
      <c r="N249" s="35"/>
      <c r="O249" s="85" t="str">
        <f t="shared" si="2"/>
        <v/>
      </c>
      <c r="P249" s="29"/>
      <c r="Q249" s="27"/>
      <c r="R249" s="26" t="str">
        <f t="array" ref="R249">IF($E249="","",IF($B249="","Thiếu ngày thực hiện",IF(AND($D249&lt;&gt;"",IFERROR(INDEX('Kế hoạch định kỳ'!$C$6:$C$125,MATCH($D249,'Kế hoạch định kỳ'!$B$6:$B$125,0)),"")&lt;&gt;$E249),"Mã TB không khớp công việc",IF(AND(OR($C249="Bảo trì định kỳ",$C249="Hiệu chuẩn – kiểm định"),$D249=""),"Thiếu mã công việc kế hoạch",IF($Q249="","Thiếu kết quả","OK")))))</f>
        <v/>
      </c>
      <c r="S249" s="29"/>
    </row>
    <row r="250" ht="25.5" customHeight="1">
      <c r="A250" s="10" t="str">
        <f t="shared" si="1"/>
        <v/>
      </c>
      <c r="B250" s="13"/>
      <c r="C250" s="11"/>
      <c r="D250" s="11"/>
      <c r="E250" s="11"/>
      <c r="F250" s="14" t="str">
        <f t="array" ref="F250">IF($E250="","",IFERROR(INDEX('Danh mục thiết bị'!$C$6:$C$65,MATCH($E250,'Danh mục thiết bị'!$B$6:$B$65,0)),"Mã TB không tồn tại"))</f>
        <v/>
      </c>
      <c r="G250" s="14" t="str">
        <f t="array" ref="G250">IF($E250="","",IFERROR(INDEX('Danh mục thiết bị'!$D$6:$D$65,MATCH($E250,'Danh mục thiết bị'!$B$6:$B$65,0)),""))</f>
        <v/>
      </c>
      <c r="H250" s="15"/>
      <c r="I250" s="12"/>
      <c r="J250" s="19"/>
      <c r="K250" s="19"/>
      <c r="L250" s="20"/>
      <c r="M250" s="20"/>
      <c r="N250" s="20"/>
      <c r="O250" s="84" t="str">
        <f t="shared" si="2"/>
        <v/>
      </c>
      <c r="P250" s="15"/>
      <c r="Q250" s="11"/>
      <c r="R250" s="10" t="str">
        <f t="array" ref="R250">IF($E250="","",IF($B250="","Thiếu ngày thực hiện",IF(AND($D250&lt;&gt;"",IFERROR(INDEX('Kế hoạch định kỳ'!$C$6:$C$125,MATCH($D250,'Kế hoạch định kỳ'!$B$6:$B$125,0)),"")&lt;&gt;$E250),"Mã TB không khớp công việc",IF(AND(OR($C250="Bảo trì định kỳ",$C250="Hiệu chuẩn – kiểm định"),$D250=""),"Thiếu mã công việc kế hoạch",IF($Q250="","Thiếu kết quả","OK")))))</f>
        <v/>
      </c>
      <c r="S250" s="15"/>
    </row>
    <row r="251" ht="25.5" customHeight="1">
      <c r="A251" s="26" t="str">
        <f t="shared" si="1"/>
        <v/>
      </c>
      <c r="B251" s="32"/>
      <c r="C251" s="27"/>
      <c r="D251" s="27"/>
      <c r="E251" s="27"/>
      <c r="F251" s="28" t="str">
        <f t="array" ref="F251">IF($E251="","",IFERROR(INDEX('Danh mục thiết bị'!$C$6:$C$65,MATCH($E251,'Danh mục thiết bị'!$B$6:$B$65,0)),"Mã TB không tồn tại"))</f>
        <v/>
      </c>
      <c r="G251" s="28" t="str">
        <f t="array" ref="G251">IF($E251="","",IFERROR(INDEX('Danh mục thiết bị'!$D$6:$D$65,MATCH($E251,'Danh mục thiết bị'!$B$6:$B$65,0)),""))</f>
        <v/>
      </c>
      <c r="H251" s="29"/>
      <c r="I251" s="31"/>
      <c r="J251" s="34"/>
      <c r="K251" s="34"/>
      <c r="L251" s="35"/>
      <c r="M251" s="35"/>
      <c r="N251" s="35"/>
      <c r="O251" s="85" t="str">
        <f t="shared" si="2"/>
        <v/>
      </c>
      <c r="P251" s="29"/>
      <c r="Q251" s="27"/>
      <c r="R251" s="26" t="str">
        <f t="array" ref="R251">IF($E251="","",IF($B251="","Thiếu ngày thực hiện",IF(AND($D251&lt;&gt;"",IFERROR(INDEX('Kế hoạch định kỳ'!$C$6:$C$125,MATCH($D251,'Kế hoạch định kỳ'!$B$6:$B$125,0)),"")&lt;&gt;$E251),"Mã TB không khớp công việc",IF(AND(OR($C251="Bảo trì định kỳ",$C251="Hiệu chuẩn – kiểm định"),$D251=""),"Thiếu mã công việc kế hoạch",IF($Q251="","Thiếu kết quả","OK")))))</f>
        <v/>
      </c>
      <c r="S251" s="29"/>
    </row>
    <row r="252" ht="25.5" customHeight="1">
      <c r="A252" s="10" t="str">
        <f t="shared" si="1"/>
        <v/>
      </c>
      <c r="B252" s="13"/>
      <c r="C252" s="11"/>
      <c r="D252" s="11"/>
      <c r="E252" s="11"/>
      <c r="F252" s="14" t="str">
        <f t="array" ref="F252">IF($E252="","",IFERROR(INDEX('Danh mục thiết bị'!$C$6:$C$65,MATCH($E252,'Danh mục thiết bị'!$B$6:$B$65,0)),"Mã TB không tồn tại"))</f>
        <v/>
      </c>
      <c r="G252" s="14" t="str">
        <f t="array" ref="G252">IF($E252="","",IFERROR(INDEX('Danh mục thiết bị'!$D$6:$D$65,MATCH($E252,'Danh mục thiết bị'!$B$6:$B$65,0)),""))</f>
        <v/>
      </c>
      <c r="H252" s="15"/>
      <c r="I252" s="12"/>
      <c r="J252" s="19"/>
      <c r="K252" s="19"/>
      <c r="L252" s="20"/>
      <c r="M252" s="20"/>
      <c r="N252" s="20"/>
      <c r="O252" s="84" t="str">
        <f t="shared" si="2"/>
        <v/>
      </c>
      <c r="P252" s="15"/>
      <c r="Q252" s="11"/>
      <c r="R252" s="10" t="str">
        <f t="array" ref="R252">IF($E252="","",IF($B252="","Thiếu ngày thực hiện",IF(AND($D252&lt;&gt;"",IFERROR(INDEX('Kế hoạch định kỳ'!$C$6:$C$125,MATCH($D252,'Kế hoạch định kỳ'!$B$6:$B$125,0)),"")&lt;&gt;$E252),"Mã TB không khớp công việc",IF(AND(OR($C252="Bảo trì định kỳ",$C252="Hiệu chuẩn – kiểm định"),$D252=""),"Thiếu mã công việc kế hoạch",IF($Q252="","Thiếu kết quả","OK")))))</f>
        <v/>
      </c>
      <c r="S252" s="15"/>
    </row>
    <row r="253" ht="25.5" customHeight="1">
      <c r="A253" s="26" t="str">
        <f t="shared" si="1"/>
        <v/>
      </c>
      <c r="B253" s="32"/>
      <c r="C253" s="27"/>
      <c r="D253" s="27"/>
      <c r="E253" s="27"/>
      <c r="F253" s="28" t="str">
        <f t="array" ref="F253">IF($E253="","",IFERROR(INDEX('Danh mục thiết bị'!$C$6:$C$65,MATCH($E253,'Danh mục thiết bị'!$B$6:$B$65,0)),"Mã TB không tồn tại"))</f>
        <v/>
      </c>
      <c r="G253" s="28" t="str">
        <f t="array" ref="G253">IF($E253="","",IFERROR(INDEX('Danh mục thiết bị'!$D$6:$D$65,MATCH($E253,'Danh mục thiết bị'!$B$6:$B$65,0)),""))</f>
        <v/>
      </c>
      <c r="H253" s="29"/>
      <c r="I253" s="31"/>
      <c r="J253" s="34"/>
      <c r="K253" s="34"/>
      <c r="L253" s="35"/>
      <c r="M253" s="35"/>
      <c r="N253" s="35"/>
      <c r="O253" s="85" t="str">
        <f t="shared" si="2"/>
        <v/>
      </c>
      <c r="P253" s="29"/>
      <c r="Q253" s="27"/>
      <c r="R253" s="26" t="str">
        <f t="array" ref="R253">IF($E253="","",IF($B253="","Thiếu ngày thực hiện",IF(AND($D253&lt;&gt;"",IFERROR(INDEX('Kế hoạch định kỳ'!$C$6:$C$125,MATCH($D253,'Kế hoạch định kỳ'!$B$6:$B$125,0)),"")&lt;&gt;$E253),"Mã TB không khớp công việc",IF(AND(OR($C253="Bảo trì định kỳ",$C253="Hiệu chuẩn – kiểm định"),$D253=""),"Thiếu mã công việc kế hoạch",IF($Q253="","Thiếu kết quả","OK")))))</f>
        <v/>
      </c>
      <c r="S253" s="29"/>
    </row>
    <row r="254" ht="25.5" customHeight="1">
      <c r="A254" s="10" t="str">
        <f t="shared" si="1"/>
        <v/>
      </c>
      <c r="B254" s="13"/>
      <c r="C254" s="11"/>
      <c r="D254" s="11"/>
      <c r="E254" s="11"/>
      <c r="F254" s="14" t="str">
        <f t="array" ref="F254">IF($E254="","",IFERROR(INDEX('Danh mục thiết bị'!$C$6:$C$65,MATCH($E254,'Danh mục thiết bị'!$B$6:$B$65,0)),"Mã TB không tồn tại"))</f>
        <v/>
      </c>
      <c r="G254" s="14" t="str">
        <f t="array" ref="G254">IF($E254="","",IFERROR(INDEX('Danh mục thiết bị'!$D$6:$D$65,MATCH($E254,'Danh mục thiết bị'!$B$6:$B$65,0)),""))</f>
        <v/>
      </c>
      <c r="H254" s="15"/>
      <c r="I254" s="12"/>
      <c r="J254" s="19"/>
      <c r="K254" s="19"/>
      <c r="L254" s="20"/>
      <c r="M254" s="20"/>
      <c r="N254" s="20"/>
      <c r="O254" s="84" t="str">
        <f t="shared" si="2"/>
        <v/>
      </c>
      <c r="P254" s="15"/>
      <c r="Q254" s="11"/>
      <c r="R254" s="10" t="str">
        <f t="array" ref="R254">IF($E254="","",IF($B254="","Thiếu ngày thực hiện",IF(AND($D254&lt;&gt;"",IFERROR(INDEX('Kế hoạch định kỳ'!$C$6:$C$125,MATCH($D254,'Kế hoạch định kỳ'!$B$6:$B$125,0)),"")&lt;&gt;$E254),"Mã TB không khớp công việc",IF(AND(OR($C254="Bảo trì định kỳ",$C254="Hiệu chuẩn – kiểm định"),$D254=""),"Thiếu mã công việc kế hoạch",IF($Q254="","Thiếu kết quả","OK")))))</f>
        <v/>
      </c>
      <c r="S254" s="15"/>
    </row>
    <row r="255" ht="25.5" customHeight="1">
      <c r="A255" s="26" t="str">
        <f t="shared" si="1"/>
        <v/>
      </c>
      <c r="B255" s="32"/>
      <c r="C255" s="27"/>
      <c r="D255" s="27"/>
      <c r="E255" s="27"/>
      <c r="F255" s="28" t="str">
        <f t="array" ref="F255">IF($E255="","",IFERROR(INDEX('Danh mục thiết bị'!$C$6:$C$65,MATCH($E255,'Danh mục thiết bị'!$B$6:$B$65,0)),"Mã TB không tồn tại"))</f>
        <v/>
      </c>
      <c r="G255" s="28" t="str">
        <f t="array" ref="G255">IF($E255="","",IFERROR(INDEX('Danh mục thiết bị'!$D$6:$D$65,MATCH($E255,'Danh mục thiết bị'!$B$6:$B$65,0)),""))</f>
        <v/>
      </c>
      <c r="H255" s="29"/>
      <c r="I255" s="31"/>
      <c r="J255" s="34"/>
      <c r="K255" s="34"/>
      <c r="L255" s="35"/>
      <c r="M255" s="35"/>
      <c r="N255" s="35"/>
      <c r="O255" s="85" t="str">
        <f t="shared" si="2"/>
        <v/>
      </c>
      <c r="P255" s="29"/>
      <c r="Q255" s="27"/>
      <c r="R255" s="26" t="str">
        <f t="array" ref="R255">IF($E255="","",IF($B255="","Thiếu ngày thực hiện",IF(AND($D255&lt;&gt;"",IFERROR(INDEX('Kế hoạch định kỳ'!$C$6:$C$125,MATCH($D255,'Kế hoạch định kỳ'!$B$6:$B$125,0)),"")&lt;&gt;$E255),"Mã TB không khớp công việc",IF(AND(OR($C255="Bảo trì định kỳ",$C255="Hiệu chuẩn – kiểm định"),$D255=""),"Thiếu mã công việc kế hoạch",IF($Q255="","Thiếu kết quả","OK")))))</f>
        <v/>
      </c>
      <c r="S255" s="29"/>
    </row>
    <row r="256" ht="25.5" customHeight="1">
      <c r="A256" s="10" t="str">
        <f t="shared" si="1"/>
        <v/>
      </c>
      <c r="B256" s="13"/>
      <c r="C256" s="11"/>
      <c r="D256" s="11"/>
      <c r="E256" s="11"/>
      <c r="F256" s="14" t="str">
        <f t="array" ref="F256">IF($E256="","",IFERROR(INDEX('Danh mục thiết bị'!$C$6:$C$65,MATCH($E256,'Danh mục thiết bị'!$B$6:$B$65,0)),"Mã TB không tồn tại"))</f>
        <v/>
      </c>
      <c r="G256" s="14" t="str">
        <f t="array" ref="G256">IF($E256="","",IFERROR(INDEX('Danh mục thiết bị'!$D$6:$D$65,MATCH($E256,'Danh mục thiết bị'!$B$6:$B$65,0)),""))</f>
        <v/>
      </c>
      <c r="H256" s="15"/>
      <c r="I256" s="12"/>
      <c r="J256" s="19"/>
      <c r="K256" s="19"/>
      <c r="L256" s="20"/>
      <c r="M256" s="20"/>
      <c r="N256" s="20"/>
      <c r="O256" s="84" t="str">
        <f t="shared" si="2"/>
        <v/>
      </c>
      <c r="P256" s="15"/>
      <c r="Q256" s="11"/>
      <c r="R256" s="10" t="str">
        <f t="array" ref="R256">IF($E256="","",IF($B256="","Thiếu ngày thực hiện",IF(AND($D256&lt;&gt;"",IFERROR(INDEX('Kế hoạch định kỳ'!$C$6:$C$125,MATCH($D256,'Kế hoạch định kỳ'!$B$6:$B$125,0)),"")&lt;&gt;$E256),"Mã TB không khớp công việc",IF(AND(OR($C256="Bảo trì định kỳ",$C256="Hiệu chuẩn – kiểm định"),$D256=""),"Thiếu mã công việc kế hoạch",IF($Q256="","Thiếu kết quả","OK")))))</f>
        <v/>
      </c>
      <c r="S256" s="15"/>
    </row>
    <row r="257" ht="25.5" customHeight="1">
      <c r="A257" s="26" t="str">
        <f t="shared" si="1"/>
        <v/>
      </c>
      <c r="B257" s="32"/>
      <c r="C257" s="27"/>
      <c r="D257" s="27"/>
      <c r="E257" s="27"/>
      <c r="F257" s="28" t="str">
        <f t="array" ref="F257">IF($E257="","",IFERROR(INDEX('Danh mục thiết bị'!$C$6:$C$65,MATCH($E257,'Danh mục thiết bị'!$B$6:$B$65,0)),"Mã TB không tồn tại"))</f>
        <v/>
      </c>
      <c r="G257" s="28" t="str">
        <f t="array" ref="G257">IF($E257="","",IFERROR(INDEX('Danh mục thiết bị'!$D$6:$D$65,MATCH($E257,'Danh mục thiết bị'!$B$6:$B$65,0)),""))</f>
        <v/>
      </c>
      <c r="H257" s="29"/>
      <c r="I257" s="31"/>
      <c r="J257" s="34"/>
      <c r="K257" s="34"/>
      <c r="L257" s="35"/>
      <c r="M257" s="35"/>
      <c r="N257" s="35"/>
      <c r="O257" s="85" t="str">
        <f t="shared" si="2"/>
        <v/>
      </c>
      <c r="P257" s="29"/>
      <c r="Q257" s="27"/>
      <c r="R257" s="26" t="str">
        <f t="array" ref="R257">IF($E257="","",IF($B257="","Thiếu ngày thực hiện",IF(AND($D257&lt;&gt;"",IFERROR(INDEX('Kế hoạch định kỳ'!$C$6:$C$125,MATCH($D257,'Kế hoạch định kỳ'!$B$6:$B$125,0)),"")&lt;&gt;$E257),"Mã TB không khớp công việc",IF(AND(OR($C257="Bảo trì định kỳ",$C257="Hiệu chuẩn – kiểm định"),$D257=""),"Thiếu mã công việc kế hoạch",IF($Q257="","Thiếu kết quả","OK")))))</f>
        <v/>
      </c>
      <c r="S257" s="29"/>
    </row>
    <row r="258" ht="25.5" customHeight="1">
      <c r="A258" s="10" t="str">
        <f t="shared" si="1"/>
        <v/>
      </c>
      <c r="B258" s="13"/>
      <c r="C258" s="11"/>
      <c r="D258" s="11"/>
      <c r="E258" s="11"/>
      <c r="F258" s="14" t="str">
        <f t="array" ref="F258">IF($E258="","",IFERROR(INDEX('Danh mục thiết bị'!$C$6:$C$65,MATCH($E258,'Danh mục thiết bị'!$B$6:$B$65,0)),"Mã TB không tồn tại"))</f>
        <v/>
      </c>
      <c r="G258" s="14" t="str">
        <f t="array" ref="G258">IF($E258="","",IFERROR(INDEX('Danh mục thiết bị'!$D$6:$D$65,MATCH($E258,'Danh mục thiết bị'!$B$6:$B$65,0)),""))</f>
        <v/>
      </c>
      <c r="H258" s="15"/>
      <c r="I258" s="12"/>
      <c r="J258" s="19"/>
      <c r="K258" s="19"/>
      <c r="L258" s="20"/>
      <c r="M258" s="20"/>
      <c r="N258" s="20"/>
      <c r="O258" s="84" t="str">
        <f t="shared" si="2"/>
        <v/>
      </c>
      <c r="P258" s="15"/>
      <c r="Q258" s="11"/>
      <c r="R258" s="10" t="str">
        <f t="array" ref="R258">IF($E258="","",IF($B258="","Thiếu ngày thực hiện",IF(AND($D258&lt;&gt;"",IFERROR(INDEX('Kế hoạch định kỳ'!$C$6:$C$125,MATCH($D258,'Kế hoạch định kỳ'!$B$6:$B$125,0)),"")&lt;&gt;$E258),"Mã TB không khớp công việc",IF(AND(OR($C258="Bảo trì định kỳ",$C258="Hiệu chuẩn – kiểm định"),$D258=""),"Thiếu mã công việc kế hoạch",IF($Q258="","Thiếu kết quả","OK")))))</f>
        <v/>
      </c>
      <c r="S258" s="15"/>
    </row>
    <row r="259" ht="25.5" customHeight="1">
      <c r="A259" s="26" t="str">
        <f t="shared" si="1"/>
        <v/>
      </c>
      <c r="B259" s="32"/>
      <c r="C259" s="27"/>
      <c r="D259" s="27"/>
      <c r="E259" s="27"/>
      <c r="F259" s="28" t="str">
        <f t="array" ref="F259">IF($E259="","",IFERROR(INDEX('Danh mục thiết bị'!$C$6:$C$65,MATCH($E259,'Danh mục thiết bị'!$B$6:$B$65,0)),"Mã TB không tồn tại"))</f>
        <v/>
      </c>
      <c r="G259" s="28" t="str">
        <f t="array" ref="G259">IF($E259="","",IFERROR(INDEX('Danh mục thiết bị'!$D$6:$D$65,MATCH($E259,'Danh mục thiết bị'!$B$6:$B$65,0)),""))</f>
        <v/>
      </c>
      <c r="H259" s="29"/>
      <c r="I259" s="31"/>
      <c r="J259" s="34"/>
      <c r="K259" s="34"/>
      <c r="L259" s="35"/>
      <c r="M259" s="35"/>
      <c r="N259" s="35"/>
      <c r="O259" s="85" t="str">
        <f t="shared" si="2"/>
        <v/>
      </c>
      <c r="P259" s="29"/>
      <c r="Q259" s="27"/>
      <c r="R259" s="26" t="str">
        <f t="array" ref="R259">IF($E259="","",IF($B259="","Thiếu ngày thực hiện",IF(AND($D259&lt;&gt;"",IFERROR(INDEX('Kế hoạch định kỳ'!$C$6:$C$125,MATCH($D259,'Kế hoạch định kỳ'!$B$6:$B$125,0)),"")&lt;&gt;$E259),"Mã TB không khớp công việc",IF(AND(OR($C259="Bảo trì định kỳ",$C259="Hiệu chuẩn – kiểm định"),$D259=""),"Thiếu mã công việc kế hoạch",IF($Q259="","Thiếu kết quả","OK")))))</f>
        <v/>
      </c>
      <c r="S259" s="29"/>
    </row>
    <row r="260" ht="25.5" customHeight="1">
      <c r="A260" s="10" t="str">
        <f t="shared" si="1"/>
        <v/>
      </c>
      <c r="B260" s="13"/>
      <c r="C260" s="11"/>
      <c r="D260" s="11"/>
      <c r="E260" s="11"/>
      <c r="F260" s="14" t="str">
        <f t="array" ref="F260">IF($E260="","",IFERROR(INDEX('Danh mục thiết bị'!$C$6:$C$65,MATCH($E260,'Danh mục thiết bị'!$B$6:$B$65,0)),"Mã TB không tồn tại"))</f>
        <v/>
      </c>
      <c r="G260" s="14" t="str">
        <f t="array" ref="G260">IF($E260="","",IFERROR(INDEX('Danh mục thiết bị'!$D$6:$D$65,MATCH($E260,'Danh mục thiết bị'!$B$6:$B$65,0)),""))</f>
        <v/>
      </c>
      <c r="H260" s="15"/>
      <c r="I260" s="12"/>
      <c r="J260" s="19"/>
      <c r="K260" s="19"/>
      <c r="L260" s="20"/>
      <c r="M260" s="20"/>
      <c r="N260" s="20"/>
      <c r="O260" s="84" t="str">
        <f t="shared" si="2"/>
        <v/>
      </c>
      <c r="P260" s="15"/>
      <c r="Q260" s="11"/>
      <c r="R260" s="10" t="str">
        <f t="array" ref="R260">IF($E260="","",IF($B260="","Thiếu ngày thực hiện",IF(AND($D260&lt;&gt;"",IFERROR(INDEX('Kế hoạch định kỳ'!$C$6:$C$125,MATCH($D260,'Kế hoạch định kỳ'!$B$6:$B$125,0)),"")&lt;&gt;$E260),"Mã TB không khớp công việc",IF(AND(OR($C260="Bảo trì định kỳ",$C260="Hiệu chuẩn – kiểm định"),$D260=""),"Thiếu mã công việc kế hoạch",IF($Q260="","Thiếu kết quả","OK")))))</f>
        <v/>
      </c>
      <c r="S260" s="15"/>
    </row>
    <row r="261" ht="25.5" customHeight="1">
      <c r="A261" s="26" t="str">
        <f t="shared" si="1"/>
        <v/>
      </c>
      <c r="B261" s="32"/>
      <c r="C261" s="27"/>
      <c r="D261" s="27"/>
      <c r="E261" s="27"/>
      <c r="F261" s="28" t="str">
        <f t="array" ref="F261">IF($E261="","",IFERROR(INDEX('Danh mục thiết bị'!$C$6:$C$65,MATCH($E261,'Danh mục thiết bị'!$B$6:$B$65,0)),"Mã TB không tồn tại"))</f>
        <v/>
      </c>
      <c r="G261" s="28" t="str">
        <f t="array" ref="G261">IF($E261="","",IFERROR(INDEX('Danh mục thiết bị'!$D$6:$D$65,MATCH($E261,'Danh mục thiết bị'!$B$6:$B$65,0)),""))</f>
        <v/>
      </c>
      <c r="H261" s="29"/>
      <c r="I261" s="31"/>
      <c r="J261" s="34"/>
      <c r="K261" s="34"/>
      <c r="L261" s="35"/>
      <c r="M261" s="35"/>
      <c r="N261" s="35"/>
      <c r="O261" s="85" t="str">
        <f t="shared" si="2"/>
        <v/>
      </c>
      <c r="P261" s="29"/>
      <c r="Q261" s="27"/>
      <c r="R261" s="26" t="str">
        <f t="array" ref="R261">IF($E261="","",IF($B261="","Thiếu ngày thực hiện",IF(AND($D261&lt;&gt;"",IFERROR(INDEX('Kế hoạch định kỳ'!$C$6:$C$125,MATCH($D261,'Kế hoạch định kỳ'!$B$6:$B$125,0)),"")&lt;&gt;$E261),"Mã TB không khớp công việc",IF(AND(OR($C261="Bảo trì định kỳ",$C261="Hiệu chuẩn – kiểm định"),$D261=""),"Thiếu mã công việc kế hoạch",IF($Q261="","Thiếu kết quả","OK")))))</f>
        <v/>
      </c>
      <c r="S261" s="29"/>
    </row>
    <row r="262" ht="25.5" customHeight="1">
      <c r="A262" s="10" t="str">
        <f t="shared" si="1"/>
        <v/>
      </c>
      <c r="B262" s="13"/>
      <c r="C262" s="11"/>
      <c r="D262" s="11"/>
      <c r="E262" s="11"/>
      <c r="F262" s="14" t="str">
        <f t="array" ref="F262">IF($E262="","",IFERROR(INDEX('Danh mục thiết bị'!$C$6:$C$65,MATCH($E262,'Danh mục thiết bị'!$B$6:$B$65,0)),"Mã TB không tồn tại"))</f>
        <v/>
      </c>
      <c r="G262" s="14" t="str">
        <f t="array" ref="G262">IF($E262="","",IFERROR(INDEX('Danh mục thiết bị'!$D$6:$D$65,MATCH($E262,'Danh mục thiết bị'!$B$6:$B$65,0)),""))</f>
        <v/>
      </c>
      <c r="H262" s="15"/>
      <c r="I262" s="12"/>
      <c r="J262" s="19"/>
      <c r="K262" s="19"/>
      <c r="L262" s="20"/>
      <c r="M262" s="20"/>
      <c r="N262" s="20"/>
      <c r="O262" s="84" t="str">
        <f t="shared" si="2"/>
        <v/>
      </c>
      <c r="P262" s="15"/>
      <c r="Q262" s="11"/>
      <c r="R262" s="10" t="str">
        <f t="array" ref="R262">IF($E262="","",IF($B262="","Thiếu ngày thực hiện",IF(AND($D262&lt;&gt;"",IFERROR(INDEX('Kế hoạch định kỳ'!$C$6:$C$125,MATCH($D262,'Kế hoạch định kỳ'!$B$6:$B$125,0)),"")&lt;&gt;$E262),"Mã TB không khớp công việc",IF(AND(OR($C262="Bảo trì định kỳ",$C262="Hiệu chuẩn – kiểm định"),$D262=""),"Thiếu mã công việc kế hoạch",IF($Q262="","Thiếu kết quả","OK")))))</f>
        <v/>
      </c>
      <c r="S262" s="15"/>
    </row>
    <row r="263" ht="25.5" customHeight="1">
      <c r="A263" s="26" t="str">
        <f t="shared" si="1"/>
        <v/>
      </c>
      <c r="B263" s="32"/>
      <c r="C263" s="27"/>
      <c r="D263" s="27"/>
      <c r="E263" s="27"/>
      <c r="F263" s="28" t="str">
        <f t="array" ref="F263">IF($E263="","",IFERROR(INDEX('Danh mục thiết bị'!$C$6:$C$65,MATCH($E263,'Danh mục thiết bị'!$B$6:$B$65,0)),"Mã TB không tồn tại"))</f>
        <v/>
      </c>
      <c r="G263" s="28" t="str">
        <f t="array" ref="G263">IF($E263="","",IFERROR(INDEX('Danh mục thiết bị'!$D$6:$D$65,MATCH($E263,'Danh mục thiết bị'!$B$6:$B$65,0)),""))</f>
        <v/>
      </c>
      <c r="H263" s="29"/>
      <c r="I263" s="31"/>
      <c r="J263" s="34"/>
      <c r="K263" s="34"/>
      <c r="L263" s="35"/>
      <c r="M263" s="35"/>
      <c r="N263" s="35"/>
      <c r="O263" s="85" t="str">
        <f t="shared" si="2"/>
        <v/>
      </c>
      <c r="P263" s="29"/>
      <c r="Q263" s="27"/>
      <c r="R263" s="26" t="str">
        <f t="array" ref="R263">IF($E263="","",IF($B263="","Thiếu ngày thực hiện",IF(AND($D263&lt;&gt;"",IFERROR(INDEX('Kế hoạch định kỳ'!$C$6:$C$125,MATCH($D263,'Kế hoạch định kỳ'!$B$6:$B$125,0)),"")&lt;&gt;$E263),"Mã TB không khớp công việc",IF(AND(OR($C263="Bảo trì định kỳ",$C263="Hiệu chuẩn – kiểm định"),$D263=""),"Thiếu mã công việc kế hoạch",IF($Q263="","Thiếu kết quả","OK")))))</f>
        <v/>
      </c>
      <c r="S263" s="29"/>
    </row>
    <row r="264" ht="25.5" customHeight="1">
      <c r="A264" s="10" t="str">
        <f t="shared" si="1"/>
        <v/>
      </c>
      <c r="B264" s="13"/>
      <c r="C264" s="11"/>
      <c r="D264" s="11"/>
      <c r="E264" s="11"/>
      <c r="F264" s="14" t="str">
        <f t="array" ref="F264">IF($E264="","",IFERROR(INDEX('Danh mục thiết bị'!$C$6:$C$65,MATCH($E264,'Danh mục thiết bị'!$B$6:$B$65,0)),"Mã TB không tồn tại"))</f>
        <v/>
      </c>
      <c r="G264" s="14" t="str">
        <f t="array" ref="G264">IF($E264="","",IFERROR(INDEX('Danh mục thiết bị'!$D$6:$D$65,MATCH($E264,'Danh mục thiết bị'!$B$6:$B$65,0)),""))</f>
        <v/>
      </c>
      <c r="H264" s="15"/>
      <c r="I264" s="12"/>
      <c r="J264" s="19"/>
      <c r="K264" s="19"/>
      <c r="L264" s="20"/>
      <c r="M264" s="20"/>
      <c r="N264" s="20"/>
      <c r="O264" s="84" t="str">
        <f t="shared" si="2"/>
        <v/>
      </c>
      <c r="P264" s="15"/>
      <c r="Q264" s="11"/>
      <c r="R264" s="10" t="str">
        <f t="array" ref="R264">IF($E264="","",IF($B264="","Thiếu ngày thực hiện",IF(AND($D264&lt;&gt;"",IFERROR(INDEX('Kế hoạch định kỳ'!$C$6:$C$125,MATCH($D264,'Kế hoạch định kỳ'!$B$6:$B$125,0)),"")&lt;&gt;$E264),"Mã TB không khớp công việc",IF(AND(OR($C264="Bảo trì định kỳ",$C264="Hiệu chuẩn – kiểm định"),$D264=""),"Thiếu mã công việc kế hoạch",IF($Q264="","Thiếu kết quả","OK")))))</f>
        <v/>
      </c>
      <c r="S264" s="15"/>
    </row>
    <row r="265" ht="25.5" customHeight="1">
      <c r="A265" s="26" t="str">
        <f t="shared" si="1"/>
        <v/>
      </c>
      <c r="B265" s="32"/>
      <c r="C265" s="27"/>
      <c r="D265" s="27"/>
      <c r="E265" s="27"/>
      <c r="F265" s="28" t="str">
        <f t="array" ref="F265">IF($E265="","",IFERROR(INDEX('Danh mục thiết bị'!$C$6:$C$65,MATCH($E265,'Danh mục thiết bị'!$B$6:$B$65,0)),"Mã TB không tồn tại"))</f>
        <v/>
      </c>
      <c r="G265" s="28" t="str">
        <f t="array" ref="G265">IF($E265="","",IFERROR(INDEX('Danh mục thiết bị'!$D$6:$D$65,MATCH($E265,'Danh mục thiết bị'!$B$6:$B$65,0)),""))</f>
        <v/>
      </c>
      <c r="H265" s="29"/>
      <c r="I265" s="31"/>
      <c r="J265" s="34"/>
      <c r="K265" s="34"/>
      <c r="L265" s="35"/>
      <c r="M265" s="35"/>
      <c r="N265" s="35"/>
      <c r="O265" s="85" t="str">
        <f t="shared" si="2"/>
        <v/>
      </c>
      <c r="P265" s="29"/>
      <c r="Q265" s="27"/>
      <c r="R265" s="26" t="str">
        <f t="array" ref="R265">IF($E265="","",IF($B265="","Thiếu ngày thực hiện",IF(AND($D265&lt;&gt;"",IFERROR(INDEX('Kế hoạch định kỳ'!$C$6:$C$125,MATCH($D265,'Kế hoạch định kỳ'!$B$6:$B$125,0)),"")&lt;&gt;$E265),"Mã TB không khớp công việc",IF(AND(OR($C265="Bảo trì định kỳ",$C265="Hiệu chuẩn – kiểm định"),$D265=""),"Thiếu mã công việc kế hoạch",IF($Q265="","Thiếu kết quả","OK")))))</f>
        <v/>
      </c>
      <c r="S265" s="29"/>
    </row>
    <row r="266" ht="25.5" customHeight="1">
      <c r="A266" s="10" t="str">
        <f t="shared" si="1"/>
        <v/>
      </c>
      <c r="B266" s="13"/>
      <c r="C266" s="11"/>
      <c r="D266" s="11"/>
      <c r="E266" s="11"/>
      <c r="F266" s="14" t="str">
        <f t="array" ref="F266">IF($E266="","",IFERROR(INDEX('Danh mục thiết bị'!$C$6:$C$65,MATCH($E266,'Danh mục thiết bị'!$B$6:$B$65,0)),"Mã TB không tồn tại"))</f>
        <v/>
      </c>
      <c r="G266" s="14" t="str">
        <f t="array" ref="G266">IF($E266="","",IFERROR(INDEX('Danh mục thiết bị'!$D$6:$D$65,MATCH($E266,'Danh mục thiết bị'!$B$6:$B$65,0)),""))</f>
        <v/>
      </c>
      <c r="H266" s="15"/>
      <c r="I266" s="12"/>
      <c r="J266" s="19"/>
      <c r="K266" s="19"/>
      <c r="L266" s="20"/>
      <c r="M266" s="20"/>
      <c r="N266" s="20"/>
      <c r="O266" s="84" t="str">
        <f t="shared" si="2"/>
        <v/>
      </c>
      <c r="P266" s="15"/>
      <c r="Q266" s="11"/>
      <c r="R266" s="10" t="str">
        <f t="array" ref="R266">IF($E266="","",IF($B266="","Thiếu ngày thực hiện",IF(AND($D266&lt;&gt;"",IFERROR(INDEX('Kế hoạch định kỳ'!$C$6:$C$125,MATCH($D266,'Kế hoạch định kỳ'!$B$6:$B$125,0)),"")&lt;&gt;$E266),"Mã TB không khớp công việc",IF(AND(OR($C266="Bảo trì định kỳ",$C266="Hiệu chuẩn – kiểm định"),$D266=""),"Thiếu mã công việc kế hoạch",IF($Q266="","Thiếu kết quả","OK")))))</f>
        <v/>
      </c>
      <c r="S266" s="15"/>
    </row>
    <row r="267" ht="25.5" customHeight="1">
      <c r="A267" s="26" t="str">
        <f t="shared" si="1"/>
        <v/>
      </c>
      <c r="B267" s="32"/>
      <c r="C267" s="27"/>
      <c r="D267" s="27"/>
      <c r="E267" s="27"/>
      <c r="F267" s="28" t="str">
        <f t="array" ref="F267">IF($E267="","",IFERROR(INDEX('Danh mục thiết bị'!$C$6:$C$65,MATCH($E267,'Danh mục thiết bị'!$B$6:$B$65,0)),"Mã TB không tồn tại"))</f>
        <v/>
      </c>
      <c r="G267" s="28" t="str">
        <f t="array" ref="G267">IF($E267="","",IFERROR(INDEX('Danh mục thiết bị'!$D$6:$D$65,MATCH($E267,'Danh mục thiết bị'!$B$6:$B$65,0)),""))</f>
        <v/>
      </c>
      <c r="H267" s="29"/>
      <c r="I267" s="31"/>
      <c r="J267" s="34"/>
      <c r="K267" s="34"/>
      <c r="L267" s="35"/>
      <c r="M267" s="35"/>
      <c r="N267" s="35"/>
      <c r="O267" s="85" t="str">
        <f t="shared" si="2"/>
        <v/>
      </c>
      <c r="P267" s="29"/>
      <c r="Q267" s="27"/>
      <c r="R267" s="26" t="str">
        <f t="array" ref="R267">IF($E267="","",IF($B267="","Thiếu ngày thực hiện",IF(AND($D267&lt;&gt;"",IFERROR(INDEX('Kế hoạch định kỳ'!$C$6:$C$125,MATCH($D267,'Kế hoạch định kỳ'!$B$6:$B$125,0)),"")&lt;&gt;$E267),"Mã TB không khớp công việc",IF(AND(OR($C267="Bảo trì định kỳ",$C267="Hiệu chuẩn – kiểm định"),$D267=""),"Thiếu mã công việc kế hoạch",IF($Q267="","Thiếu kết quả","OK")))))</f>
        <v/>
      </c>
      <c r="S267" s="29"/>
    </row>
    <row r="268" ht="25.5" customHeight="1">
      <c r="A268" s="10" t="str">
        <f t="shared" si="1"/>
        <v/>
      </c>
      <c r="B268" s="13"/>
      <c r="C268" s="11"/>
      <c r="D268" s="11"/>
      <c r="E268" s="11"/>
      <c r="F268" s="14" t="str">
        <f t="array" ref="F268">IF($E268="","",IFERROR(INDEX('Danh mục thiết bị'!$C$6:$C$65,MATCH($E268,'Danh mục thiết bị'!$B$6:$B$65,0)),"Mã TB không tồn tại"))</f>
        <v/>
      </c>
      <c r="G268" s="14" t="str">
        <f t="array" ref="G268">IF($E268="","",IFERROR(INDEX('Danh mục thiết bị'!$D$6:$D$65,MATCH($E268,'Danh mục thiết bị'!$B$6:$B$65,0)),""))</f>
        <v/>
      </c>
      <c r="H268" s="15"/>
      <c r="I268" s="12"/>
      <c r="J268" s="19"/>
      <c r="K268" s="19"/>
      <c r="L268" s="20"/>
      <c r="M268" s="20"/>
      <c r="N268" s="20"/>
      <c r="O268" s="84" t="str">
        <f t="shared" si="2"/>
        <v/>
      </c>
      <c r="P268" s="15"/>
      <c r="Q268" s="11"/>
      <c r="R268" s="10" t="str">
        <f t="array" ref="R268">IF($E268="","",IF($B268="","Thiếu ngày thực hiện",IF(AND($D268&lt;&gt;"",IFERROR(INDEX('Kế hoạch định kỳ'!$C$6:$C$125,MATCH($D268,'Kế hoạch định kỳ'!$B$6:$B$125,0)),"")&lt;&gt;$E268),"Mã TB không khớp công việc",IF(AND(OR($C268="Bảo trì định kỳ",$C268="Hiệu chuẩn – kiểm định"),$D268=""),"Thiếu mã công việc kế hoạch",IF($Q268="","Thiếu kết quả","OK")))))</f>
        <v/>
      </c>
      <c r="S268" s="15"/>
    </row>
    <row r="269" ht="25.5" customHeight="1">
      <c r="A269" s="26" t="str">
        <f t="shared" si="1"/>
        <v/>
      </c>
      <c r="B269" s="32"/>
      <c r="C269" s="27"/>
      <c r="D269" s="27"/>
      <c r="E269" s="27"/>
      <c r="F269" s="28" t="str">
        <f t="array" ref="F269">IF($E269="","",IFERROR(INDEX('Danh mục thiết bị'!$C$6:$C$65,MATCH($E269,'Danh mục thiết bị'!$B$6:$B$65,0)),"Mã TB không tồn tại"))</f>
        <v/>
      </c>
      <c r="G269" s="28" t="str">
        <f t="array" ref="G269">IF($E269="","",IFERROR(INDEX('Danh mục thiết bị'!$D$6:$D$65,MATCH($E269,'Danh mục thiết bị'!$B$6:$B$65,0)),""))</f>
        <v/>
      </c>
      <c r="H269" s="29"/>
      <c r="I269" s="31"/>
      <c r="J269" s="34"/>
      <c r="K269" s="34"/>
      <c r="L269" s="35"/>
      <c r="M269" s="35"/>
      <c r="N269" s="35"/>
      <c r="O269" s="85" t="str">
        <f t="shared" si="2"/>
        <v/>
      </c>
      <c r="P269" s="29"/>
      <c r="Q269" s="27"/>
      <c r="R269" s="26" t="str">
        <f t="array" ref="R269">IF($E269="","",IF($B269="","Thiếu ngày thực hiện",IF(AND($D269&lt;&gt;"",IFERROR(INDEX('Kế hoạch định kỳ'!$C$6:$C$125,MATCH($D269,'Kế hoạch định kỳ'!$B$6:$B$125,0)),"")&lt;&gt;$E269),"Mã TB không khớp công việc",IF(AND(OR($C269="Bảo trì định kỳ",$C269="Hiệu chuẩn – kiểm định"),$D269=""),"Thiếu mã công việc kế hoạch",IF($Q269="","Thiếu kết quả","OK")))))</f>
        <v/>
      </c>
      <c r="S269" s="29"/>
    </row>
    <row r="270" ht="25.5" customHeight="1">
      <c r="A270" s="10" t="str">
        <f t="shared" si="1"/>
        <v/>
      </c>
      <c r="B270" s="13"/>
      <c r="C270" s="11"/>
      <c r="D270" s="11"/>
      <c r="E270" s="11"/>
      <c r="F270" s="14" t="str">
        <f t="array" ref="F270">IF($E270="","",IFERROR(INDEX('Danh mục thiết bị'!$C$6:$C$65,MATCH($E270,'Danh mục thiết bị'!$B$6:$B$65,0)),"Mã TB không tồn tại"))</f>
        <v/>
      </c>
      <c r="G270" s="14" t="str">
        <f t="array" ref="G270">IF($E270="","",IFERROR(INDEX('Danh mục thiết bị'!$D$6:$D$65,MATCH($E270,'Danh mục thiết bị'!$B$6:$B$65,0)),""))</f>
        <v/>
      </c>
      <c r="H270" s="15"/>
      <c r="I270" s="12"/>
      <c r="J270" s="19"/>
      <c r="K270" s="19"/>
      <c r="L270" s="20"/>
      <c r="M270" s="20"/>
      <c r="N270" s="20"/>
      <c r="O270" s="84" t="str">
        <f t="shared" si="2"/>
        <v/>
      </c>
      <c r="P270" s="15"/>
      <c r="Q270" s="11"/>
      <c r="R270" s="10" t="str">
        <f t="array" ref="R270">IF($E270="","",IF($B270="","Thiếu ngày thực hiện",IF(AND($D270&lt;&gt;"",IFERROR(INDEX('Kế hoạch định kỳ'!$C$6:$C$125,MATCH($D270,'Kế hoạch định kỳ'!$B$6:$B$125,0)),"")&lt;&gt;$E270),"Mã TB không khớp công việc",IF(AND(OR($C270="Bảo trì định kỳ",$C270="Hiệu chuẩn – kiểm định"),$D270=""),"Thiếu mã công việc kế hoạch",IF($Q270="","Thiếu kết quả","OK")))))</f>
        <v/>
      </c>
      <c r="S270" s="15"/>
    </row>
    <row r="271" ht="25.5" customHeight="1">
      <c r="A271" s="26" t="str">
        <f t="shared" si="1"/>
        <v/>
      </c>
      <c r="B271" s="32"/>
      <c r="C271" s="27"/>
      <c r="D271" s="27"/>
      <c r="E271" s="27"/>
      <c r="F271" s="28" t="str">
        <f t="array" ref="F271">IF($E271="","",IFERROR(INDEX('Danh mục thiết bị'!$C$6:$C$65,MATCH($E271,'Danh mục thiết bị'!$B$6:$B$65,0)),"Mã TB không tồn tại"))</f>
        <v/>
      </c>
      <c r="G271" s="28" t="str">
        <f t="array" ref="G271">IF($E271="","",IFERROR(INDEX('Danh mục thiết bị'!$D$6:$D$65,MATCH($E271,'Danh mục thiết bị'!$B$6:$B$65,0)),""))</f>
        <v/>
      </c>
      <c r="H271" s="29"/>
      <c r="I271" s="31"/>
      <c r="J271" s="34"/>
      <c r="K271" s="34"/>
      <c r="L271" s="35"/>
      <c r="M271" s="35"/>
      <c r="N271" s="35"/>
      <c r="O271" s="85" t="str">
        <f t="shared" si="2"/>
        <v/>
      </c>
      <c r="P271" s="29"/>
      <c r="Q271" s="27"/>
      <c r="R271" s="26" t="str">
        <f t="array" ref="R271">IF($E271="","",IF($B271="","Thiếu ngày thực hiện",IF(AND($D271&lt;&gt;"",IFERROR(INDEX('Kế hoạch định kỳ'!$C$6:$C$125,MATCH($D271,'Kế hoạch định kỳ'!$B$6:$B$125,0)),"")&lt;&gt;$E271),"Mã TB không khớp công việc",IF(AND(OR($C271="Bảo trì định kỳ",$C271="Hiệu chuẩn – kiểm định"),$D271=""),"Thiếu mã công việc kế hoạch",IF($Q271="","Thiếu kết quả","OK")))))</f>
        <v/>
      </c>
      <c r="S271" s="29"/>
    </row>
    <row r="272" ht="25.5" customHeight="1">
      <c r="A272" s="10" t="str">
        <f t="shared" si="1"/>
        <v/>
      </c>
      <c r="B272" s="13"/>
      <c r="C272" s="11"/>
      <c r="D272" s="11"/>
      <c r="E272" s="11"/>
      <c r="F272" s="14" t="str">
        <f t="array" ref="F272">IF($E272="","",IFERROR(INDEX('Danh mục thiết bị'!$C$6:$C$65,MATCH($E272,'Danh mục thiết bị'!$B$6:$B$65,0)),"Mã TB không tồn tại"))</f>
        <v/>
      </c>
      <c r="G272" s="14" t="str">
        <f t="array" ref="G272">IF($E272="","",IFERROR(INDEX('Danh mục thiết bị'!$D$6:$D$65,MATCH($E272,'Danh mục thiết bị'!$B$6:$B$65,0)),""))</f>
        <v/>
      </c>
      <c r="H272" s="15"/>
      <c r="I272" s="12"/>
      <c r="J272" s="19"/>
      <c r="K272" s="19"/>
      <c r="L272" s="20"/>
      <c r="M272" s="20"/>
      <c r="N272" s="20"/>
      <c r="O272" s="84" t="str">
        <f t="shared" si="2"/>
        <v/>
      </c>
      <c r="P272" s="15"/>
      <c r="Q272" s="11"/>
      <c r="R272" s="10" t="str">
        <f t="array" ref="R272">IF($E272="","",IF($B272="","Thiếu ngày thực hiện",IF(AND($D272&lt;&gt;"",IFERROR(INDEX('Kế hoạch định kỳ'!$C$6:$C$125,MATCH($D272,'Kế hoạch định kỳ'!$B$6:$B$125,0)),"")&lt;&gt;$E272),"Mã TB không khớp công việc",IF(AND(OR($C272="Bảo trì định kỳ",$C272="Hiệu chuẩn – kiểm định"),$D272=""),"Thiếu mã công việc kế hoạch",IF($Q272="","Thiếu kết quả","OK")))))</f>
        <v/>
      </c>
      <c r="S272" s="15"/>
    </row>
    <row r="273" ht="25.5" customHeight="1">
      <c r="A273" s="26" t="str">
        <f t="shared" si="1"/>
        <v/>
      </c>
      <c r="B273" s="32"/>
      <c r="C273" s="27"/>
      <c r="D273" s="27"/>
      <c r="E273" s="27"/>
      <c r="F273" s="28" t="str">
        <f t="array" ref="F273">IF($E273="","",IFERROR(INDEX('Danh mục thiết bị'!$C$6:$C$65,MATCH($E273,'Danh mục thiết bị'!$B$6:$B$65,0)),"Mã TB không tồn tại"))</f>
        <v/>
      </c>
      <c r="G273" s="28" t="str">
        <f t="array" ref="G273">IF($E273="","",IFERROR(INDEX('Danh mục thiết bị'!$D$6:$D$65,MATCH($E273,'Danh mục thiết bị'!$B$6:$B$65,0)),""))</f>
        <v/>
      </c>
      <c r="H273" s="29"/>
      <c r="I273" s="31"/>
      <c r="J273" s="34"/>
      <c r="K273" s="34"/>
      <c r="L273" s="35"/>
      <c r="M273" s="35"/>
      <c r="N273" s="35"/>
      <c r="O273" s="85" t="str">
        <f t="shared" si="2"/>
        <v/>
      </c>
      <c r="P273" s="29"/>
      <c r="Q273" s="27"/>
      <c r="R273" s="26" t="str">
        <f t="array" ref="R273">IF($E273="","",IF($B273="","Thiếu ngày thực hiện",IF(AND($D273&lt;&gt;"",IFERROR(INDEX('Kế hoạch định kỳ'!$C$6:$C$125,MATCH($D273,'Kế hoạch định kỳ'!$B$6:$B$125,0)),"")&lt;&gt;$E273),"Mã TB không khớp công việc",IF(AND(OR($C273="Bảo trì định kỳ",$C273="Hiệu chuẩn – kiểm định"),$D273=""),"Thiếu mã công việc kế hoạch",IF($Q273="","Thiếu kết quả","OK")))))</f>
        <v/>
      </c>
      <c r="S273" s="29"/>
    </row>
    <row r="274" ht="25.5" customHeight="1">
      <c r="A274" s="10" t="str">
        <f t="shared" si="1"/>
        <v/>
      </c>
      <c r="B274" s="13"/>
      <c r="C274" s="11"/>
      <c r="D274" s="11"/>
      <c r="E274" s="11"/>
      <c r="F274" s="14" t="str">
        <f t="array" ref="F274">IF($E274="","",IFERROR(INDEX('Danh mục thiết bị'!$C$6:$C$65,MATCH($E274,'Danh mục thiết bị'!$B$6:$B$65,0)),"Mã TB không tồn tại"))</f>
        <v/>
      </c>
      <c r="G274" s="14" t="str">
        <f t="array" ref="G274">IF($E274="","",IFERROR(INDEX('Danh mục thiết bị'!$D$6:$D$65,MATCH($E274,'Danh mục thiết bị'!$B$6:$B$65,0)),""))</f>
        <v/>
      </c>
      <c r="H274" s="15"/>
      <c r="I274" s="12"/>
      <c r="J274" s="19"/>
      <c r="K274" s="19"/>
      <c r="L274" s="20"/>
      <c r="M274" s="20"/>
      <c r="N274" s="20"/>
      <c r="O274" s="84" t="str">
        <f t="shared" si="2"/>
        <v/>
      </c>
      <c r="P274" s="15"/>
      <c r="Q274" s="11"/>
      <c r="R274" s="10" t="str">
        <f t="array" ref="R274">IF($E274="","",IF($B274="","Thiếu ngày thực hiện",IF(AND($D274&lt;&gt;"",IFERROR(INDEX('Kế hoạch định kỳ'!$C$6:$C$125,MATCH($D274,'Kế hoạch định kỳ'!$B$6:$B$125,0)),"")&lt;&gt;$E274),"Mã TB không khớp công việc",IF(AND(OR($C274="Bảo trì định kỳ",$C274="Hiệu chuẩn – kiểm định"),$D274=""),"Thiếu mã công việc kế hoạch",IF($Q274="","Thiếu kết quả","OK")))))</f>
        <v/>
      </c>
      <c r="S274" s="15"/>
    </row>
    <row r="275" ht="25.5" customHeight="1">
      <c r="A275" s="26" t="str">
        <f t="shared" si="1"/>
        <v/>
      </c>
      <c r="B275" s="32"/>
      <c r="C275" s="27"/>
      <c r="D275" s="27"/>
      <c r="E275" s="27"/>
      <c r="F275" s="28" t="str">
        <f t="array" ref="F275">IF($E275="","",IFERROR(INDEX('Danh mục thiết bị'!$C$6:$C$65,MATCH($E275,'Danh mục thiết bị'!$B$6:$B$65,0)),"Mã TB không tồn tại"))</f>
        <v/>
      </c>
      <c r="G275" s="28" t="str">
        <f t="array" ref="G275">IF($E275="","",IFERROR(INDEX('Danh mục thiết bị'!$D$6:$D$65,MATCH($E275,'Danh mục thiết bị'!$B$6:$B$65,0)),""))</f>
        <v/>
      </c>
      <c r="H275" s="29"/>
      <c r="I275" s="31"/>
      <c r="J275" s="34"/>
      <c r="K275" s="34"/>
      <c r="L275" s="35"/>
      <c r="M275" s="35"/>
      <c r="N275" s="35"/>
      <c r="O275" s="85" t="str">
        <f t="shared" si="2"/>
        <v/>
      </c>
      <c r="P275" s="29"/>
      <c r="Q275" s="27"/>
      <c r="R275" s="26" t="str">
        <f t="array" ref="R275">IF($E275="","",IF($B275="","Thiếu ngày thực hiện",IF(AND($D275&lt;&gt;"",IFERROR(INDEX('Kế hoạch định kỳ'!$C$6:$C$125,MATCH($D275,'Kế hoạch định kỳ'!$B$6:$B$125,0)),"")&lt;&gt;$E275),"Mã TB không khớp công việc",IF(AND(OR($C275="Bảo trì định kỳ",$C275="Hiệu chuẩn – kiểm định"),$D275=""),"Thiếu mã công việc kế hoạch",IF($Q275="","Thiếu kết quả","OK")))))</f>
        <v/>
      </c>
      <c r="S275" s="29"/>
    </row>
    <row r="276" ht="25.5" customHeight="1">
      <c r="A276" s="10" t="str">
        <f t="shared" si="1"/>
        <v/>
      </c>
      <c r="B276" s="13"/>
      <c r="C276" s="11"/>
      <c r="D276" s="11"/>
      <c r="E276" s="11"/>
      <c r="F276" s="14" t="str">
        <f t="array" ref="F276">IF($E276="","",IFERROR(INDEX('Danh mục thiết bị'!$C$6:$C$65,MATCH($E276,'Danh mục thiết bị'!$B$6:$B$65,0)),"Mã TB không tồn tại"))</f>
        <v/>
      </c>
      <c r="G276" s="14" t="str">
        <f t="array" ref="G276">IF($E276="","",IFERROR(INDEX('Danh mục thiết bị'!$D$6:$D$65,MATCH($E276,'Danh mục thiết bị'!$B$6:$B$65,0)),""))</f>
        <v/>
      </c>
      <c r="H276" s="15"/>
      <c r="I276" s="12"/>
      <c r="J276" s="19"/>
      <c r="K276" s="19"/>
      <c r="L276" s="20"/>
      <c r="M276" s="20"/>
      <c r="N276" s="20"/>
      <c r="O276" s="84" t="str">
        <f t="shared" si="2"/>
        <v/>
      </c>
      <c r="P276" s="15"/>
      <c r="Q276" s="11"/>
      <c r="R276" s="10" t="str">
        <f t="array" ref="R276">IF($E276="","",IF($B276="","Thiếu ngày thực hiện",IF(AND($D276&lt;&gt;"",IFERROR(INDEX('Kế hoạch định kỳ'!$C$6:$C$125,MATCH($D276,'Kế hoạch định kỳ'!$B$6:$B$125,0)),"")&lt;&gt;$E276),"Mã TB không khớp công việc",IF(AND(OR($C276="Bảo trì định kỳ",$C276="Hiệu chuẩn – kiểm định"),$D276=""),"Thiếu mã công việc kế hoạch",IF($Q276="","Thiếu kết quả","OK")))))</f>
        <v/>
      </c>
      <c r="S276" s="15"/>
    </row>
    <row r="277" ht="25.5" customHeight="1">
      <c r="A277" s="26" t="str">
        <f t="shared" si="1"/>
        <v/>
      </c>
      <c r="B277" s="32"/>
      <c r="C277" s="27"/>
      <c r="D277" s="27"/>
      <c r="E277" s="27"/>
      <c r="F277" s="28" t="str">
        <f t="array" ref="F277">IF($E277="","",IFERROR(INDEX('Danh mục thiết bị'!$C$6:$C$65,MATCH($E277,'Danh mục thiết bị'!$B$6:$B$65,0)),"Mã TB không tồn tại"))</f>
        <v/>
      </c>
      <c r="G277" s="28" t="str">
        <f t="array" ref="G277">IF($E277="","",IFERROR(INDEX('Danh mục thiết bị'!$D$6:$D$65,MATCH($E277,'Danh mục thiết bị'!$B$6:$B$65,0)),""))</f>
        <v/>
      </c>
      <c r="H277" s="29"/>
      <c r="I277" s="31"/>
      <c r="J277" s="34"/>
      <c r="K277" s="34"/>
      <c r="L277" s="35"/>
      <c r="M277" s="35"/>
      <c r="N277" s="35"/>
      <c r="O277" s="85" t="str">
        <f t="shared" si="2"/>
        <v/>
      </c>
      <c r="P277" s="29"/>
      <c r="Q277" s="27"/>
      <c r="R277" s="26" t="str">
        <f t="array" ref="R277">IF($E277="","",IF($B277="","Thiếu ngày thực hiện",IF(AND($D277&lt;&gt;"",IFERROR(INDEX('Kế hoạch định kỳ'!$C$6:$C$125,MATCH($D277,'Kế hoạch định kỳ'!$B$6:$B$125,0)),"")&lt;&gt;$E277),"Mã TB không khớp công việc",IF(AND(OR($C277="Bảo trì định kỳ",$C277="Hiệu chuẩn – kiểm định"),$D277=""),"Thiếu mã công việc kế hoạch",IF($Q277="","Thiếu kết quả","OK")))))</f>
        <v/>
      </c>
      <c r="S277" s="29"/>
    </row>
    <row r="278" ht="25.5" customHeight="1">
      <c r="A278" s="10" t="str">
        <f t="shared" si="1"/>
        <v/>
      </c>
      <c r="B278" s="13"/>
      <c r="C278" s="11"/>
      <c r="D278" s="11"/>
      <c r="E278" s="11"/>
      <c r="F278" s="14" t="str">
        <f t="array" ref="F278">IF($E278="","",IFERROR(INDEX('Danh mục thiết bị'!$C$6:$C$65,MATCH($E278,'Danh mục thiết bị'!$B$6:$B$65,0)),"Mã TB không tồn tại"))</f>
        <v/>
      </c>
      <c r="G278" s="14" t="str">
        <f t="array" ref="G278">IF($E278="","",IFERROR(INDEX('Danh mục thiết bị'!$D$6:$D$65,MATCH($E278,'Danh mục thiết bị'!$B$6:$B$65,0)),""))</f>
        <v/>
      </c>
      <c r="H278" s="15"/>
      <c r="I278" s="12"/>
      <c r="J278" s="19"/>
      <c r="K278" s="19"/>
      <c r="L278" s="20"/>
      <c r="M278" s="20"/>
      <c r="N278" s="20"/>
      <c r="O278" s="84" t="str">
        <f t="shared" si="2"/>
        <v/>
      </c>
      <c r="P278" s="15"/>
      <c r="Q278" s="11"/>
      <c r="R278" s="10" t="str">
        <f t="array" ref="R278">IF($E278="","",IF($B278="","Thiếu ngày thực hiện",IF(AND($D278&lt;&gt;"",IFERROR(INDEX('Kế hoạch định kỳ'!$C$6:$C$125,MATCH($D278,'Kế hoạch định kỳ'!$B$6:$B$125,0)),"")&lt;&gt;$E278),"Mã TB không khớp công việc",IF(AND(OR($C278="Bảo trì định kỳ",$C278="Hiệu chuẩn – kiểm định"),$D278=""),"Thiếu mã công việc kế hoạch",IF($Q278="","Thiếu kết quả","OK")))))</f>
        <v/>
      </c>
      <c r="S278" s="15"/>
    </row>
    <row r="279" ht="25.5" customHeight="1">
      <c r="A279" s="26" t="str">
        <f t="shared" si="1"/>
        <v/>
      </c>
      <c r="B279" s="32"/>
      <c r="C279" s="27"/>
      <c r="D279" s="27"/>
      <c r="E279" s="27"/>
      <c r="F279" s="28" t="str">
        <f t="array" ref="F279">IF($E279="","",IFERROR(INDEX('Danh mục thiết bị'!$C$6:$C$65,MATCH($E279,'Danh mục thiết bị'!$B$6:$B$65,0)),"Mã TB không tồn tại"))</f>
        <v/>
      </c>
      <c r="G279" s="28" t="str">
        <f t="array" ref="G279">IF($E279="","",IFERROR(INDEX('Danh mục thiết bị'!$D$6:$D$65,MATCH($E279,'Danh mục thiết bị'!$B$6:$B$65,0)),""))</f>
        <v/>
      </c>
      <c r="H279" s="29"/>
      <c r="I279" s="31"/>
      <c r="J279" s="34"/>
      <c r="K279" s="34"/>
      <c r="L279" s="35"/>
      <c r="M279" s="35"/>
      <c r="N279" s="35"/>
      <c r="O279" s="85" t="str">
        <f t="shared" si="2"/>
        <v/>
      </c>
      <c r="P279" s="29"/>
      <c r="Q279" s="27"/>
      <c r="R279" s="26" t="str">
        <f t="array" ref="R279">IF($E279="","",IF($B279="","Thiếu ngày thực hiện",IF(AND($D279&lt;&gt;"",IFERROR(INDEX('Kế hoạch định kỳ'!$C$6:$C$125,MATCH($D279,'Kế hoạch định kỳ'!$B$6:$B$125,0)),"")&lt;&gt;$E279),"Mã TB không khớp công việc",IF(AND(OR($C279="Bảo trì định kỳ",$C279="Hiệu chuẩn – kiểm định"),$D279=""),"Thiếu mã công việc kế hoạch",IF($Q279="","Thiếu kết quả","OK")))))</f>
        <v/>
      </c>
      <c r="S279" s="29"/>
    </row>
    <row r="280" ht="25.5" customHeight="1">
      <c r="A280" s="10" t="str">
        <f t="shared" si="1"/>
        <v/>
      </c>
      <c r="B280" s="13"/>
      <c r="C280" s="11"/>
      <c r="D280" s="11"/>
      <c r="E280" s="11"/>
      <c r="F280" s="14" t="str">
        <f t="array" ref="F280">IF($E280="","",IFERROR(INDEX('Danh mục thiết bị'!$C$6:$C$65,MATCH($E280,'Danh mục thiết bị'!$B$6:$B$65,0)),"Mã TB không tồn tại"))</f>
        <v/>
      </c>
      <c r="G280" s="14" t="str">
        <f t="array" ref="G280">IF($E280="","",IFERROR(INDEX('Danh mục thiết bị'!$D$6:$D$65,MATCH($E280,'Danh mục thiết bị'!$B$6:$B$65,0)),""))</f>
        <v/>
      </c>
      <c r="H280" s="15"/>
      <c r="I280" s="12"/>
      <c r="J280" s="19"/>
      <c r="K280" s="19"/>
      <c r="L280" s="20"/>
      <c r="M280" s="20"/>
      <c r="N280" s="20"/>
      <c r="O280" s="84" t="str">
        <f t="shared" si="2"/>
        <v/>
      </c>
      <c r="P280" s="15"/>
      <c r="Q280" s="11"/>
      <c r="R280" s="10" t="str">
        <f t="array" ref="R280">IF($E280="","",IF($B280="","Thiếu ngày thực hiện",IF(AND($D280&lt;&gt;"",IFERROR(INDEX('Kế hoạch định kỳ'!$C$6:$C$125,MATCH($D280,'Kế hoạch định kỳ'!$B$6:$B$125,0)),"")&lt;&gt;$E280),"Mã TB không khớp công việc",IF(AND(OR($C280="Bảo trì định kỳ",$C280="Hiệu chuẩn – kiểm định"),$D280=""),"Thiếu mã công việc kế hoạch",IF($Q280="","Thiếu kết quả","OK")))))</f>
        <v/>
      </c>
      <c r="S280" s="15"/>
    </row>
    <row r="281" ht="25.5" customHeight="1">
      <c r="A281" s="26" t="str">
        <f t="shared" si="1"/>
        <v/>
      </c>
      <c r="B281" s="32"/>
      <c r="C281" s="27"/>
      <c r="D281" s="27"/>
      <c r="E281" s="27"/>
      <c r="F281" s="28" t="str">
        <f t="array" ref="F281">IF($E281="","",IFERROR(INDEX('Danh mục thiết bị'!$C$6:$C$65,MATCH($E281,'Danh mục thiết bị'!$B$6:$B$65,0)),"Mã TB không tồn tại"))</f>
        <v/>
      </c>
      <c r="G281" s="28" t="str">
        <f t="array" ref="G281">IF($E281="","",IFERROR(INDEX('Danh mục thiết bị'!$D$6:$D$65,MATCH($E281,'Danh mục thiết bị'!$B$6:$B$65,0)),""))</f>
        <v/>
      </c>
      <c r="H281" s="29"/>
      <c r="I281" s="31"/>
      <c r="J281" s="34"/>
      <c r="K281" s="34"/>
      <c r="L281" s="35"/>
      <c r="M281" s="35"/>
      <c r="N281" s="35"/>
      <c r="O281" s="85" t="str">
        <f t="shared" si="2"/>
        <v/>
      </c>
      <c r="P281" s="29"/>
      <c r="Q281" s="27"/>
      <c r="R281" s="26" t="str">
        <f t="array" ref="R281">IF($E281="","",IF($B281="","Thiếu ngày thực hiện",IF(AND($D281&lt;&gt;"",IFERROR(INDEX('Kế hoạch định kỳ'!$C$6:$C$125,MATCH($D281,'Kế hoạch định kỳ'!$B$6:$B$125,0)),"")&lt;&gt;$E281),"Mã TB không khớp công việc",IF(AND(OR($C281="Bảo trì định kỳ",$C281="Hiệu chuẩn – kiểm định"),$D281=""),"Thiếu mã công việc kế hoạch",IF($Q281="","Thiếu kết quả","OK")))))</f>
        <v/>
      </c>
      <c r="S281" s="29"/>
    </row>
    <row r="282" ht="25.5" customHeight="1">
      <c r="A282" s="10" t="str">
        <f t="shared" si="1"/>
        <v/>
      </c>
      <c r="B282" s="13"/>
      <c r="C282" s="11"/>
      <c r="D282" s="11"/>
      <c r="E282" s="11"/>
      <c r="F282" s="14" t="str">
        <f t="array" ref="F282">IF($E282="","",IFERROR(INDEX('Danh mục thiết bị'!$C$6:$C$65,MATCH($E282,'Danh mục thiết bị'!$B$6:$B$65,0)),"Mã TB không tồn tại"))</f>
        <v/>
      </c>
      <c r="G282" s="14" t="str">
        <f t="array" ref="G282">IF($E282="","",IFERROR(INDEX('Danh mục thiết bị'!$D$6:$D$65,MATCH($E282,'Danh mục thiết bị'!$B$6:$B$65,0)),""))</f>
        <v/>
      </c>
      <c r="H282" s="15"/>
      <c r="I282" s="12"/>
      <c r="J282" s="19"/>
      <c r="K282" s="19"/>
      <c r="L282" s="20"/>
      <c r="M282" s="20"/>
      <c r="N282" s="20"/>
      <c r="O282" s="84" t="str">
        <f t="shared" si="2"/>
        <v/>
      </c>
      <c r="P282" s="15"/>
      <c r="Q282" s="11"/>
      <c r="R282" s="10" t="str">
        <f t="array" ref="R282">IF($E282="","",IF($B282="","Thiếu ngày thực hiện",IF(AND($D282&lt;&gt;"",IFERROR(INDEX('Kế hoạch định kỳ'!$C$6:$C$125,MATCH($D282,'Kế hoạch định kỳ'!$B$6:$B$125,0)),"")&lt;&gt;$E282),"Mã TB không khớp công việc",IF(AND(OR($C282="Bảo trì định kỳ",$C282="Hiệu chuẩn – kiểm định"),$D282=""),"Thiếu mã công việc kế hoạch",IF($Q282="","Thiếu kết quả","OK")))))</f>
        <v/>
      </c>
      <c r="S282" s="15"/>
    </row>
    <row r="283" ht="25.5" customHeight="1">
      <c r="A283" s="26" t="str">
        <f t="shared" si="1"/>
        <v/>
      </c>
      <c r="B283" s="32"/>
      <c r="C283" s="27"/>
      <c r="D283" s="27"/>
      <c r="E283" s="27"/>
      <c r="F283" s="28" t="str">
        <f t="array" ref="F283">IF($E283="","",IFERROR(INDEX('Danh mục thiết bị'!$C$6:$C$65,MATCH($E283,'Danh mục thiết bị'!$B$6:$B$65,0)),"Mã TB không tồn tại"))</f>
        <v/>
      </c>
      <c r="G283" s="28" t="str">
        <f t="array" ref="G283">IF($E283="","",IFERROR(INDEX('Danh mục thiết bị'!$D$6:$D$65,MATCH($E283,'Danh mục thiết bị'!$B$6:$B$65,0)),""))</f>
        <v/>
      </c>
      <c r="H283" s="29"/>
      <c r="I283" s="31"/>
      <c r="J283" s="34"/>
      <c r="K283" s="34"/>
      <c r="L283" s="35"/>
      <c r="M283" s="35"/>
      <c r="N283" s="35"/>
      <c r="O283" s="85" t="str">
        <f t="shared" si="2"/>
        <v/>
      </c>
      <c r="P283" s="29"/>
      <c r="Q283" s="27"/>
      <c r="R283" s="26" t="str">
        <f t="array" ref="R283">IF($E283="","",IF($B283="","Thiếu ngày thực hiện",IF(AND($D283&lt;&gt;"",IFERROR(INDEX('Kế hoạch định kỳ'!$C$6:$C$125,MATCH($D283,'Kế hoạch định kỳ'!$B$6:$B$125,0)),"")&lt;&gt;$E283),"Mã TB không khớp công việc",IF(AND(OR($C283="Bảo trì định kỳ",$C283="Hiệu chuẩn – kiểm định"),$D283=""),"Thiếu mã công việc kế hoạch",IF($Q283="","Thiếu kết quả","OK")))))</f>
        <v/>
      </c>
      <c r="S283" s="29"/>
    </row>
    <row r="284" ht="25.5" customHeight="1">
      <c r="A284" s="10" t="str">
        <f t="shared" si="1"/>
        <v/>
      </c>
      <c r="B284" s="13"/>
      <c r="C284" s="11"/>
      <c r="D284" s="11"/>
      <c r="E284" s="11"/>
      <c r="F284" s="14" t="str">
        <f t="array" ref="F284">IF($E284="","",IFERROR(INDEX('Danh mục thiết bị'!$C$6:$C$65,MATCH($E284,'Danh mục thiết bị'!$B$6:$B$65,0)),"Mã TB không tồn tại"))</f>
        <v/>
      </c>
      <c r="G284" s="14" t="str">
        <f t="array" ref="G284">IF($E284="","",IFERROR(INDEX('Danh mục thiết bị'!$D$6:$D$65,MATCH($E284,'Danh mục thiết bị'!$B$6:$B$65,0)),""))</f>
        <v/>
      </c>
      <c r="H284" s="15"/>
      <c r="I284" s="12"/>
      <c r="J284" s="19"/>
      <c r="K284" s="19"/>
      <c r="L284" s="20"/>
      <c r="M284" s="20"/>
      <c r="N284" s="20"/>
      <c r="O284" s="84" t="str">
        <f t="shared" si="2"/>
        <v/>
      </c>
      <c r="P284" s="15"/>
      <c r="Q284" s="11"/>
      <c r="R284" s="10" t="str">
        <f t="array" ref="R284">IF($E284="","",IF($B284="","Thiếu ngày thực hiện",IF(AND($D284&lt;&gt;"",IFERROR(INDEX('Kế hoạch định kỳ'!$C$6:$C$125,MATCH($D284,'Kế hoạch định kỳ'!$B$6:$B$125,0)),"")&lt;&gt;$E284),"Mã TB không khớp công việc",IF(AND(OR($C284="Bảo trì định kỳ",$C284="Hiệu chuẩn – kiểm định"),$D284=""),"Thiếu mã công việc kế hoạch",IF($Q284="","Thiếu kết quả","OK")))))</f>
        <v/>
      </c>
      <c r="S284" s="15"/>
    </row>
    <row r="285" ht="25.5" customHeight="1">
      <c r="A285" s="26" t="str">
        <f t="shared" si="1"/>
        <v/>
      </c>
      <c r="B285" s="32"/>
      <c r="C285" s="27"/>
      <c r="D285" s="27"/>
      <c r="E285" s="27"/>
      <c r="F285" s="28" t="str">
        <f t="array" ref="F285">IF($E285="","",IFERROR(INDEX('Danh mục thiết bị'!$C$6:$C$65,MATCH($E285,'Danh mục thiết bị'!$B$6:$B$65,0)),"Mã TB không tồn tại"))</f>
        <v/>
      </c>
      <c r="G285" s="28" t="str">
        <f t="array" ref="G285">IF($E285="","",IFERROR(INDEX('Danh mục thiết bị'!$D$6:$D$65,MATCH($E285,'Danh mục thiết bị'!$B$6:$B$65,0)),""))</f>
        <v/>
      </c>
      <c r="H285" s="29"/>
      <c r="I285" s="31"/>
      <c r="J285" s="34"/>
      <c r="K285" s="34"/>
      <c r="L285" s="35"/>
      <c r="M285" s="35"/>
      <c r="N285" s="35"/>
      <c r="O285" s="85" t="str">
        <f t="shared" si="2"/>
        <v/>
      </c>
      <c r="P285" s="29"/>
      <c r="Q285" s="27"/>
      <c r="R285" s="26" t="str">
        <f t="array" ref="R285">IF($E285="","",IF($B285="","Thiếu ngày thực hiện",IF(AND($D285&lt;&gt;"",IFERROR(INDEX('Kế hoạch định kỳ'!$C$6:$C$125,MATCH($D285,'Kế hoạch định kỳ'!$B$6:$B$125,0)),"")&lt;&gt;$E285),"Mã TB không khớp công việc",IF(AND(OR($C285="Bảo trì định kỳ",$C285="Hiệu chuẩn – kiểm định"),$D285=""),"Thiếu mã công việc kế hoạch",IF($Q285="","Thiếu kết quả","OK")))))</f>
        <v/>
      </c>
      <c r="S285" s="29"/>
    </row>
    <row r="286" ht="25.5" customHeight="1">
      <c r="A286" s="10" t="str">
        <f t="shared" si="1"/>
        <v/>
      </c>
      <c r="B286" s="13"/>
      <c r="C286" s="11"/>
      <c r="D286" s="11"/>
      <c r="E286" s="11"/>
      <c r="F286" s="14" t="str">
        <f t="array" ref="F286">IF($E286="","",IFERROR(INDEX('Danh mục thiết bị'!$C$6:$C$65,MATCH($E286,'Danh mục thiết bị'!$B$6:$B$65,0)),"Mã TB không tồn tại"))</f>
        <v/>
      </c>
      <c r="G286" s="14" t="str">
        <f t="array" ref="G286">IF($E286="","",IFERROR(INDEX('Danh mục thiết bị'!$D$6:$D$65,MATCH($E286,'Danh mục thiết bị'!$B$6:$B$65,0)),""))</f>
        <v/>
      </c>
      <c r="H286" s="15"/>
      <c r="I286" s="12"/>
      <c r="J286" s="19"/>
      <c r="K286" s="19"/>
      <c r="L286" s="20"/>
      <c r="M286" s="20"/>
      <c r="N286" s="20"/>
      <c r="O286" s="84" t="str">
        <f t="shared" si="2"/>
        <v/>
      </c>
      <c r="P286" s="15"/>
      <c r="Q286" s="11"/>
      <c r="R286" s="10" t="str">
        <f t="array" ref="R286">IF($E286="","",IF($B286="","Thiếu ngày thực hiện",IF(AND($D286&lt;&gt;"",IFERROR(INDEX('Kế hoạch định kỳ'!$C$6:$C$125,MATCH($D286,'Kế hoạch định kỳ'!$B$6:$B$125,0)),"")&lt;&gt;$E286),"Mã TB không khớp công việc",IF(AND(OR($C286="Bảo trì định kỳ",$C286="Hiệu chuẩn – kiểm định"),$D286=""),"Thiếu mã công việc kế hoạch",IF($Q286="","Thiếu kết quả","OK")))))</f>
        <v/>
      </c>
      <c r="S286" s="15"/>
    </row>
    <row r="287" ht="25.5" customHeight="1">
      <c r="A287" s="26" t="str">
        <f t="shared" si="1"/>
        <v/>
      </c>
      <c r="B287" s="32"/>
      <c r="C287" s="27"/>
      <c r="D287" s="27"/>
      <c r="E287" s="27"/>
      <c r="F287" s="28" t="str">
        <f t="array" ref="F287">IF($E287="","",IFERROR(INDEX('Danh mục thiết bị'!$C$6:$C$65,MATCH($E287,'Danh mục thiết bị'!$B$6:$B$65,0)),"Mã TB không tồn tại"))</f>
        <v/>
      </c>
      <c r="G287" s="28" t="str">
        <f t="array" ref="G287">IF($E287="","",IFERROR(INDEX('Danh mục thiết bị'!$D$6:$D$65,MATCH($E287,'Danh mục thiết bị'!$B$6:$B$65,0)),""))</f>
        <v/>
      </c>
      <c r="H287" s="29"/>
      <c r="I287" s="31"/>
      <c r="J287" s="34"/>
      <c r="K287" s="34"/>
      <c r="L287" s="35"/>
      <c r="M287" s="35"/>
      <c r="N287" s="35"/>
      <c r="O287" s="85" t="str">
        <f t="shared" si="2"/>
        <v/>
      </c>
      <c r="P287" s="29"/>
      <c r="Q287" s="27"/>
      <c r="R287" s="26" t="str">
        <f t="array" ref="R287">IF($E287="","",IF($B287="","Thiếu ngày thực hiện",IF(AND($D287&lt;&gt;"",IFERROR(INDEX('Kế hoạch định kỳ'!$C$6:$C$125,MATCH($D287,'Kế hoạch định kỳ'!$B$6:$B$125,0)),"")&lt;&gt;$E287),"Mã TB không khớp công việc",IF(AND(OR($C287="Bảo trì định kỳ",$C287="Hiệu chuẩn – kiểm định"),$D287=""),"Thiếu mã công việc kế hoạch",IF($Q287="","Thiếu kết quả","OK")))))</f>
        <v/>
      </c>
      <c r="S287" s="29"/>
    </row>
    <row r="288" ht="25.5" customHeight="1">
      <c r="A288" s="10" t="str">
        <f t="shared" si="1"/>
        <v/>
      </c>
      <c r="B288" s="13"/>
      <c r="C288" s="11"/>
      <c r="D288" s="11"/>
      <c r="E288" s="11"/>
      <c r="F288" s="14" t="str">
        <f t="array" ref="F288">IF($E288="","",IFERROR(INDEX('Danh mục thiết bị'!$C$6:$C$65,MATCH($E288,'Danh mục thiết bị'!$B$6:$B$65,0)),"Mã TB không tồn tại"))</f>
        <v/>
      </c>
      <c r="G288" s="14" t="str">
        <f t="array" ref="G288">IF($E288="","",IFERROR(INDEX('Danh mục thiết bị'!$D$6:$D$65,MATCH($E288,'Danh mục thiết bị'!$B$6:$B$65,0)),""))</f>
        <v/>
      </c>
      <c r="H288" s="15"/>
      <c r="I288" s="12"/>
      <c r="J288" s="19"/>
      <c r="K288" s="19"/>
      <c r="L288" s="20"/>
      <c r="M288" s="20"/>
      <c r="N288" s="20"/>
      <c r="O288" s="84" t="str">
        <f t="shared" si="2"/>
        <v/>
      </c>
      <c r="P288" s="15"/>
      <c r="Q288" s="11"/>
      <c r="R288" s="10" t="str">
        <f t="array" ref="R288">IF($E288="","",IF($B288="","Thiếu ngày thực hiện",IF(AND($D288&lt;&gt;"",IFERROR(INDEX('Kế hoạch định kỳ'!$C$6:$C$125,MATCH($D288,'Kế hoạch định kỳ'!$B$6:$B$125,0)),"")&lt;&gt;$E288),"Mã TB không khớp công việc",IF(AND(OR($C288="Bảo trì định kỳ",$C288="Hiệu chuẩn – kiểm định"),$D288=""),"Thiếu mã công việc kế hoạch",IF($Q288="","Thiếu kết quả","OK")))))</f>
        <v/>
      </c>
      <c r="S288" s="15"/>
    </row>
    <row r="289" ht="25.5" customHeight="1">
      <c r="A289" s="26" t="str">
        <f t="shared" si="1"/>
        <v/>
      </c>
      <c r="B289" s="32"/>
      <c r="C289" s="27"/>
      <c r="D289" s="27"/>
      <c r="E289" s="27"/>
      <c r="F289" s="28" t="str">
        <f t="array" ref="F289">IF($E289="","",IFERROR(INDEX('Danh mục thiết bị'!$C$6:$C$65,MATCH($E289,'Danh mục thiết bị'!$B$6:$B$65,0)),"Mã TB không tồn tại"))</f>
        <v/>
      </c>
      <c r="G289" s="28" t="str">
        <f t="array" ref="G289">IF($E289="","",IFERROR(INDEX('Danh mục thiết bị'!$D$6:$D$65,MATCH($E289,'Danh mục thiết bị'!$B$6:$B$65,0)),""))</f>
        <v/>
      </c>
      <c r="H289" s="29"/>
      <c r="I289" s="31"/>
      <c r="J289" s="34"/>
      <c r="K289" s="34"/>
      <c r="L289" s="35"/>
      <c r="M289" s="35"/>
      <c r="N289" s="35"/>
      <c r="O289" s="85" t="str">
        <f t="shared" si="2"/>
        <v/>
      </c>
      <c r="P289" s="29"/>
      <c r="Q289" s="27"/>
      <c r="R289" s="26" t="str">
        <f t="array" ref="R289">IF($E289="","",IF($B289="","Thiếu ngày thực hiện",IF(AND($D289&lt;&gt;"",IFERROR(INDEX('Kế hoạch định kỳ'!$C$6:$C$125,MATCH($D289,'Kế hoạch định kỳ'!$B$6:$B$125,0)),"")&lt;&gt;$E289),"Mã TB không khớp công việc",IF(AND(OR($C289="Bảo trì định kỳ",$C289="Hiệu chuẩn – kiểm định"),$D289=""),"Thiếu mã công việc kế hoạch",IF($Q289="","Thiếu kết quả","OK")))))</f>
        <v/>
      </c>
      <c r="S289" s="29"/>
    </row>
    <row r="290" ht="25.5" customHeight="1">
      <c r="A290" s="10" t="str">
        <f t="shared" si="1"/>
        <v/>
      </c>
      <c r="B290" s="13"/>
      <c r="C290" s="11"/>
      <c r="D290" s="11"/>
      <c r="E290" s="11"/>
      <c r="F290" s="14" t="str">
        <f t="array" ref="F290">IF($E290="","",IFERROR(INDEX('Danh mục thiết bị'!$C$6:$C$65,MATCH($E290,'Danh mục thiết bị'!$B$6:$B$65,0)),"Mã TB không tồn tại"))</f>
        <v/>
      </c>
      <c r="G290" s="14" t="str">
        <f t="array" ref="G290">IF($E290="","",IFERROR(INDEX('Danh mục thiết bị'!$D$6:$D$65,MATCH($E290,'Danh mục thiết bị'!$B$6:$B$65,0)),""))</f>
        <v/>
      </c>
      <c r="H290" s="15"/>
      <c r="I290" s="12"/>
      <c r="J290" s="19"/>
      <c r="K290" s="19"/>
      <c r="L290" s="20"/>
      <c r="M290" s="20"/>
      <c r="N290" s="20"/>
      <c r="O290" s="84" t="str">
        <f t="shared" si="2"/>
        <v/>
      </c>
      <c r="P290" s="15"/>
      <c r="Q290" s="11"/>
      <c r="R290" s="10" t="str">
        <f t="array" ref="R290">IF($E290="","",IF($B290="","Thiếu ngày thực hiện",IF(AND($D290&lt;&gt;"",IFERROR(INDEX('Kế hoạch định kỳ'!$C$6:$C$125,MATCH($D290,'Kế hoạch định kỳ'!$B$6:$B$125,0)),"")&lt;&gt;$E290),"Mã TB không khớp công việc",IF(AND(OR($C290="Bảo trì định kỳ",$C290="Hiệu chuẩn – kiểm định"),$D290=""),"Thiếu mã công việc kế hoạch",IF($Q290="","Thiếu kết quả","OK")))))</f>
        <v/>
      </c>
      <c r="S290" s="15"/>
    </row>
    <row r="291" ht="25.5" customHeight="1">
      <c r="A291" s="26" t="str">
        <f t="shared" si="1"/>
        <v/>
      </c>
      <c r="B291" s="32"/>
      <c r="C291" s="27"/>
      <c r="D291" s="27"/>
      <c r="E291" s="27"/>
      <c r="F291" s="28" t="str">
        <f t="array" ref="F291">IF($E291="","",IFERROR(INDEX('Danh mục thiết bị'!$C$6:$C$65,MATCH($E291,'Danh mục thiết bị'!$B$6:$B$65,0)),"Mã TB không tồn tại"))</f>
        <v/>
      </c>
      <c r="G291" s="28" t="str">
        <f t="array" ref="G291">IF($E291="","",IFERROR(INDEX('Danh mục thiết bị'!$D$6:$D$65,MATCH($E291,'Danh mục thiết bị'!$B$6:$B$65,0)),""))</f>
        <v/>
      </c>
      <c r="H291" s="29"/>
      <c r="I291" s="31"/>
      <c r="J291" s="34"/>
      <c r="K291" s="34"/>
      <c r="L291" s="35"/>
      <c r="M291" s="35"/>
      <c r="N291" s="35"/>
      <c r="O291" s="85" t="str">
        <f t="shared" si="2"/>
        <v/>
      </c>
      <c r="P291" s="29"/>
      <c r="Q291" s="27"/>
      <c r="R291" s="26" t="str">
        <f t="array" ref="R291">IF($E291="","",IF($B291="","Thiếu ngày thực hiện",IF(AND($D291&lt;&gt;"",IFERROR(INDEX('Kế hoạch định kỳ'!$C$6:$C$125,MATCH($D291,'Kế hoạch định kỳ'!$B$6:$B$125,0)),"")&lt;&gt;$E291),"Mã TB không khớp công việc",IF(AND(OR($C291="Bảo trì định kỳ",$C291="Hiệu chuẩn – kiểm định"),$D291=""),"Thiếu mã công việc kế hoạch",IF($Q291="","Thiếu kết quả","OK")))))</f>
        <v/>
      </c>
      <c r="S291" s="29"/>
    </row>
    <row r="292" ht="25.5" customHeight="1">
      <c r="A292" s="10" t="str">
        <f t="shared" si="1"/>
        <v/>
      </c>
      <c r="B292" s="13"/>
      <c r="C292" s="11"/>
      <c r="D292" s="11"/>
      <c r="E292" s="11"/>
      <c r="F292" s="14" t="str">
        <f t="array" ref="F292">IF($E292="","",IFERROR(INDEX('Danh mục thiết bị'!$C$6:$C$65,MATCH($E292,'Danh mục thiết bị'!$B$6:$B$65,0)),"Mã TB không tồn tại"))</f>
        <v/>
      </c>
      <c r="G292" s="14" t="str">
        <f t="array" ref="G292">IF($E292="","",IFERROR(INDEX('Danh mục thiết bị'!$D$6:$D$65,MATCH($E292,'Danh mục thiết bị'!$B$6:$B$65,0)),""))</f>
        <v/>
      </c>
      <c r="H292" s="15"/>
      <c r="I292" s="12"/>
      <c r="J292" s="19"/>
      <c r="K292" s="19"/>
      <c r="L292" s="20"/>
      <c r="M292" s="20"/>
      <c r="N292" s="20"/>
      <c r="O292" s="84" t="str">
        <f t="shared" si="2"/>
        <v/>
      </c>
      <c r="P292" s="15"/>
      <c r="Q292" s="11"/>
      <c r="R292" s="10" t="str">
        <f t="array" ref="R292">IF($E292="","",IF($B292="","Thiếu ngày thực hiện",IF(AND($D292&lt;&gt;"",IFERROR(INDEX('Kế hoạch định kỳ'!$C$6:$C$125,MATCH($D292,'Kế hoạch định kỳ'!$B$6:$B$125,0)),"")&lt;&gt;$E292),"Mã TB không khớp công việc",IF(AND(OR($C292="Bảo trì định kỳ",$C292="Hiệu chuẩn – kiểm định"),$D292=""),"Thiếu mã công việc kế hoạch",IF($Q292="","Thiếu kết quả","OK")))))</f>
        <v/>
      </c>
      <c r="S292" s="15"/>
    </row>
    <row r="293" ht="25.5" customHeight="1">
      <c r="A293" s="26" t="str">
        <f t="shared" si="1"/>
        <v/>
      </c>
      <c r="B293" s="32"/>
      <c r="C293" s="27"/>
      <c r="D293" s="27"/>
      <c r="E293" s="27"/>
      <c r="F293" s="28" t="str">
        <f t="array" ref="F293">IF($E293="","",IFERROR(INDEX('Danh mục thiết bị'!$C$6:$C$65,MATCH($E293,'Danh mục thiết bị'!$B$6:$B$65,0)),"Mã TB không tồn tại"))</f>
        <v/>
      </c>
      <c r="G293" s="28" t="str">
        <f t="array" ref="G293">IF($E293="","",IFERROR(INDEX('Danh mục thiết bị'!$D$6:$D$65,MATCH($E293,'Danh mục thiết bị'!$B$6:$B$65,0)),""))</f>
        <v/>
      </c>
      <c r="H293" s="29"/>
      <c r="I293" s="31"/>
      <c r="J293" s="34"/>
      <c r="K293" s="34"/>
      <c r="L293" s="35"/>
      <c r="M293" s="35"/>
      <c r="N293" s="35"/>
      <c r="O293" s="85" t="str">
        <f t="shared" si="2"/>
        <v/>
      </c>
      <c r="P293" s="29"/>
      <c r="Q293" s="27"/>
      <c r="R293" s="26" t="str">
        <f t="array" ref="R293">IF($E293="","",IF($B293="","Thiếu ngày thực hiện",IF(AND($D293&lt;&gt;"",IFERROR(INDEX('Kế hoạch định kỳ'!$C$6:$C$125,MATCH($D293,'Kế hoạch định kỳ'!$B$6:$B$125,0)),"")&lt;&gt;$E293),"Mã TB không khớp công việc",IF(AND(OR($C293="Bảo trì định kỳ",$C293="Hiệu chuẩn – kiểm định"),$D293=""),"Thiếu mã công việc kế hoạch",IF($Q293="","Thiếu kết quả","OK")))))</f>
        <v/>
      </c>
      <c r="S293" s="29"/>
    </row>
    <row r="294" ht="25.5" customHeight="1">
      <c r="A294" s="10" t="str">
        <f t="shared" si="1"/>
        <v/>
      </c>
      <c r="B294" s="13"/>
      <c r="C294" s="11"/>
      <c r="D294" s="11"/>
      <c r="E294" s="11"/>
      <c r="F294" s="14" t="str">
        <f t="array" ref="F294">IF($E294="","",IFERROR(INDEX('Danh mục thiết bị'!$C$6:$C$65,MATCH($E294,'Danh mục thiết bị'!$B$6:$B$65,0)),"Mã TB không tồn tại"))</f>
        <v/>
      </c>
      <c r="G294" s="14" t="str">
        <f t="array" ref="G294">IF($E294="","",IFERROR(INDEX('Danh mục thiết bị'!$D$6:$D$65,MATCH($E294,'Danh mục thiết bị'!$B$6:$B$65,0)),""))</f>
        <v/>
      </c>
      <c r="H294" s="15"/>
      <c r="I294" s="12"/>
      <c r="J294" s="19"/>
      <c r="K294" s="19"/>
      <c r="L294" s="20"/>
      <c r="M294" s="20"/>
      <c r="N294" s="20"/>
      <c r="O294" s="84" t="str">
        <f t="shared" si="2"/>
        <v/>
      </c>
      <c r="P294" s="15"/>
      <c r="Q294" s="11"/>
      <c r="R294" s="10" t="str">
        <f t="array" ref="R294">IF($E294="","",IF($B294="","Thiếu ngày thực hiện",IF(AND($D294&lt;&gt;"",IFERROR(INDEX('Kế hoạch định kỳ'!$C$6:$C$125,MATCH($D294,'Kế hoạch định kỳ'!$B$6:$B$125,0)),"")&lt;&gt;$E294),"Mã TB không khớp công việc",IF(AND(OR($C294="Bảo trì định kỳ",$C294="Hiệu chuẩn – kiểm định"),$D294=""),"Thiếu mã công việc kế hoạch",IF($Q294="","Thiếu kết quả","OK")))))</f>
        <v/>
      </c>
      <c r="S294" s="15"/>
    </row>
    <row r="295" ht="25.5" customHeight="1">
      <c r="A295" s="26" t="str">
        <f t="shared" si="1"/>
        <v/>
      </c>
      <c r="B295" s="32"/>
      <c r="C295" s="27"/>
      <c r="D295" s="27"/>
      <c r="E295" s="27"/>
      <c r="F295" s="28" t="str">
        <f t="array" ref="F295">IF($E295="","",IFERROR(INDEX('Danh mục thiết bị'!$C$6:$C$65,MATCH($E295,'Danh mục thiết bị'!$B$6:$B$65,0)),"Mã TB không tồn tại"))</f>
        <v/>
      </c>
      <c r="G295" s="28" t="str">
        <f t="array" ref="G295">IF($E295="","",IFERROR(INDEX('Danh mục thiết bị'!$D$6:$D$65,MATCH($E295,'Danh mục thiết bị'!$B$6:$B$65,0)),""))</f>
        <v/>
      </c>
      <c r="H295" s="29"/>
      <c r="I295" s="31"/>
      <c r="J295" s="34"/>
      <c r="K295" s="34"/>
      <c r="L295" s="35"/>
      <c r="M295" s="35"/>
      <c r="N295" s="35"/>
      <c r="O295" s="85" t="str">
        <f t="shared" si="2"/>
        <v/>
      </c>
      <c r="P295" s="29"/>
      <c r="Q295" s="27"/>
      <c r="R295" s="26" t="str">
        <f t="array" ref="R295">IF($E295="","",IF($B295="","Thiếu ngày thực hiện",IF(AND($D295&lt;&gt;"",IFERROR(INDEX('Kế hoạch định kỳ'!$C$6:$C$125,MATCH($D295,'Kế hoạch định kỳ'!$B$6:$B$125,0)),"")&lt;&gt;$E295),"Mã TB không khớp công việc",IF(AND(OR($C295="Bảo trì định kỳ",$C295="Hiệu chuẩn – kiểm định"),$D295=""),"Thiếu mã công việc kế hoạch",IF($Q295="","Thiếu kết quả","OK")))))</f>
        <v/>
      </c>
      <c r="S295" s="29"/>
    </row>
    <row r="296" ht="25.5" customHeight="1">
      <c r="A296" s="10" t="str">
        <f t="shared" si="1"/>
        <v/>
      </c>
      <c r="B296" s="13"/>
      <c r="C296" s="11"/>
      <c r="D296" s="11"/>
      <c r="E296" s="11"/>
      <c r="F296" s="14" t="str">
        <f t="array" ref="F296">IF($E296="","",IFERROR(INDEX('Danh mục thiết bị'!$C$6:$C$65,MATCH($E296,'Danh mục thiết bị'!$B$6:$B$65,0)),"Mã TB không tồn tại"))</f>
        <v/>
      </c>
      <c r="G296" s="14" t="str">
        <f t="array" ref="G296">IF($E296="","",IFERROR(INDEX('Danh mục thiết bị'!$D$6:$D$65,MATCH($E296,'Danh mục thiết bị'!$B$6:$B$65,0)),""))</f>
        <v/>
      </c>
      <c r="H296" s="15"/>
      <c r="I296" s="12"/>
      <c r="J296" s="19"/>
      <c r="K296" s="19"/>
      <c r="L296" s="20"/>
      <c r="M296" s="20"/>
      <c r="N296" s="20"/>
      <c r="O296" s="84" t="str">
        <f t="shared" si="2"/>
        <v/>
      </c>
      <c r="P296" s="15"/>
      <c r="Q296" s="11"/>
      <c r="R296" s="10" t="str">
        <f t="array" ref="R296">IF($E296="","",IF($B296="","Thiếu ngày thực hiện",IF(AND($D296&lt;&gt;"",IFERROR(INDEX('Kế hoạch định kỳ'!$C$6:$C$125,MATCH($D296,'Kế hoạch định kỳ'!$B$6:$B$125,0)),"")&lt;&gt;$E296),"Mã TB không khớp công việc",IF(AND(OR($C296="Bảo trì định kỳ",$C296="Hiệu chuẩn – kiểm định"),$D296=""),"Thiếu mã công việc kế hoạch",IF($Q296="","Thiếu kết quả","OK")))))</f>
        <v/>
      </c>
      <c r="S296" s="15"/>
    </row>
    <row r="297" ht="25.5" customHeight="1">
      <c r="A297" s="26" t="str">
        <f t="shared" si="1"/>
        <v/>
      </c>
      <c r="B297" s="32"/>
      <c r="C297" s="27"/>
      <c r="D297" s="27"/>
      <c r="E297" s="27"/>
      <c r="F297" s="28" t="str">
        <f t="array" ref="F297">IF($E297="","",IFERROR(INDEX('Danh mục thiết bị'!$C$6:$C$65,MATCH($E297,'Danh mục thiết bị'!$B$6:$B$65,0)),"Mã TB không tồn tại"))</f>
        <v/>
      </c>
      <c r="G297" s="28" t="str">
        <f t="array" ref="G297">IF($E297="","",IFERROR(INDEX('Danh mục thiết bị'!$D$6:$D$65,MATCH($E297,'Danh mục thiết bị'!$B$6:$B$65,0)),""))</f>
        <v/>
      </c>
      <c r="H297" s="29"/>
      <c r="I297" s="31"/>
      <c r="J297" s="34"/>
      <c r="K297" s="34"/>
      <c r="L297" s="35"/>
      <c r="M297" s="35"/>
      <c r="N297" s="35"/>
      <c r="O297" s="85" t="str">
        <f t="shared" si="2"/>
        <v/>
      </c>
      <c r="P297" s="29"/>
      <c r="Q297" s="27"/>
      <c r="R297" s="26" t="str">
        <f t="array" ref="R297">IF($E297="","",IF($B297="","Thiếu ngày thực hiện",IF(AND($D297&lt;&gt;"",IFERROR(INDEX('Kế hoạch định kỳ'!$C$6:$C$125,MATCH($D297,'Kế hoạch định kỳ'!$B$6:$B$125,0)),"")&lt;&gt;$E297),"Mã TB không khớp công việc",IF(AND(OR($C297="Bảo trì định kỳ",$C297="Hiệu chuẩn – kiểm định"),$D297=""),"Thiếu mã công việc kế hoạch",IF($Q297="","Thiếu kết quả","OK")))))</f>
        <v/>
      </c>
      <c r="S297" s="29"/>
    </row>
    <row r="298" ht="25.5" customHeight="1">
      <c r="A298" s="10" t="str">
        <f t="shared" si="1"/>
        <v/>
      </c>
      <c r="B298" s="13"/>
      <c r="C298" s="11"/>
      <c r="D298" s="11"/>
      <c r="E298" s="11"/>
      <c r="F298" s="14" t="str">
        <f t="array" ref="F298">IF($E298="","",IFERROR(INDEX('Danh mục thiết bị'!$C$6:$C$65,MATCH($E298,'Danh mục thiết bị'!$B$6:$B$65,0)),"Mã TB không tồn tại"))</f>
        <v/>
      </c>
      <c r="G298" s="14" t="str">
        <f t="array" ref="G298">IF($E298="","",IFERROR(INDEX('Danh mục thiết bị'!$D$6:$D$65,MATCH($E298,'Danh mục thiết bị'!$B$6:$B$65,0)),""))</f>
        <v/>
      </c>
      <c r="H298" s="15"/>
      <c r="I298" s="12"/>
      <c r="J298" s="19"/>
      <c r="K298" s="19"/>
      <c r="L298" s="20"/>
      <c r="M298" s="20"/>
      <c r="N298" s="20"/>
      <c r="O298" s="84" t="str">
        <f t="shared" si="2"/>
        <v/>
      </c>
      <c r="P298" s="15"/>
      <c r="Q298" s="11"/>
      <c r="R298" s="10" t="str">
        <f t="array" ref="R298">IF($E298="","",IF($B298="","Thiếu ngày thực hiện",IF(AND($D298&lt;&gt;"",IFERROR(INDEX('Kế hoạch định kỳ'!$C$6:$C$125,MATCH($D298,'Kế hoạch định kỳ'!$B$6:$B$125,0)),"")&lt;&gt;$E298),"Mã TB không khớp công việc",IF(AND(OR($C298="Bảo trì định kỳ",$C298="Hiệu chuẩn – kiểm định"),$D298=""),"Thiếu mã công việc kế hoạch",IF($Q298="","Thiếu kết quả","OK")))))</f>
        <v/>
      </c>
      <c r="S298" s="15"/>
    </row>
    <row r="299" ht="25.5" customHeight="1">
      <c r="A299" s="26" t="str">
        <f t="shared" si="1"/>
        <v/>
      </c>
      <c r="B299" s="32"/>
      <c r="C299" s="27"/>
      <c r="D299" s="27"/>
      <c r="E299" s="27"/>
      <c r="F299" s="28" t="str">
        <f t="array" ref="F299">IF($E299="","",IFERROR(INDEX('Danh mục thiết bị'!$C$6:$C$65,MATCH($E299,'Danh mục thiết bị'!$B$6:$B$65,0)),"Mã TB không tồn tại"))</f>
        <v/>
      </c>
      <c r="G299" s="28" t="str">
        <f t="array" ref="G299">IF($E299="","",IFERROR(INDEX('Danh mục thiết bị'!$D$6:$D$65,MATCH($E299,'Danh mục thiết bị'!$B$6:$B$65,0)),""))</f>
        <v/>
      </c>
      <c r="H299" s="29"/>
      <c r="I299" s="31"/>
      <c r="J299" s="34"/>
      <c r="K299" s="34"/>
      <c r="L299" s="35"/>
      <c r="M299" s="35"/>
      <c r="N299" s="35"/>
      <c r="O299" s="85" t="str">
        <f t="shared" si="2"/>
        <v/>
      </c>
      <c r="P299" s="29"/>
      <c r="Q299" s="27"/>
      <c r="R299" s="26" t="str">
        <f t="array" ref="R299">IF($E299="","",IF($B299="","Thiếu ngày thực hiện",IF(AND($D299&lt;&gt;"",IFERROR(INDEX('Kế hoạch định kỳ'!$C$6:$C$125,MATCH($D299,'Kế hoạch định kỳ'!$B$6:$B$125,0)),"")&lt;&gt;$E299),"Mã TB không khớp công việc",IF(AND(OR($C299="Bảo trì định kỳ",$C299="Hiệu chuẩn – kiểm định"),$D299=""),"Thiếu mã công việc kế hoạch",IF($Q299="","Thiếu kết quả","OK")))))</f>
        <v/>
      </c>
      <c r="S299" s="29"/>
    </row>
    <row r="300" ht="25.5" customHeight="1">
      <c r="A300" s="10" t="str">
        <f t="shared" si="1"/>
        <v/>
      </c>
      <c r="B300" s="13"/>
      <c r="C300" s="11"/>
      <c r="D300" s="11"/>
      <c r="E300" s="11"/>
      <c r="F300" s="14" t="str">
        <f t="array" ref="F300">IF($E300="","",IFERROR(INDEX('Danh mục thiết bị'!$C$6:$C$65,MATCH($E300,'Danh mục thiết bị'!$B$6:$B$65,0)),"Mã TB không tồn tại"))</f>
        <v/>
      </c>
      <c r="G300" s="14" t="str">
        <f t="array" ref="G300">IF($E300="","",IFERROR(INDEX('Danh mục thiết bị'!$D$6:$D$65,MATCH($E300,'Danh mục thiết bị'!$B$6:$B$65,0)),""))</f>
        <v/>
      </c>
      <c r="H300" s="15"/>
      <c r="I300" s="12"/>
      <c r="J300" s="19"/>
      <c r="K300" s="19"/>
      <c r="L300" s="20"/>
      <c r="M300" s="20"/>
      <c r="N300" s="20"/>
      <c r="O300" s="84" t="str">
        <f t="shared" si="2"/>
        <v/>
      </c>
      <c r="P300" s="15"/>
      <c r="Q300" s="11"/>
      <c r="R300" s="10" t="str">
        <f t="array" ref="R300">IF($E300="","",IF($B300="","Thiếu ngày thực hiện",IF(AND($D300&lt;&gt;"",IFERROR(INDEX('Kế hoạch định kỳ'!$C$6:$C$125,MATCH($D300,'Kế hoạch định kỳ'!$B$6:$B$125,0)),"")&lt;&gt;$E300),"Mã TB không khớp công việc",IF(AND(OR($C300="Bảo trì định kỳ",$C300="Hiệu chuẩn – kiểm định"),$D300=""),"Thiếu mã công việc kế hoạch",IF($Q300="","Thiếu kết quả","OK")))))</f>
        <v/>
      </c>
      <c r="S300" s="15"/>
    </row>
    <row r="301" ht="25.5" customHeight="1">
      <c r="A301" s="26" t="str">
        <f t="shared" si="1"/>
        <v/>
      </c>
      <c r="B301" s="32"/>
      <c r="C301" s="27"/>
      <c r="D301" s="27"/>
      <c r="E301" s="27"/>
      <c r="F301" s="28" t="str">
        <f t="array" ref="F301">IF($E301="","",IFERROR(INDEX('Danh mục thiết bị'!$C$6:$C$65,MATCH($E301,'Danh mục thiết bị'!$B$6:$B$65,0)),"Mã TB không tồn tại"))</f>
        <v/>
      </c>
      <c r="G301" s="28" t="str">
        <f t="array" ref="G301">IF($E301="","",IFERROR(INDEX('Danh mục thiết bị'!$D$6:$D$65,MATCH($E301,'Danh mục thiết bị'!$B$6:$B$65,0)),""))</f>
        <v/>
      </c>
      <c r="H301" s="29"/>
      <c r="I301" s="31"/>
      <c r="J301" s="34"/>
      <c r="K301" s="34"/>
      <c r="L301" s="35"/>
      <c r="M301" s="35"/>
      <c r="N301" s="35"/>
      <c r="O301" s="85" t="str">
        <f t="shared" si="2"/>
        <v/>
      </c>
      <c r="P301" s="29"/>
      <c r="Q301" s="27"/>
      <c r="R301" s="26" t="str">
        <f t="array" ref="R301">IF($E301="","",IF($B301="","Thiếu ngày thực hiện",IF(AND($D301&lt;&gt;"",IFERROR(INDEX('Kế hoạch định kỳ'!$C$6:$C$125,MATCH($D301,'Kế hoạch định kỳ'!$B$6:$B$125,0)),"")&lt;&gt;$E301),"Mã TB không khớp công việc",IF(AND(OR($C301="Bảo trì định kỳ",$C301="Hiệu chuẩn – kiểm định"),$D301=""),"Thiếu mã công việc kế hoạch",IF($Q301="","Thiếu kết quả","OK")))))</f>
        <v/>
      </c>
      <c r="S301" s="29"/>
    </row>
    <row r="302" ht="25.5" customHeight="1">
      <c r="A302" s="10" t="str">
        <f t="shared" si="1"/>
        <v/>
      </c>
      <c r="B302" s="13"/>
      <c r="C302" s="11"/>
      <c r="D302" s="11"/>
      <c r="E302" s="11"/>
      <c r="F302" s="14" t="str">
        <f t="array" ref="F302">IF($E302="","",IFERROR(INDEX('Danh mục thiết bị'!$C$6:$C$65,MATCH($E302,'Danh mục thiết bị'!$B$6:$B$65,0)),"Mã TB không tồn tại"))</f>
        <v/>
      </c>
      <c r="G302" s="14" t="str">
        <f t="array" ref="G302">IF($E302="","",IFERROR(INDEX('Danh mục thiết bị'!$D$6:$D$65,MATCH($E302,'Danh mục thiết bị'!$B$6:$B$65,0)),""))</f>
        <v/>
      </c>
      <c r="H302" s="15"/>
      <c r="I302" s="12"/>
      <c r="J302" s="19"/>
      <c r="K302" s="19"/>
      <c r="L302" s="20"/>
      <c r="M302" s="20"/>
      <c r="N302" s="20"/>
      <c r="O302" s="84" t="str">
        <f t="shared" si="2"/>
        <v/>
      </c>
      <c r="P302" s="15"/>
      <c r="Q302" s="11"/>
      <c r="R302" s="10" t="str">
        <f t="array" ref="R302">IF($E302="","",IF($B302="","Thiếu ngày thực hiện",IF(AND($D302&lt;&gt;"",IFERROR(INDEX('Kế hoạch định kỳ'!$C$6:$C$125,MATCH($D302,'Kế hoạch định kỳ'!$B$6:$B$125,0)),"")&lt;&gt;$E302),"Mã TB không khớp công việc",IF(AND(OR($C302="Bảo trì định kỳ",$C302="Hiệu chuẩn – kiểm định"),$D302=""),"Thiếu mã công việc kế hoạch",IF($Q302="","Thiếu kết quả","OK")))))</f>
        <v/>
      </c>
      <c r="S302" s="15"/>
    </row>
    <row r="303" ht="25.5" customHeight="1">
      <c r="A303" s="26" t="str">
        <f t="shared" si="1"/>
        <v/>
      </c>
      <c r="B303" s="32"/>
      <c r="C303" s="27"/>
      <c r="D303" s="27"/>
      <c r="E303" s="27"/>
      <c r="F303" s="28" t="str">
        <f t="array" ref="F303">IF($E303="","",IFERROR(INDEX('Danh mục thiết bị'!$C$6:$C$65,MATCH($E303,'Danh mục thiết bị'!$B$6:$B$65,0)),"Mã TB không tồn tại"))</f>
        <v/>
      </c>
      <c r="G303" s="28" t="str">
        <f t="array" ref="G303">IF($E303="","",IFERROR(INDEX('Danh mục thiết bị'!$D$6:$D$65,MATCH($E303,'Danh mục thiết bị'!$B$6:$B$65,0)),""))</f>
        <v/>
      </c>
      <c r="H303" s="29"/>
      <c r="I303" s="31"/>
      <c r="J303" s="34"/>
      <c r="K303" s="34"/>
      <c r="L303" s="35"/>
      <c r="M303" s="35"/>
      <c r="N303" s="35"/>
      <c r="O303" s="85" t="str">
        <f t="shared" si="2"/>
        <v/>
      </c>
      <c r="P303" s="29"/>
      <c r="Q303" s="27"/>
      <c r="R303" s="26" t="str">
        <f t="array" ref="R303">IF($E303="","",IF($B303="","Thiếu ngày thực hiện",IF(AND($D303&lt;&gt;"",IFERROR(INDEX('Kế hoạch định kỳ'!$C$6:$C$125,MATCH($D303,'Kế hoạch định kỳ'!$B$6:$B$125,0)),"")&lt;&gt;$E303),"Mã TB không khớp công việc",IF(AND(OR($C303="Bảo trì định kỳ",$C303="Hiệu chuẩn – kiểm định"),$D303=""),"Thiếu mã công việc kế hoạch",IF($Q303="","Thiếu kết quả","OK")))))</f>
        <v/>
      </c>
      <c r="S303" s="29"/>
    </row>
    <row r="304" ht="25.5" customHeight="1">
      <c r="A304" s="10" t="str">
        <f t="shared" si="1"/>
        <v/>
      </c>
      <c r="B304" s="13"/>
      <c r="C304" s="11"/>
      <c r="D304" s="11"/>
      <c r="E304" s="11"/>
      <c r="F304" s="14" t="str">
        <f t="array" ref="F304">IF($E304="","",IFERROR(INDEX('Danh mục thiết bị'!$C$6:$C$65,MATCH($E304,'Danh mục thiết bị'!$B$6:$B$65,0)),"Mã TB không tồn tại"))</f>
        <v/>
      </c>
      <c r="G304" s="14" t="str">
        <f t="array" ref="G304">IF($E304="","",IFERROR(INDEX('Danh mục thiết bị'!$D$6:$D$65,MATCH($E304,'Danh mục thiết bị'!$B$6:$B$65,0)),""))</f>
        <v/>
      </c>
      <c r="H304" s="15"/>
      <c r="I304" s="12"/>
      <c r="J304" s="19"/>
      <c r="K304" s="19"/>
      <c r="L304" s="20"/>
      <c r="M304" s="20"/>
      <c r="N304" s="20"/>
      <c r="O304" s="84" t="str">
        <f t="shared" si="2"/>
        <v/>
      </c>
      <c r="P304" s="15"/>
      <c r="Q304" s="11"/>
      <c r="R304" s="10" t="str">
        <f t="array" ref="R304">IF($E304="","",IF($B304="","Thiếu ngày thực hiện",IF(AND($D304&lt;&gt;"",IFERROR(INDEX('Kế hoạch định kỳ'!$C$6:$C$125,MATCH($D304,'Kế hoạch định kỳ'!$B$6:$B$125,0)),"")&lt;&gt;$E304),"Mã TB không khớp công việc",IF(AND(OR($C304="Bảo trì định kỳ",$C304="Hiệu chuẩn – kiểm định"),$D304=""),"Thiếu mã công việc kế hoạch",IF($Q304="","Thiếu kết quả","OK")))))</f>
        <v/>
      </c>
      <c r="S304" s="15"/>
    </row>
    <row r="305" ht="25.5" customHeight="1">
      <c r="A305" s="26" t="str">
        <f t="shared" si="1"/>
        <v/>
      </c>
      <c r="B305" s="32"/>
      <c r="C305" s="27"/>
      <c r="D305" s="27"/>
      <c r="E305" s="27"/>
      <c r="F305" s="28" t="str">
        <f t="array" ref="F305">IF($E305="","",IFERROR(INDEX('Danh mục thiết bị'!$C$6:$C$65,MATCH($E305,'Danh mục thiết bị'!$B$6:$B$65,0)),"Mã TB không tồn tại"))</f>
        <v/>
      </c>
      <c r="G305" s="28" t="str">
        <f t="array" ref="G305">IF($E305="","",IFERROR(INDEX('Danh mục thiết bị'!$D$6:$D$65,MATCH($E305,'Danh mục thiết bị'!$B$6:$B$65,0)),""))</f>
        <v/>
      </c>
      <c r="H305" s="29"/>
      <c r="I305" s="31"/>
      <c r="J305" s="34"/>
      <c r="K305" s="34"/>
      <c r="L305" s="35"/>
      <c r="M305" s="35"/>
      <c r="N305" s="35"/>
      <c r="O305" s="85" t="str">
        <f t="shared" si="2"/>
        <v/>
      </c>
      <c r="P305" s="29"/>
      <c r="Q305" s="27"/>
      <c r="R305" s="26" t="str">
        <f t="array" ref="R305">IF($E305="","",IF($B305="","Thiếu ngày thực hiện",IF(AND($D305&lt;&gt;"",IFERROR(INDEX('Kế hoạch định kỳ'!$C$6:$C$125,MATCH($D305,'Kế hoạch định kỳ'!$B$6:$B$125,0)),"")&lt;&gt;$E305),"Mã TB không khớp công việc",IF(AND(OR($C305="Bảo trì định kỳ",$C305="Hiệu chuẩn – kiểm định"),$D305=""),"Thiếu mã công việc kế hoạch",IF($Q305="","Thiếu kết quả","OK")))))</f>
        <v/>
      </c>
      <c r="S305" s="29"/>
    </row>
    <row r="306" ht="25.5" customHeight="1">
      <c r="A306" s="10" t="str">
        <f t="shared" si="1"/>
        <v/>
      </c>
      <c r="B306" s="13"/>
      <c r="C306" s="11"/>
      <c r="D306" s="11"/>
      <c r="E306" s="11"/>
      <c r="F306" s="14" t="str">
        <f t="array" ref="F306">IF($E306="","",IFERROR(INDEX('Danh mục thiết bị'!$C$6:$C$65,MATCH($E306,'Danh mục thiết bị'!$B$6:$B$65,0)),"Mã TB không tồn tại"))</f>
        <v/>
      </c>
      <c r="G306" s="14" t="str">
        <f t="array" ref="G306">IF($E306="","",IFERROR(INDEX('Danh mục thiết bị'!$D$6:$D$65,MATCH($E306,'Danh mục thiết bị'!$B$6:$B$65,0)),""))</f>
        <v/>
      </c>
      <c r="H306" s="15"/>
      <c r="I306" s="12"/>
      <c r="J306" s="19"/>
      <c r="K306" s="19"/>
      <c r="L306" s="20"/>
      <c r="M306" s="20"/>
      <c r="N306" s="20"/>
      <c r="O306" s="84" t="str">
        <f t="shared" si="2"/>
        <v/>
      </c>
      <c r="P306" s="15"/>
      <c r="Q306" s="11"/>
      <c r="R306" s="10" t="str">
        <f t="array" ref="R306">IF($E306="","",IF($B306="","Thiếu ngày thực hiện",IF(AND($D306&lt;&gt;"",IFERROR(INDEX('Kế hoạch định kỳ'!$C$6:$C$125,MATCH($D306,'Kế hoạch định kỳ'!$B$6:$B$125,0)),"")&lt;&gt;$E306),"Mã TB không khớp công việc",IF(AND(OR($C306="Bảo trì định kỳ",$C306="Hiệu chuẩn – kiểm định"),$D306=""),"Thiếu mã công việc kế hoạch",IF($Q306="","Thiếu kết quả","OK")))))</f>
        <v/>
      </c>
      <c r="S306" s="15"/>
    </row>
    <row r="307" ht="25.5" customHeight="1">
      <c r="A307" s="26" t="str">
        <f t="shared" si="1"/>
        <v/>
      </c>
      <c r="B307" s="32"/>
      <c r="C307" s="27"/>
      <c r="D307" s="27"/>
      <c r="E307" s="27"/>
      <c r="F307" s="28" t="str">
        <f t="array" ref="F307">IF($E307="","",IFERROR(INDEX('Danh mục thiết bị'!$C$6:$C$65,MATCH($E307,'Danh mục thiết bị'!$B$6:$B$65,0)),"Mã TB không tồn tại"))</f>
        <v/>
      </c>
      <c r="G307" s="28" t="str">
        <f t="array" ref="G307">IF($E307="","",IFERROR(INDEX('Danh mục thiết bị'!$D$6:$D$65,MATCH($E307,'Danh mục thiết bị'!$B$6:$B$65,0)),""))</f>
        <v/>
      </c>
      <c r="H307" s="29"/>
      <c r="I307" s="31"/>
      <c r="J307" s="34"/>
      <c r="K307" s="34"/>
      <c r="L307" s="35"/>
      <c r="M307" s="35"/>
      <c r="N307" s="35"/>
      <c r="O307" s="85" t="str">
        <f t="shared" si="2"/>
        <v/>
      </c>
      <c r="P307" s="29"/>
      <c r="Q307" s="27"/>
      <c r="R307" s="26" t="str">
        <f t="array" ref="R307">IF($E307="","",IF($B307="","Thiếu ngày thực hiện",IF(AND($D307&lt;&gt;"",IFERROR(INDEX('Kế hoạch định kỳ'!$C$6:$C$125,MATCH($D307,'Kế hoạch định kỳ'!$B$6:$B$125,0)),"")&lt;&gt;$E307),"Mã TB không khớp công việc",IF(AND(OR($C307="Bảo trì định kỳ",$C307="Hiệu chuẩn – kiểm định"),$D307=""),"Thiếu mã công việc kế hoạch",IF($Q307="","Thiếu kết quả","OK")))))</f>
        <v/>
      </c>
      <c r="S307" s="29"/>
    </row>
    <row r="308" ht="25.5" customHeight="1">
      <c r="A308" s="10" t="str">
        <f t="shared" si="1"/>
        <v/>
      </c>
      <c r="B308" s="13"/>
      <c r="C308" s="11"/>
      <c r="D308" s="11"/>
      <c r="E308" s="11"/>
      <c r="F308" s="14" t="str">
        <f t="array" ref="F308">IF($E308="","",IFERROR(INDEX('Danh mục thiết bị'!$C$6:$C$65,MATCH($E308,'Danh mục thiết bị'!$B$6:$B$65,0)),"Mã TB không tồn tại"))</f>
        <v/>
      </c>
      <c r="G308" s="14" t="str">
        <f t="array" ref="G308">IF($E308="","",IFERROR(INDEX('Danh mục thiết bị'!$D$6:$D$65,MATCH($E308,'Danh mục thiết bị'!$B$6:$B$65,0)),""))</f>
        <v/>
      </c>
      <c r="H308" s="15"/>
      <c r="I308" s="12"/>
      <c r="J308" s="19"/>
      <c r="K308" s="19"/>
      <c r="L308" s="20"/>
      <c r="M308" s="20"/>
      <c r="N308" s="20"/>
      <c r="O308" s="84" t="str">
        <f t="shared" si="2"/>
        <v/>
      </c>
      <c r="P308" s="15"/>
      <c r="Q308" s="11"/>
      <c r="R308" s="10" t="str">
        <f t="array" ref="R308">IF($E308="","",IF($B308="","Thiếu ngày thực hiện",IF(AND($D308&lt;&gt;"",IFERROR(INDEX('Kế hoạch định kỳ'!$C$6:$C$125,MATCH($D308,'Kế hoạch định kỳ'!$B$6:$B$125,0)),"")&lt;&gt;$E308),"Mã TB không khớp công việc",IF(AND(OR($C308="Bảo trì định kỳ",$C308="Hiệu chuẩn – kiểm định"),$D308=""),"Thiếu mã công việc kế hoạch",IF($Q308="","Thiếu kết quả","OK")))))</f>
        <v/>
      </c>
      <c r="S308" s="15"/>
    </row>
    <row r="309" ht="25.5" customHeight="1">
      <c r="A309" s="26" t="str">
        <f t="shared" si="1"/>
        <v/>
      </c>
      <c r="B309" s="32"/>
      <c r="C309" s="27"/>
      <c r="D309" s="27"/>
      <c r="E309" s="27"/>
      <c r="F309" s="28" t="str">
        <f t="array" ref="F309">IF($E309="","",IFERROR(INDEX('Danh mục thiết bị'!$C$6:$C$65,MATCH($E309,'Danh mục thiết bị'!$B$6:$B$65,0)),"Mã TB không tồn tại"))</f>
        <v/>
      </c>
      <c r="G309" s="28" t="str">
        <f t="array" ref="G309">IF($E309="","",IFERROR(INDEX('Danh mục thiết bị'!$D$6:$D$65,MATCH($E309,'Danh mục thiết bị'!$B$6:$B$65,0)),""))</f>
        <v/>
      </c>
      <c r="H309" s="29"/>
      <c r="I309" s="31"/>
      <c r="J309" s="34"/>
      <c r="K309" s="34"/>
      <c r="L309" s="35"/>
      <c r="M309" s="35"/>
      <c r="N309" s="35"/>
      <c r="O309" s="85" t="str">
        <f t="shared" si="2"/>
        <v/>
      </c>
      <c r="P309" s="29"/>
      <c r="Q309" s="27"/>
      <c r="R309" s="26" t="str">
        <f t="array" ref="R309">IF($E309="","",IF($B309="","Thiếu ngày thực hiện",IF(AND($D309&lt;&gt;"",IFERROR(INDEX('Kế hoạch định kỳ'!$C$6:$C$125,MATCH($D309,'Kế hoạch định kỳ'!$B$6:$B$125,0)),"")&lt;&gt;$E309),"Mã TB không khớp công việc",IF(AND(OR($C309="Bảo trì định kỳ",$C309="Hiệu chuẩn – kiểm định"),$D309=""),"Thiếu mã công việc kế hoạch",IF($Q309="","Thiếu kết quả","OK")))))</f>
        <v/>
      </c>
      <c r="S309" s="29"/>
    </row>
    <row r="310" ht="25.5" customHeight="1">
      <c r="A310" s="10" t="str">
        <f t="shared" si="1"/>
        <v/>
      </c>
      <c r="B310" s="13"/>
      <c r="C310" s="11"/>
      <c r="D310" s="11"/>
      <c r="E310" s="11"/>
      <c r="F310" s="14" t="str">
        <f t="array" ref="F310">IF($E310="","",IFERROR(INDEX('Danh mục thiết bị'!$C$6:$C$65,MATCH($E310,'Danh mục thiết bị'!$B$6:$B$65,0)),"Mã TB không tồn tại"))</f>
        <v/>
      </c>
      <c r="G310" s="14" t="str">
        <f t="array" ref="G310">IF($E310="","",IFERROR(INDEX('Danh mục thiết bị'!$D$6:$D$65,MATCH($E310,'Danh mục thiết bị'!$B$6:$B$65,0)),""))</f>
        <v/>
      </c>
      <c r="H310" s="15"/>
      <c r="I310" s="12"/>
      <c r="J310" s="19"/>
      <c r="K310" s="19"/>
      <c r="L310" s="20"/>
      <c r="M310" s="20"/>
      <c r="N310" s="20"/>
      <c r="O310" s="84" t="str">
        <f t="shared" si="2"/>
        <v/>
      </c>
      <c r="P310" s="15"/>
      <c r="Q310" s="11"/>
      <c r="R310" s="10" t="str">
        <f t="array" ref="R310">IF($E310="","",IF($B310="","Thiếu ngày thực hiện",IF(AND($D310&lt;&gt;"",IFERROR(INDEX('Kế hoạch định kỳ'!$C$6:$C$125,MATCH($D310,'Kế hoạch định kỳ'!$B$6:$B$125,0)),"")&lt;&gt;$E310),"Mã TB không khớp công việc",IF(AND(OR($C310="Bảo trì định kỳ",$C310="Hiệu chuẩn – kiểm định"),$D310=""),"Thiếu mã công việc kế hoạch",IF($Q310="","Thiếu kết quả","OK")))))</f>
        <v/>
      </c>
      <c r="S310" s="15"/>
    </row>
    <row r="311" ht="25.5" customHeight="1">
      <c r="A311" s="26" t="str">
        <f t="shared" si="1"/>
        <v/>
      </c>
      <c r="B311" s="32"/>
      <c r="C311" s="27"/>
      <c r="D311" s="27"/>
      <c r="E311" s="27"/>
      <c r="F311" s="28" t="str">
        <f t="array" ref="F311">IF($E311="","",IFERROR(INDEX('Danh mục thiết bị'!$C$6:$C$65,MATCH($E311,'Danh mục thiết bị'!$B$6:$B$65,0)),"Mã TB không tồn tại"))</f>
        <v/>
      </c>
      <c r="G311" s="28" t="str">
        <f t="array" ref="G311">IF($E311="","",IFERROR(INDEX('Danh mục thiết bị'!$D$6:$D$65,MATCH($E311,'Danh mục thiết bị'!$B$6:$B$65,0)),""))</f>
        <v/>
      </c>
      <c r="H311" s="29"/>
      <c r="I311" s="31"/>
      <c r="J311" s="34"/>
      <c r="K311" s="34"/>
      <c r="L311" s="35"/>
      <c r="M311" s="35"/>
      <c r="N311" s="35"/>
      <c r="O311" s="85" t="str">
        <f t="shared" si="2"/>
        <v/>
      </c>
      <c r="P311" s="29"/>
      <c r="Q311" s="27"/>
      <c r="R311" s="26" t="str">
        <f t="array" ref="R311">IF($E311="","",IF($B311="","Thiếu ngày thực hiện",IF(AND($D311&lt;&gt;"",IFERROR(INDEX('Kế hoạch định kỳ'!$C$6:$C$125,MATCH($D311,'Kế hoạch định kỳ'!$B$6:$B$125,0)),"")&lt;&gt;$E311),"Mã TB không khớp công việc",IF(AND(OR($C311="Bảo trì định kỳ",$C311="Hiệu chuẩn – kiểm định"),$D311=""),"Thiếu mã công việc kế hoạch",IF($Q311="","Thiếu kết quả","OK")))))</f>
        <v/>
      </c>
      <c r="S311" s="29"/>
    </row>
    <row r="312" ht="25.5" customHeight="1">
      <c r="A312" s="10" t="str">
        <f t="shared" si="1"/>
        <v/>
      </c>
      <c r="B312" s="13"/>
      <c r="C312" s="11"/>
      <c r="D312" s="11"/>
      <c r="E312" s="11"/>
      <c r="F312" s="14" t="str">
        <f t="array" ref="F312">IF($E312="","",IFERROR(INDEX('Danh mục thiết bị'!$C$6:$C$65,MATCH($E312,'Danh mục thiết bị'!$B$6:$B$65,0)),"Mã TB không tồn tại"))</f>
        <v/>
      </c>
      <c r="G312" s="14" t="str">
        <f t="array" ref="G312">IF($E312="","",IFERROR(INDEX('Danh mục thiết bị'!$D$6:$D$65,MATCH($E312,'Danh mục thiết bị'!$B$6:$B$65,0)),""))</f>
        <v/>
      </c>
      <c r="H312" s="15"/>
      <c r="I312" s="12"/>
      <c r="J312" s="19"/>
      <c r="K312" s="19"/>
      <c r="L312" s="20"/>
      <c r="M312" s="20"/>
      <c r="N312" s="20"/>
      <c r="O312" s="84" t="str">
        <f t="shared" si="2"/>
        <v/>
      </c>
      <c r="P312" s="15"/>
      <c r="Q312" s="11"/>
      <c r="R312" s="10" t="str">
        <f t="array" ref="R312">IF($E312="","",IF($B312="","Thiếu ngày thực hiện",IF(AND($D312&lt;&gt;"",IFERROR(INDEX('Kế hoạch định kỳ'!$C$6:$C$125,MATCH($D312,'Kế hoạch định kỳ'!$B$6:$B$125,0)),"")&lt;&gt;$E312),"Mã TB không khớp công việc",IF(AND(OR($C312="Bảo trì định kỳ",$C312="Hiệu chuẩn – kiểm định"),$D312=""),"Thiếu mã công việc kế hoạch",IF($Q312="","Thiếu kết quả","OK")))))</f>
        <v/>
      </c>
      <c r="S312" s="15"/>
    </row>
    <row r="313" ht="25.5" customHeight="1">
      <c r="A313" s="26" t="str">
        <f t="shared" si="1"/>
        <v/>
      </c>
      <c r="B313" s="32"/>
      <c r="C313" s="27"/>
      <c r="D313" s="27"/>
      <c r="E313" s="27"/>
      <c r="F313" s="28" t="str">
        <f t="array" ref="F313">IF($E313="","",IFERROR(INDEX('Danh mục thiết bị'!$C$6:$C$65,MATCH($E313,'Danh mục thiết bị'!$B$6:$B$65,0)),"Mã TB không tồn tại"))</f>
        <v/>
      </c>
      <c r="G313" s="28" t="str">
        <f t="array" ref="G313">IF($E313="","",IFERROR(INDEX('Danh mục thiết bị'!$D$6:$D$65,MATCH($E313,'Danh mục thiết bị'!$B$6:$B$65,0)),""))</f>
        <v/>
      </c>
      <c r="H313" s="29"/>
      <c r="I313" s="31"/>
      <c r="J313" s="34"/>
      <c r="K313" s="34"/>
      <c r="L313" s="35"/>
      <c r="M313" s="35"/>
      <c r="N313" s="35"/>
      <c r="O313" s="85" t="str">
        <f t="shared" si="2"/>
        <v/>
      </c>
      <c r="P313" s="29"/>
      <c r="Q313" s="27"/>
      <c r="R313" s="26" t="str">
        <f t="array" ref="R313">IF($E313="","",IF($B313="","Thiếu ngày thực hiện",IF(AND($D313&lt;&gt;"",IFERROR(INDEX('Kế hoạch định kỳ'!$C$6:$C$125,MATCH($D313,'Kế hoạch định kỳ'!$B$6:$B$125,0)),"")&lt;&gt;$E313),"Mã TB không khớp công việc",IF(AND(OR($C313="Bảo trì định kỳ",$C313="Hiệu chuẩn – kiểm định"),$D313=""),"Thiếu mã công việc kế hoạch",IF($Q313="","Thiếu kết quả","OK")))))</f>
        <v/>
      </c>
      <c r="S313" s="29"/>
    </row>
    <row r="314" ht="25.5" customHeight="1">
      <c r="A314" s="10" t="str">
        <f t="shared" si="1"/>
        <v/>
      </c>
      <c r="B314" s="13"/>
      <c r="C314" s="11"/>
      <c r="D314" s="11"/>
      <c r="E314" s="11"/>
      <c r="F314" s="14" t="str">
        <f t="array" ref="F314">IF($E314="","",IFERROR(INDEX('Danh mục thiết bị'!$C$6:$C$65,MATCH($E314,'Danh mục thiết bị'!$B$6:$B$65,0)),"Mã TB không tồn tại"))</f>
        <v/>
      </c>
      <c r="G314" s="14" t="str">
        <f t="array" ref="G314">IF($E314="","",IFERROR(INDEX('Danh mục thiết bị'!$D$6:$D$65,MATCH($E314,'Danh mục thiết bị'!$B$6:$B$65,0)),""))</f>
        <v/>
      </c>
      <c r="H314" s="15"/>
      <c r="I314" s="12"/>
      <c r="J314" s="19"/>
      <c r="K314" s="19"/>
      <c r="L314" s="20"/>
      <c r="M314" s="20"/>
      <c r="N314" s="20"/>
      <c r="O314" s="84" t="str">
        <f t="shared" si="2"/>
        <v/>
      </c>
      <c r="P314" s="15"/>
      <c r="Q314" s="11"/>
      <c r="R314" s="10" t="str">
        <f t="array" ref="R314">IF($E314="","",IF($B314="","Thiếu ngày thực hiện",IF(AND($D314&lt;&gt;"",IFERROR(INDEX('Kế hoạch định kỳ'!$C$6:$C$125,MATCH($D314,'Kế hoạch định kỳ'!$B$6:$B$125,0)),"")&lt;&gt;$E314),"Mã TB không khớp công việc",IF(AND(OR($C314="Bảo trì định kỳ",$C314="Hiệu chuẩn – kiểm định"),$D314=""),"Thiếu mã công việc kế hoạch",IF($Q314="","Thiếu kết quả","OK")))))</f>
        <v/>
      </c>
      <c r="S314" s="15"/>
    </row>
    <row r="315" ht="25.5" customHeight="1">
      <c r="A315" s="26" t="str">
        <f t="shared" si="1"/>
        <v/>
      </c>
      <c r="B315" s="32"/>
      <c r="C315" s="27"/>
      <c r="D315" s="27"/>
      <c r="E315" s="27"/>
      <c r="F315" s="28" t="str">
        <f t="array" ref="F315">IF($E315="","",IFERROR(INDEX('Danh mục thiết bị'!$C$6:$C$65,MATCH($E315,'Danh mục thiết bị'!$B$6:$B$65,0)),"Mã TB không tồn tại"))</f>
        <v/>
      </c>
      <c r="G315" s="28" t="str">
        <f t="array" ref="G315">IF($E315="","",IFERROR(INDEX('Danh mục thiết bị'!$D$6:$D$65,MATCH($E315,'Danh mục thiết bị'!$B$6:$B$65,0)),""))</f>
        <v/>
      </c>
      <c r="H315" s="29"/>
      <c r="I315" s="31"/>
      <c r="J315" s="34"/>
      <c r="K315" s="34"/>
      <c r="L315" s="35"/>
      <c r="M315" s="35"/>
      <c r="N315" s="35"/>
      <c r="O315" s="85" t="str">
        <f t="shared" si="2"/>
        <v/>
      </c>
      <c r="P315" s="29"/>
      <c r="Q315" s="27"/>
      <c r="R315" s="26" t="str">
        <f t="array" ref="R315">IF($E315="","",IF($B315="","Thiếu ngày thực hiện",IF(AND($D315&lt;&gt;"",IFERROR(INDEX('Kế hoạch định kỳ'!$C$6:$C$125,MATCH($D315,'Kế hoạch định kỳ'!$B$6:$B$125,0)),"")&lt;&gt;$E315),"Mã TB không khớp công việc",IF(AND(OR($C315="Bảo trì định kỳ",$C315="Hiệu chuẩn – kiểm định"),$D315=""),"Thiếu mã công việc kế hoạch",IF($Q315="","Thiếu kết quả","OK")))))</f>
        <v/>
      </c>
      <c r="S315" s="29"/>
    </row>
    <row r="316" ht="25.5" customHeight="1">
      <c r="A316" s="10" t="str">
        <f t="shared" si="1"/>
        <v/>
      </c>
      <c r="B316" s="13"/>
      <c r="C316" s="11"/>
      <c r="D316" s="11"/>
      <c r="E316" s="11"/>
      <c r="F316" s="14" t="str">
        <f t="array" ref="F316">IF($E316="","",IFERROR(INDEX('Danh mục thiết bị'!$C$6:$C$65,MATCH($E316,'Danh mục thiết bị'!$B$6:$B$65,0)),"Mã TB không tồn tại"))</f>
        <v/>
      </c>
      <c r="G316" s="14" t="str">
        <f t="array" ref="G316">IF($E316="","",IFERROR(INDEX('Danh mục thiết bị'!$D$6:$D$65,MATCH($E316,'Danh mục thiết bị'!$B$6:$B$65,0)),""))</f>
        <v/>
      </c>
      <c r="H316" s="15"/>
      <c r="I316" s="12"/>
      <c r="J316" s="19"/>
      <c r="K316" s="19"/>
      <c r="L316" s="20"/>
      <c r="M316" s="20"/>
      <c r="N316" s="20"/>
      <c r="O316" s="84" t="str">
        <f t="shared" si="2"/>
        <v/>
      </c>
      <c r="P316" s="15"/>
      <c r="Q316" s="11"/>
      <c r="R316" s="10" t="str">
        <f t="array" ref="R316">IF($E316="","",IF($B316="","Thiếu ngày thực hiện",IF(AND($D316&lt;&gt;"",IFERROR(INDEX('Kế hoạch định kỳ'!$C$6:$C$125,MATCH($D316,'Kế hoạch định kỳ'!$B$6:$B$125,0)),"")&lt;&gt;$E316),"Mã TB không khớp công việc",IF(AND(OR($C316="Bảo trì định kỳ",$C316="Hiệu chuẩn – kiểm định"),$D316=""),"Thiếu mã công việc kế hoạch",IF($Q316="","Thiếu kết quả","OK")))))</f>
        <v/>
      </c>
      <c r="S316" s="15"/>
    </row>
    <row r="317" ht="25.5" customHeight="1">
      <c r="A317" s="26" t="str">
        <f t="shared" si="1"/>
        <v/>
      </c>
      <c r="B317" s="32"/>
      <c r="C317" s="27"/>
      <c r="D317" s="27"/>
      <c r="E317" s="27"/>
      <c r="F317" s="28" t="str">
        <f t="array" ref="F317">IF($E317="","",IFERROR(INDEX('Danh mục thiết bị'!$C$6:$C$65,MATCH($E317,'Danh mục thiết bị'!$B$6:$B$65,0)),"Mã TB không tồn tại"))</f>
        <v/>
      </c>
      <c r="G317" s="28" t="str">
        <f t="array" ref="G317">IF($E317="","",IFERROR(INDEX('Danh mục thiết bị'!$D$6:$D$65,MATCH($E317,'Danh mục thiết bị'!$B$6:$B$65,0)),""))</f>
        <v/>
      </c>
      <c r="H317" s="29"/>
      <c r="I317" s="31"/>
      <c r="J317" s="34"/>
      <c r="K317" s="34"/>
      <c r="L317" s="35"/>
      <c r="M317" s="35"/>
      <c r="N317" s="35"/>
      <c r="O317" s="85" t="str">
        <f t="shared" si="2"/>
        <v/>
      </c>
      <c r="P317" s="29"/>
      <c r="Q317" s="27"/>
      <c r="R317" s="26" t="str">
        <f t="array" ref="R317">IF($E317="","",IF($B317="","Thiếu ngày thực hiện",IF(AND($D317&lt;&gt;"",IFERROR(INDEX('Kế hoạch định kỳ'!$C$6:$C$125,MATCH($D317,'Kế hoạch định kỳ'!$B$6:$B$125,0)),"")&lt;&gt;$E317),"Mã TB không khớp công việc",IF(AND(OR($C317="Bảo trì định kỳ",$C317="Hiệu chuẩn – kiểm định"),$D317=""),"Thiếu mã công việc kế hoạch",IF($Q317="","Thiếu kết quả","OK")))))</f>
        <v/>
      </c>
      <c r="S317" s="29"/>
    </row>
    <row r="318" ht="25.5" customHeight="1">
      <c r="A318" s="10" t="str">
        <f t="shared" si="1"/>
        <v/>
      </c>
      <c r="B318" s="13"/>
      <c r="C318" s="11"/>
      <c r="D318" s="11"/>
      <c r="E318" s="11"/>
      <c r="F318" s="14" t="str">
        <f t="array" ref="F318">IF($E318="","",IFERROR(INDEX('Danh mục thiết bị'!$C$6:$C$65,MATCH($E318,'Danh mục thiết bị'!$B$6:$B$65,0)),"Mã TB không tồn tại"))</f>
        <v/>
      </c>
      <c r="G318" s="14" t="str">
        <f t="array" ref="G318">IF($E318="","",IFERROR(INDEX('Danh mục thiết bị'!$D$6:$D$65,MATCH($E318,'Danh mục thiết bị'!$B$6:$B$65,0)),""))</f>
        <v/>
      </c>
      <c r="H318" s="15"/>
      <c r="I318" s="12"/>
      <c r="J318" s="19"/>
      <c r="K318" s="19"/>
      <c r="L318" s="20"/>
      <c r="M318" s="20"/>
      <c r="N318" s="20"/>
      <c r="O318" s="84" t="str">
        <f t="shared" si="2"/>
        <v/>
      </c>
      <c r="P318" s="15"/>
      <c r="Q318" s="11"/>
      <c r="R318" s="10" t="str">
        <f t="array" ref="R318">IF($E318="","",IF($B318="","Thiếu ngày thực hiện",IF(AND($D318&lt;&gt;"",IFERROR(INDEX('Kế hoạch định kỳ'!$C$6:$C$125,MATCH($D318,'Kế hoạch định kỳ'!$B$6:$B$125,0)),"")&lt;&gt;$E318),"Mã TB không khớp công việc",IF(AND(OR($C318="Bảo trì định kỳ",$C318="Hiệu chuẩn – kiểm định"),$D318=""),"Thiếu mã công việc kế hoạch",IF($Q318="","Thiếu kết quả","OK")))))</f>
        <v/>
      </c>
      <c r="S318" s="15"/>
    </row>
    <row r="319" ht="25.5" customHeight="1">
      <c r="A319" s="26" t="str">
        <f t="shared" si="1"/>
        <v/>
      </c>
      <c r="B319" s="32"/>
      <c r="C319" s="27"/>
      <c r="D319" s="27"/>
      <c r="E319" s="27"/>
      <c r="F319" s="28" t="str">
        <f t="array" ref="F319">IF($E319="","",IFERROR(INDEX('Danh mục thiết bị'!$C$6:$C$65,MATCH($E319,'Danh mục thiết bị'!$B$6:$B$65,0)),"Mã TB không tồn tại"))</f>
        <v/>
      </c>
      <c r="G319" s="28" t="str">
        <f t="array" ref="G319">IF($E319="","",IFERROR(INDEX('Danh mục thiết bị'!$D$6:$D$65,MATCH($E319,'Danh mục thiết bị'!$B$6:$B$65,0)),""))</f>
        <v/>
      </c>
      <c r="H319" s="29"/>
      <c r="I319" s="31"/>
      <c r="J319" s="34"/>
      <c r="K319" s="34"/>
      <c r="L319" s="35"/>
      <c r="M319" s="35"/>
      <c r="N319" s="35"/>
      <c r="O319" s="85" t="str">
        <f t="shared" si="2"/>
        <v/>
      </c>
      <c r="P319" s="29"/>
      <c r="Q319" s="27"/>
      <c r="R319" s="26" t="str">
        <f t="array" ref="R319">IF($E319="","",IF($B319="","Thiếu ngày thực hiện",IF(AND($D319&lt;&gt;"",IFERROR(INDEX('Kế hoạch định kỳ'!$C$6:$C$125,MATCH($D319,'Kế hoạch định kỳ'!$B$6:$B$125,0)),"")&lt;&gt;$E319),"Mã TB không khớp công việc",IF(AND(OR($C319="Bảo trì định kỳ",$C319="Hiệu chuẩn – kiểm định"),$D319=""),"Thiếu mã công việc kế hoạch",IF($Q319="","Thiếu kết quả","OK")))))</f>
        <v/>
      </c>
      <c r="S319" s="29"/>
    </row>
    <row r="320" ht="25.5" customHeight="1">
      <c r="A320" s="10" t="str">
        <f t="shared" si="1"/>
        <v/>
      </c>
      <c r="B320" s="13"/>
      <c r="C320" s="11"/>
      <c r="D320" s="11"/>
      <c r="E320" s="11"/>
      <c r="F320" s="14" t="str">
        <f t="array" ref="F320">IF($E320="","",IFERROR(INDEX('Danh mục thiết bị'!$C$6:$C$65,MATCH($E320,'Danh mục thiết bị'!$B$6:$B$65,0)),"Mã TB không tồn tại"))</f>
        <v/>
      </c>
      <c r="G320" s="14" t="str">
        <f t="array" ref="G320">IF($E320="","",IFERROR(INDEX('Danh mục thiết bị'!$D$6:$D$65,MATCH($E320,'Danh mục thiết bị'!$B$6:$B$65,0)),""))</f>
        <v/>
      </c>
      <c r="H320" s="15"/>
      <c r="I320" s="12"/>
      <c r="J320" s="19"/>
      <c r="K320" s="19"/>
      <c r="L320" s="20"/>
      <c r="M320" s="20"/>
      <c r="N320" s="20"/>
      <c r="O320" s="84" t="str">
        <f t="shared" si="2"/>
        <v/>
      </c>
      <c r="P320" s="15"/>
      <c r="Q320" s="11"/>
      <c r="R320" s="10" t="str">
        <f t="array" ref="R320">IF($E320="","",IF($B320="","Thiếu ngày thực hiện",IF(AND($D320&lt;&gt;"",IFERROR(INDEX('Kế hoạch định kỳ'!$C$6:$C$125,MATCH($D320,'Kế hoạch định kỳ'!$B$6:$B$125,0)),"")&lt;&gt;$E320),"Mã TB không khớp công việc",IF(AND(OR($C320="Bảo trì định kỳ",$C320="Hiệu chuẩn – kiểm định"),$D320=""),"Thiếu mã công việc kế hoạch",IF($Q320="","Thiếu kết quả","OK")))))</f>
        <v/>
      </c>
      <c r="S320" s="15"/>
    </row>
    <row r="321" ht="25.5" customHeight="1">
      <c r="A321" s="26" t="str">
        <f t="shared" si="1"/>
        <v/>
      </c>
      <c r="B321" s="32"/>
      <c r="C321" s="27"/>
      <c r="D321" s="27"/>
      <c r="E321" s="27"/>
      <c r="F321" s="28" t="str">
        <f t="array" ref="F321">IF($E321="","",IFERROR(INDEX('Danh mục thiết bị'!$C$6:$C$65,MATCH($E321,'Danh mục thiết bị'!$B$6:$B$65,0)),"Mã TB không tồn tại"))</f>
        <v/>
      </c>
      <c r="G321" s="28" t="str">
        <f t="array" ref="G321">IF($E321="","",IFERROR(INDEX('Danh mục thiết bị'!$D$6:$D$65,MATCH($E321,'Danh mục thiết bị'!$B$6:$B$65,0)),""))</f>
        <v/>
      </c>
      <c r="H321" s="29"/>
      <c r="I321" s="31"/>
      <c r="J321" s="34"/>
      <c r="K321" s="34"/>
      <c r="L321" s="35"/>
      <c r="M321" s="35"/>
      <c r="N321" s="35"/>
      <c r="O321" s="85" t="str">
        <f t="shared" si="2"/>
        <v/>
      </c>
      <c r="P321" s="29"/>
      <c r="Q321" s="27"/>
      <c r="R321" s="26" t="str">
        <f t="array" ref="R321">IF($E321="","",IF($B321="","Thiếu ngày thực hiện",IF(AND($D321&lt;&gt;"",IFERROR(INDEX('Kế hoạch định kỳ'!$C$6:$C$125,MATCH($D321,'Kế hoạch định kỳ'!$B$6:$B$125,0)),"")&lt;&gt;$E321),"Mã TB không khớp công việc",IF(AND(OR($C321="Bảo trì định kỳ",$C321="Hiệu chuẩn – kiểm định"),$D321=""),"Thiếu mã công việc kế hoạch",IF($Q321="","Thiếu kết quả","OK")))))</f>
        <v/>
      </c>
      <c r="S321" s="29"/>
    </row>
    <row r="322" ht="25.5" customHeight="1">
      <c r="A322" s="10" t="str">
        <f t="shared" si="1"/>
        <v/>
      </c>
      <c r="B322" s="13"/>
      <c r="C322" s="11"/>
      <c r="D322" s="11"/>
      <c r="E322" s="11"/>
      <c r="F322" s="14" t="str">
        <f t="array" ref="F322">IF($E322="","",IFERROR(INDEX('Danh mục thiết bị'!$C$6:$C$65,MATCH($E322,'Danh mục thiết bị'!$B$6:$B$65,0)),"Mã TB không tồn tại"))</f>
        <v/>
      </c>
      <c r="G322" s="14" t="str">
        <f t="array" ref="G322">IF($E322="","",IFERROR(INDEX('Danh mục thiết bị'!$D$6:$D$65,MATCH($E322,'Danh mục thiết bị'!$B$6:$B$65,0)),""))</f>
        <v/>
      </c>
      <c r="H322" s="15"/>
      <c r="I322" s="12"/>
      <c r="J322" s="19"/>
      <c r="K322" s="19"/>
      <c r="L322" s="20"/>
      <c r="M322" s="20"/>
      <c r="N322" s="20"/>
      <c r="O322" s="84" t="str">
        <f t="shared" si="2"/>
        <v/>
      </c>
      <c r="P322" s="15"/>
      <c r="Q322" s="11"/>
      <c r="R322" s="10" t="str">
        <f t="array" ref="R322">IF($E322="","",IF($B322="","Thiếu ngày thực hiện",IF(AND($D322&lt;&gt;"",IFERROR(INDEX('Kế hoạch định kỳ'!$C$6:$C$125,MATCH($D322,'Kế hoạch định kỳ'!$B$6:$B$125,0)),"")&lt;&gt;$E322),"Mã TB không khớp công việc",IF(AND(OR($C322="Bảo trì định kỳ",$C322="Hiệu chuẩn – kiểm định"),$D322=""),"Thiếu mã công việc kế hoạch",IF($Q322="","Thiếu kết quả","OK")))))</f>
        <v/>
      </c>
      <c r="S322" s="15"/>
    </row>
    <row r="323" ht="25.5" customHeight="1">
      <c r="A323" s="26" t="str">
        <f t="shared" si="1"/>
        <v/>
      </c>
      <c r="B323" s="32"/>
      <c r="C323" s="27"/>
      <c r="D323" s="27"/>
      <c r="E323" s="27"/>
      <c r="F323" s="28" t="str">
        <f t="array" ref="F323">IF($E323="","",IFERROR(INDEX('Danh mục thiết bị'!$C$6:$C$65,MATCH($E323,'Danh mục thiết bị'!$B$6:$B$65,0)),"Mã TB không tồn tại"))</f>
        <v/>
      </c>
      <c r="G323" s="28" t="str">
        <f t="array" ref="G323">IF($E323="","",IFERROR(INDEX('Danh mục thiết bị'!$D$6:$D$65,MATCH($E323,'Danh mục thiết bị'!$B$6:$B$65,0)),""))</f>
        <v/>
      </c>
      <c r="H323" s="29"/>
      <c r="I323" s="31"/>
      <c r="J323" s="34"/>
      <c r="K323" s="34"/>
      <c r="L323" s="35"/>
      <c r="M323" s="35"/>
      <c r="N323" s="35"/>
      <c r="O323" s="85" t="str">
        <f t="shared" si="2"/>
        <v/>
      </c>
      <c r="P323" s="29"/>
      <c r="Q323" s="27"/>
      <c r="R323" s="26" t="str">
        <f t="array" ref="R323">IF($E323="","",IF($B323="","Thiếu ngày thực hiện",IF(AND($D323&lt;&gt;"",IFERROR(INDEX('Kế hoạch định kỳ'!$C$6:$C$125,MATCH($D323,'Kế hoạch định kỳ'!$B$6:$B$125,0)),"")&lt;&gt;$E323),"Mã TB không khớp công việc",IF(AND(OR($C323="Bảo trì định kỳ",$C323="Hiệu chuẩn – kiểm định"),$D323=""),"Thiếu mã công việc kế hoạch",IF($Q323="","Thiếu kết quả","OK")))))</f>
        <v/>
      </c>
      <c r="S323" s="29"/>
    </row>
    <row r="324" ht="25.5" customHeight="1">
      <c r="A324" s="10" t="str">
        <f t="shared" si="1"/>
        <v/>
      </c>
      <c r="B324" s="13"/>
      <c r="C324" s="11"/>
      <c r="D324" s="11"/>
      <c r="E324" s="11"/>
      <c r="F324" s="14" t="str">
        <f t="array" ref="F324">IF($E324="","",IFERROR(INDEX('Danh mục thiết bị'!$C$6:$C$65,MATCH($E324,'Danh mục thiết bị'!$B$6:$B$65,0)),"Mã TB không tồn tại"))</f>
        <v/>
      </c>
      <c r="G324" s="14" t="str">
        <f t="array" ref="G324">IF($E324="","",IFERROR(INDEX('Danh mục thiết bị'!$D$6:$D$65,MATCH($E324,'Danh mục thiết bị'!$B$6:$B$65,0)),""))</f>
        <v/>
      </c>
      <c r="H324" s="15"/>
      <c r="I324" s="12"/>
      <c r="J324" s="19"/>
      <c r="K324" s="19"/>
      <c r="L324" s="20"/>
      <c r="M324" s="20"/>
      <c r="N324" s="20"/>
      <c r="O324" s="84" t="str">
        <f t="shared" si="2"/>
        <v/>
      </c>
      <c r="P324" s="15"/>
      <c r="Q324" s="11"/>
      <c r="R324" s="10" t="str">
        <f t="array" ref="R324">IF($E324="","",IF($B324="","Thiếu ngày thực hiện",IF(AND($D324&lt;&gt;"",IFERROR(INDEX('Kế hoạch định kỳ'!$C$6:$C$125,MATCH($D324,'Kế hoạch định kỳ'!$B$6:$B$125,0)),"")&lt;&gt;$E324),"Mã TB không khớp công việc",IF(AND(OR($C324="Bảo trì định kỳ",$C324="Hiệu chuẩn – kiểm định"),$D324=""),"Thiếu mã công việc kế hoạch",IF($Q324="","Thiếu kết quả","OK")))))</f>
        <v/>
      </c>
      <c r="S324" s="15"/>
    </row>
    <row r="325" ht="25.5" customHeight="1">
      <c r="A325" s="26" t="str">
        <f t="shared" si="1"/>
        <v/>
      </c>
      <c r="B325" s="32"/>
      <c r="C325" s="27"/>
      <c r="D325" s="27"/>
      <c r="E325" s="27"/>
      <c r="F325" s="28" t="str">
        <f t="array" ref="F325">IF($E325="","",IFERROR(INDEX('Danh mục thiết bị'!$C$6:$C$65,MATCH($E325,'Danh mục thiết bị'!$B$6:$B$65,0)),"Mã TB không tồn tại"))</f>
        <v/>
      </c>
      <c r="G325" s="28" t="str">
        <f t="array" ref="G325">IF($E325="","",IFERROR(INDEX('Danh mục thiết bị'!$D$6:$D$65,MATCH($E325,'Danh mục thiết bị'!$B$6:$B$65,0)),""))</f>
        <v/>
      </c>
      <c r="H325" s="29"/>
      <c r="I325" s="31"/>
      <c r="J325" s="34"/>
      <c r="K325" s="34"/>
      <c r="L325" s="35"/>
      <c r="M325" s="35"/>
      <c r="N325" s="35"/>
      <c r="O325" s="85" t="str">
        <f t="shared" si="2"/>
        <v/>
      </c>
      <c r="P325" s="29"/>
      <c r="Q325" s="27"/>
      <c r="R325" s="26" t="str">
        <f t="array" ref="R325">IF($E325="","",IF($B325="","Thiếu ngày thực hiện",IF(AND($D325&lt;&gt;"",IFERROR(INDEX('Kế hoạch định kỳ'!$C$6:$C$125,MATCH($D325,'Kế hoạch định kỳ'!$B$6:$B$125,0)),"")&lt;&gt;$E325),"Mã TB không khớp công việc",IF(AND(OR($C325="Bảo trì định kỳ",$C325="Hiệu chuẩn – kiểm định"),$D325=""),"Thiếu mã công việc kế hoạch",IF($Q325="","Thiếu kết quả","OK")))))</f>
        <v/>
      </c>
      <c r="S325" s="29"/>
    </row>
    <row r="326" ht="25.5" customHeight="1">
      <c r="A326" s="10" t="str">
        <f t="shared" si="1"/>
        <v/>
      </c>
      <c r="B326" s="13"/>
      <c r="C326" s="11"/>
      <c r="D326" s="11"/>
      <c r="E326" s="11"/>
      <c r="F326" s="14" t="str">
        <f t="array" ref="F326">IF($E326="","",IFERROR(INDEX('Danh mục thiết bị'!$C$6:$C$65,MATCH($E326,'Danh mục thiết bị'!$B$6:$B$65,0)),"Mã TB không tồn tại"))</f>
        <v/>
      </c>
      <c r="G326" s="14" t="str">
        <f t="array" ref="G326">IF($E326="","",IFERROR(INDEX('Danh mục thiết bị'!$D$6:$D$65,MATCH($E326,'Danh mục thiết bị'!$B$6:$B$65,0)),""))</f>
        <v/>
      </c>
      <c r="H326" s="15"/>
      <c r="I326" s="12"/>
      <c r="J326" s="19"/>
      <c r="K326" s="19"/>
      <c r="L326" s="20"/>
      <c r="M326" s="20"/>
      <c r="N326" s="20"/>
      <c r="O326" s="84" t="str">
        <f t="shared" si="2"/>
        <v/>
      </c>
      <c r="P326" s="15"/>
      <c r="Q326" s="11"/>
      <c r="R326" s="10" t="str">
        <f t="array" ref="R326">IF($E326="","",IF($B326="","Thiếu ngày thực hiện",IF(AND($D326&lt;&gt;"",IFERROR(INDEX('Kế hoạch định kỳ'!$C$6:$C$125,MATCH($D326,'Kế hoạch định kỳ'!$B$6:$B$125,0)),"")&lt;&gt;$E326),"Mã TB không khớp công việc",IF(AND(OR($C326="Bảo trì định kỳ",$C326="Hiệu chuẩn – kiểm định"),$D326=""),"Thiếu mã công việc kế hoạch",IF($Q326="","Thiếu kết quả","OK")))))</f>
        <v/>
      </c>
      <c r="S326" s="15"/>
    </row>
    <row r="327" ht="25.5" customHeight="1">
      <c r="A327" s="26" t="str">
        <f t="shared" si="1"/>
        <v/>
      </c>
      <c r="B327" s="32"/>
      <c r="C327" s="27"/>
      <c r="D327" s="27"/>
      <c r="E327" s="27"/>
      <c r="F327" s="28" t="str">
        <f t="array" ref="F327">IF($E327="","",IFERROR(INDEX('Danh mục thiết bị'!$C$6:$C$65,MATCH($E327,'Danh mục thiết bị'!$B$6:$B$65,0)),"Mã TB không tồn tại"))</f>
        <v/>
      </c>
      <c r="G327" s="28" t="str">
        <f t="array" ref="G327">IF($E327="","",IFERROR(INDEX('Danh mục thiết bị'!$D$6:$D$65,MATCH($E327,'Danh mục thiết bị'!$B$6:$B$65,0)),""))</f>
        <v/>
      </c>
      <c r="H327" s="29"/>
      <c r="I327" s="31"/>
      <c r="J327" s="34"/>
      <c r="K327" s="34"/>
      <c r="L327" s="35"/>
      <c r="M327" s="35"/>
      <c r="N327" s="35"/>
      <c r="O327" s="85" t="str">
        <f t="shared" si="2"/>
        <v/>
      </c>
      <c r="P327" s="29"/>
      <c r="Q327" s="27"/>
      <c r="R327" s="26" t="str">
        <f t="array" ref="R327">IF($E327="","",IF($B327="","Thiếu ngày thực hiện",IF(AND($D327&lt;&gt;"",IFERROR(INDEX('Kế hoạch định kỳ'!$C$6:$C$125,MATCH($D327,'Kế hoạch định kỳ'!$B$6:$B$125,0)),"")&lt;&gt;$E327),"Mã TB không khớp công việc",IF(AND(OR($C327="Bảo trì định kỳ",$C327="Hiệu chuẩn – kiểm định"),$D327=""),"Thiếu mã công việc kế hoạch",IF($Q327="","Thiếu kết quả","OK")))))</f>
        <v/>
      </c>
      <c r="S327" s="29"/>
    </row>
    <row r="328" ht="25.5" customHeight="1">
      <c r="A328" s="10" t="str">
        <f t="shared" si="1"/>
        <v/>
      </c>
      <c r="B328" s="13"/>
      <c r="C328" s="11"/>
      <c r="D328" s="11"/>
      <c r="E328" s="11"/>
      <c r="F328" s="14" t="str">
        <f t="array" ref="F328">IF($E328="","",IFERROR(INDEX('Danh mục thiết bị'!$C$6:$C$65,MATCH($E328,'Danh mục thiết bị'!$B$6:$B$65,0)),"Mã TB không tồn tại"))</f>
        <v/>
      </c>
      <c r="G328" s="14" t="str">
        <f t="array" ref="G328">IF($E328="","",IFERROR(INDEX('Danh mục thiết bị'!$D$6:$D$65,MATCH($E328,'Danh mục thiết bị'!$B$6:$B$65,0)),""))</f>
        <v/>
      </c>
      <c r="H328" s="15"/>
      <c r="I328" s="12"/>
      <c r="J328" s="19"/>
      <c r="K328" s="19"/>
      <c r="L328" s="20"/>
      <c r="M328" s="20"/>
      <c r="N328" s="20"/>
      <c r="O328" s="84" t="str">
        <f t="shared" si="2"/>
        <v/>
      </c>
      <c r="P328" s="15"/>
      <c r="Q328" s="11"/>
      <c r="R328" s="10" t="str">
        <f t="array" ref="R328">IF($E328="","",IF($B328="","Thiếu ngày thực hiện",IF(AND($D328&lt;&gt;"",IFERROR(INDEX('Kế hoạch định kỳ'!$C$6:$C$125,MATCH($D328,'Kế hoạch định kỳ'!$B$6:$B$125,0)),"")&lt;&gt;$E328),"Mã TB không khớp công việc",IF(AND(OR($C328="Bảo trì định kỳ",$C328="Hiệu chuẩn – kiểm định"),$D328=""),"Thiếu mã công việc kế hoạch",IF($Q328="","Thiếu kết quả","OK")))))</f>
        <v/>
      </c>
      <c r="S328" s="15"/>
    </row>
    <row r="329" ht="25.5" customHeight="1">
      <c r="A329" s="26" t="str">
        <f t="shared" si="1"/>
        <v/>
      </c>
      <c r="B329" s="32"/>
      <c r="C329" s="27"/>
      <c r="D329" s="27"/>
      <c r="E329" s="27"/>
      <c r="F329" s="28" t="str">
        <f t="array" ref="F329">IF($E329="","",IFERROR(INDEX('Danh mục thiết bị'!$C$6:$C$65,MATCH($E329,'Danh mục thiết bị'!$B$6:$B$65,0)),"Mã TB không tồn tại"))</f>
        <v/>
      </c>
      <c r="G329" s="28" t="str">
        <f t="array" ref="G329">IF($E329="","",IFERROR(INDEX('Danh mục thiết bị'!$D$6:$D$65,MATCH($E329,'Danh mục thiết bị'!$B$6:$B$65,0)),""))</f>
        <v/>
      </c>
      <c r="H329" s="29"/>
      <c r="I329" s="31"/>
      <c r="J329" s="34"/>
      <c r="K329" s="34"/>
      <c r="L329" s="35"/>
      <c r="M329" s="35"/>
      <c r="N329" s="35"/>
      <c r="O329" s="85" t="str">
        <f t="shared" si="2"/>
        <v/>
      </c>
      <c r="P329" s="29"/>
      <c r="Q329" s="27"/>
      <c r="R329" s="26" t="str">
        <f t="array" ref="R329">IF($E329="","",IF($B329="","Thiếu ngày thực hiện",IF(AND($D329&lt;&gt;"",IFERROR(INDEX('Kế hoạch định kỳ'!$C$6:$C$125,MATCH($D329,'Kế hoạch định kỳ'!$B$6:$B$125,0)),"")&lt;&gt;$E329),"Mã TB không khớp công việc",IF(AND(OR($C329="Bảo trì định kỳ",$C329="Hiệu chuẩn – kiểm định"),$D329=""),"Thiếu mã công việc kế hoạch",IF($Q329="","Thiếu kết quả","OK")))))</f>
        <v/>
      </c>
      <c r="S329" s="29"/>
    </row>
    <row r="330" ht="25.5" customHeight="1">
      <c r="A330" s="10" t="str">
        <f t="shared" si="1"/>
        <v/>
      </c>
      <c r="B330" s="13"/>
      <c r="C330" s="11"/>
      <c r="D330" s="11"/>
      <c r="E330" s="11"/>
      <c r="F330" s="14" t="str">
        <f t="array" ref="F330">IF($E330="","",IFERROR(INDEX('Danh mục thiết bị'!$C$6:$C$65,MATCH($E330,'Danh mục thiết bị'!$B$6:$B$65,0)),"Mã TB không tồn tại"))</f>
        <v/>
      </c>
      <c r="G330" s="14" t="str">
        <f t="array" ref="G330">IF($E330="","",IFERROR(INDEX('Danh mục thiết bị'!$D$6:$D$65,MATCH($E330,'Danh mục thiết bị'!$B$6:$B$65,0)),""))</f>
        <v/>
      </c>
      <c r="H330" s="15"/>
      <c r="I330" s="12"/>
      <c r="J330" s="19"/>
      <c r="K330" s="19"/>
      <c r="L330" s="20"/>
      <c r="M330" s="20"/>
      <c r="N330" s="20"/>
      <c r="O330" s="84" t="str">
        <f t="shared" si="2"/>
        <v/>
      </c>
      <c r="P330" s="15"/>
      <c r="Q330" s="11"/>
      <c r="R330" s="10" t="str">
        <f t="array" ref="R330">IF($E330="","",IF($B330="","Thiếu ngày thực hiện",IF(AND($D330&lt;&gt;"",IFERROR(INDEX('Kế hoạch định kỳ'!$C$6:$C$125,MATCH($D330,'Kế hoạch định kỳ'!$B$6:$B$125,0)),"")&lt;&gt;$E330),"Mã TB không khớp công việc",IF(AND(OR($C330="Bảo trì định kỳ",$C330="Hiệu chuẩn – kiểm định"),$D330=""),"Thiếu mã công việc kế hoạch",IF($Q330="","Thiếu kết quả","OK")))))</f>
        <v/>
      </c>
      <c r="S330" s="15"/>
    </row>
    <row r="331" ht="25.5" customHeight="1">
      <c r="A331" s="26" t="str">
        <f t="shared" si="1"/>
        <v/>
      </c>
      <c r="B331" s="32"/>
      <c r="C331" s="27"/>
      <c r="D331" s="27"/>
      <c r="E331" s="27"/>
      <c r="F331" s="28" t="str">
        <f t="array" ref="F331">IF($E331="","",IFERROR(INDEX('Danh mục thiết bị'!$C$6:$C$65,MATCH($E331,'Danh mục thiết bị'!$B$6:$B$65,0)),"Mã TB không tồn tại"))</f>
        <v/>
      </c>
      <c r="G331" s="28" t="str">
        <f t="array" ref="G331">IF($E331="","",IFERROR(INDEX('Danh mục thiết bị'!$D$6:$D$65,MATCH($E331,'Danh mục thiết bị'!$B$6:$B$65,0)),""))</f>
        <v/>
      </c>
      <c r="H331" s="29"/>
      <c r="I331" s="31"/>
      <c r="J331" s="34"/>
      <c r="K331" s="34"/>
      <c r="L331" s="35"/>
      <c r="M331" s="35"/>
      <c r="N331" s="35"/>
      <c r="O331" s="85" t="str">
        <f t="shared" si="2"/>
        <v/>
      </c>
      <c r="P331" s="29"/>
      <c r="Q331" s="27"/>
      <c r="R331" s="26" t="str">
        <f t="array" ref="R331">IF($E331="","",IF($B331="","Thiếu ngày thực hiện",IF(AND($D331&lt;&gt;"",IFERROR(INDEX('Kế hoạch định kỳ'!$C$6:$C$125,MATCH($D331,'Kế hoạch định kỳ'!$B$6:$B$125,0)),"")&lt;&gt;$E331),"Mã TB không khớp công việc",IF(AND(OR($C331="Bảo trì định kỳ",$C331="Hiệu chuẩn – kiểm định"),$D331=""),"Thiếu mã công việc kế hoạch",IF($Q331="","Thiếu kết quả","OK")))))</f>
        <v/>
      </c>
      <c r="S331" s="29"/>
    </row>
    <row r="332" ht="25.5" customHeight="1">
      <c r="A332" s="10" t="str">
        <f t="shared" si="1"/>
        <v/>
      </c>
      <c r="B332" s="13"/>
      <c r="C332" s="11"/>
      <c r="D332" s="11"/>
      <c r="E332" s="11"/>
      <c r="F332" s="14" t="str">
        <f t="array" ref="F332">IF($E332="","",IFERROR(INDEX('Danh mục thiết bị'!$C$6:$C$65,MATCH($E332,'Danh mục thiết bị'!$B$6:$B$65,0)),"Mã TB không tồn tại"))</f>
        <v/>
      </c>
      <c r="G332" s="14" t="str">
        <f t="array" ref="G332">IF($E332="","",IFERROR(INDEX('Danh mục thiết bị'!$D$6:$D$65,MATCH($E332,'Danh mục thiết bị'!$B$6:$B$65,0)),""))</f>
        <v/>
      </c>
      <c r="H332" s="15"/>
      <c r="I332" s="12"/>
      <c r="J332" s="19"/>
      <c r="K332" s="19"/>
      <c r="L332" s="20"/>
      <c r="M332" s="20"/>
      <c r="N332" s="20"/>
      <c r="O332" s="84" t="str">
        <f t="shared" si="2"/>
        <v/>
      </c>
      <c r="P332" s="15"/>
      <c r="Q332" s="11"/>
      <c r="R332" s="10" t="str">
        <f t="array" ref="R332">IF($E332="","",IF($B332="","Thiếu ngày thực hiện",IF(AND($D332&lt;&gt;"",IFERROR(INDEX('Kế hoạch định kỳ'!$C$6:$C$125,MATCH($D332,'Kế hoạch định kỳ'!$B$6:$B$125,0)),"")&lt;&gt;$E332),"Mã TB không khớp công việc",IF(AND(OR($C332="Bảo trì định kỳ",$C332="Hiệu chuẩn – kiểm định"),$D332=""),"Thiếu mã công việc kế hoạch",IF($Q332="","Thiếu kết quả","OK")))))</f>
        <v/>
      </c>
      <c r="S332" s="15"/>
    </row>
    <row r="333" ht="25.5" customHeight="1">
      <c r="A333" s="26" t="str">
        <f t="shared" si="1"/>
        <v/>
      </c>
      <c r="B333" s="32"/>
      <c r="C333" s="27"/>
      <c r="D333" s="27"/>
      <c r="E333" s="27"/>
      <c r="F333" s="28" t="str">
        <f t="array" ref="F333">IF($E333="","",IFERROR(INDEX('Danh mục thiết bị'!$C$6:$C$65,MATCH($E333,'Danh mục thiết bị'!$B$6:$B$65,0)),"Mã TB không tồn tại"))</f>
        <v/>
      </c>
      <c r="G333" s="28" t="str">
        <f t="array" ref="G333">IF($E333="","",IFERROR(INDEX('Danh mục thiết bị'!$D$6:$D$65,MATCH($E333,'Danh mục thiết bị'!$B$6:$B$65,0)),""))</f>
        <v/>
      </c>
      <c r="H333" s="29"/>
      <c r="I333" s="31"/>
      <c r="J333" s="34"/>
      <c r="K333" s="34"/>
      <c r="L333" s="35"/>
      <c r="M333" s="35"/>
      <c r="N333" s="35"/>
      <c r="O333" s="85" t="str">
        <f t="shared" si="2"/>
        <v/>
      </c>
      <c r="P333" s="29"/>
      <c r="Q333" s="27"/>
      <c r="R333" s="26" t="str">
        <f t="array" ref="R333">IF($E333="","",IF($B333="","Thiếu ngày thực hiện",IF(AND($D333&lt;&gt;"",IFERROR(INDEX('Kế hoạch định kỳ'!$C$6:$C$125,MATCH($D333,'Kế hoạch định kỳ'!$B$6:$B$125,0)),"")&lt;&gt;$E333),"Mã TB không khớp công việc",IF(AND(OR($C333="Bảo trì định kỳ",$C333="Hiệu chuẩn – kiểm định"),$D333=""),"Thiếu mã công việc kế hoạch",IF($Q333="","Thiếu kết quả","OK")))))</f>
        <v/>
      </c>
      <c r="S333" s="29"/>
    </row>
    <row r="334" ht="25.5" customHeight="1">
      <c r="A334" s="10" t="str">
        <f t="shared" si="1"/>
        <v/>
      </c>
      <c r="B334" s="13"/>
      <c r="C334" s="11"/>
      <c r="D334" s="11"/>
      <c r="E334" s="11"/>
      <c r="F334" s="14" t="str">
        <f t="array" ref="F334">IF($E334="","",IFERROR(INDEX('Danh mục thiết bị'!$C$6:$C$65,MATCH($E334,'Danh mục thiết bị'!$B$6:$B$65,0)),"Mã TB không tồn tại"))</f>
        <v/>
      </c>
      <c r="G334" s="14" t="str">
        <f t="array" ref="G334">IF($E334="","",IFERROR(INDEX('Danh mục thiết bị'!$D$6:$D$65,MATCH($E334,'Danh mục thiết bị'!$B$6:$B$65,0)),""))</f>
        <v/>
      </c>
      <c r="H334" s="15"/>
      <c r="I334" s="12"/>
      <c r="J334" s="19"/>
      <c r="K334" s="19"/>
      <c r="L334" s="20"/>
      <c r="M334" s="20"/>
      <c r="N334" s="20"/>
      <c r="O334" s="84" t="str">
        <f t="shared" si="2"/>
        <v/>
      </c>
      <c r="P334" s="15"/>
      <c r="Q334" s="11"/>
      <c r="R334" s="10" t="str">
        <f t="array" ref="R334">IF($E334="","",IF($B334="","Thiếu ngày thực hiện",IF(AND($D334&lt;&gt;"",IFERROR(INDEX('Kế hoạch định kỳ'!$C$6:$C$125,MATCH($D334,'Kế hoạch định kỳ'!$B$6:$B$125,0)),"")&lt;&gt;$E334),"Mã TB không khớp công việc",IF(AND(OR($C334="Bảo trì định kỳ",$C334="Hiệu chuẩn – kiểm định"),$D334=""),"Thiếu mã công việc kế hoạch",IF($Q334="","Thiếu kết quả","OK")))))</f>
        <v/>
      </c>
      <c r="S334" s="15"/>
    </row>
    <row r="335" ht="25.5" customHeight="1">
      <c r="A335" s="26" t="str">
        <f t="shared" si="1"/>
        <v/>
      </c>
      <c r="B335" s="32"/>
      <c r="C335" s="27"/>
      <c r="D335" s="27"/>
      <c r="E335" s="27"/>
      <c r="F335" s="28" t="str">
        <f t="array" ref="F335">IF($E335="","",IFERROR(INDEX('Danh mục thiết bị'!$C$6:$C$65,MATCH($E335,'Danh mục thiết bị'!$B$6:$B$65,0)),"Mã TB không tồn tại"))</f>
        <v/>
      </c>
      <c r="G335" s="28" t="str">
        <f t="array" ref="G335">IF($E335="","",IFERROR(INDEX('Danh mục thiết bị'!$D$6:$D$65,MATCH($E335,'Danh mục thiết bị'!$B$6:$B$65,0)),""))</f>
        <v/>
      </c>
      <c r="H335" s="29"/>
      <c r="I335" s="31"/>
      <c r="J335" s="34"/>
      <c r="K335" s="34"/>
      <c r="L335" s="35"/>
      <c r="M335" s="35"/>
      <c r="N335" s="35"/>
      <c r="O335" s="85" t="str">
        <f t="shared" si="2"/>
        <v/>
      </c>
      <c r="P335" s="29"/>
      <c r="Q335" s="27"/>
      <c r="R335" s="26" t="str">
        <f t="array" ref="R335">IF($E335="","",IF($B335="","Thiếu ngày thực hiện",IF(AND($D335&lt;&gt;"",IFERROR(INDEX('Kế hoạch định kỳ'!$C$6:$C$125,MATCH($D335,'Kế hoạch định kỳ'!$B$6:$B$125,0)),"")&lt;&gt;$E335),"Mã TB không khớp công việc",IF(AND(OR($C335="Bảo trì định kỳ",$C335="Hiệu chuẩn – kiểm định"),$D335=""),"Thiếu mã công việc kế hoạch",IF($Q335="","Thiếu kết quả","OK")))))</f>
        <v/>
      </c>
      <c r="S335" s="29"/>
    </row>
    <row r="336" ht="25.5" customHeight="1">
      <c r="A336" s="10" t="str">
        <f t="shared" si="1"/>
        <v/>
      </c>
      <c r="B336" s="13"/>
      <c r="C336" s="11"/>
      <c r="D336" s="11"/>
      <c r="E336" s="11"/>
      <c r="F336" s="14" t="str">
        <f t="array" ref="F336">IF($E336="","",IFERROR(INDEX('Danh mục thiết bị'!$C$6:$C$65,MATCH($E336,'Danh mục thiết bị'!$B$6:$B$65,0)),"Mã TB không tồn tại"))</f>
        <v/>
      </c>
      <c r="G336" s="14" t="str">
        <f t="array" ref="G336">IF($E336="","",IFERROR(INDEX('Danh mục thiết bị'!$D$6:$D$65,MATCH($E336,'Danh mục thiết bị'!$B$6:$B$65,0)),""))</f>
        <v/>
      </c>
      <c r="H336" s="15"/>
      <c r="I336" s="12"/>
      <c r="J336" s="19"/>
      <c r="K336" s="19"/>
      <c r="L336" s="20"/>
      <c r="M336" s="20"/>
      <c r="N336" s="20"/>
      <c r="O336" s="84" t="str">
        <f t="shared" si="2"/>
        <v/>
      </c>
      <c r="P336" s="15"/>
      <c r="Q336" s="11"/>
      <c r="R336" s="10" t="str">
        <f t="array" ref="R336">IF($E336="","",IF($B336="","Thiếu ngày thực hiện",IF(AND($D336&lt;&gt;"",IFERROR(INDEX('Kế hoạch định kỳ'!$C$6:$C$125,MATCH($D336,'Kế hoạch định kỳ'!$B$6:$B$125,0)),"")&lt;&gt;$E336),"Mã TB không khớp công việc",IF(AND(OR($C336="Bảo trì định kỳ",$C336="Hiệu chuẩn – kiểm định"),$D336=""),"Thiếu mã công việc kế hoạch",IF($Q336="","Thiếu kết quả","OK")))))</f>
        <v/>
      </c>
      <c r="S336" s="15"/>
    </row>
    <row r="337" ht="25.5" customHeight="1">
      <c r="A337" s="26" t="str">
        <f t="shared" si="1"/>
        <v/>
      </c>
      <c r="B337" s="32"/>
      <c r="C337" s="27"/>
      <c r="D337" s="27"/>
      <c r="E337" s="27"/>
      <c r="F337" s="28" t="str">
        <f t="array" ref="F337">IF($E337="","",IFERROR(INDEX('Danh mục thiết bị'!$C$6:$C$65,MATCH($E337,'Danh mục thiết bị'!$B$6:$B$65,0)),"Mã TB không tồn tại"))</f>
        <v/>
      </c>
      <c r="G337" s="28" t="str">
        <f t="array" ref="G337">IF($E337="","",IFERROR(INDEX('Danh mục thiết bị'!$D$6:$D$65,MATCH($E337,'Danh mục thiết bị'!$B$6:$B$65,0)),""))</f>
        <v/>
      </c>
      <c r="H337" s="29"/>
      <c r="I337" s="31"/>
      <c r="J337" s="34"/>
      <c r="K337" s="34"/>
      <c r="L337" s="35"/>
      <c r="M337" s="35"/>
      <c r="N337" s="35"/>
      <c r="O337" s="85" t="str">
        <f t="shared" si="2"/>
        <v/>
      </c>
      <c r="P337" s="29"/>
      <c r="Q337" s="27"/>
      <c r="R337" s="26" t="str">
        <f t="array" ref="R337">IF($E337="","",IF($B337="","Thiếu ngày thực hiện",IF(AND($D337&lt;&gt;"",IFERROR(INDEX('Kế hoạch định kỳ'!$C$6:$C$125,MATCH($D337,'Kế hoạch định kỳ'!$B$6:$B$125,0)),"")&lt;&gt;$E337),"Mã TB không khớp công việc",IF(AND(OR($C337="Bảo trì định kỳ",$C337="Hiệu chuẩn – kiểm định"),$D337=""),"Thiếu mã công việc kế hoạch",IF($Q337="","Thiếu kết quả","OK")))))</f>
        <v/>
      </c>
      <c r="S337" s="29"/>
    </row>
    <row r="338" ht="25.5" customHeight="1">
      <c r="A338" s="10" t="str">
        <f t="shared" si="1"/>
        <v/>
      </c>
      <c r="B338" s="13"/>
      <c r="C338" s="11"/>
      <c r="D338" s="11"/>
      <c r="E338" s="11"/>
      <c r="F338" s="14" t="str">
        <f t="array" ref="F338">IF($E338="","",IFERROR(INDEX('Danh mục thiết bị'!$C$6:$C$65,MATCH($E338,'Danh mục thiết bị'!$B$6:$B$65,0)),"Mã TB không tồn tại"))</f>
        <v/>
      </c>
      <c r="G338" s="14" t="str">
        <f t="array" ref="G338">IF($E338="","",IFERROR(INDEX('Danh mục thiết bị'!$D$6:$D$65,MATCH($E338,'Danh mục thiết bị'!$B$6:$B$65,0)),""))</f>
        <v/>
      </c>
      <c r="H338" s="15"/>
      <c r="I338" s="12"/>
      <c r="J338" s="19"/>
      <c r="K338" s="19"/>
      <c r="L338" s="20"/>
      <c r="M338" s="20"/>
      <c r="N338" s="20"/>
      <c r="O338" s="84" t="str">
        <f t="shared" si="2"/>
        <v/>
      </c>
      <c r="P338" s="15"/>
      <c r="Q338" s="11"/>
      <c r="R338" s="10" t="str">
        <f t="array" ref="R338">IF($E338="","",IF($B338="","Thiếu ngày thực hiện",IF(AND($D338&lt;&gt;"",IFERROR(INDEX('Kế hoạch định kỳ'!$C$6:$C$125,MATCH($D338,'Kế hoạch định kỳ'!$B$6:$B$125,0)),"")&lt;&gt;$E338),"Mã TB không khớp công việc",IF(AND(OR($C338="Bảo trì định kỳ",$C338="Hiệu chuẩn – kiểm định"),$D338=""),"Thiếu mã công việc kế hoạch",IF($Q338="","Thiếu kết quả","OK")))))</f>
        <v/>
      </c>
      <c r="S338" s="15"/>
    </row>
    <row r="339" ht="25.5" customHeight="1">
      <c r="A339" s="26" t="str">
        <f t="shared" si="1"/>
        <v/>
      </c>
      <c r="B339" s="32"/>
      <c r="C339" s="27"/>
      <c r="D339" s="27"/>
      <c r="E339" s="27"/>
      <c r="F339" s="28" t="str">
        <f t="array" ref="F339">IF($E339="","",IFERROR(INDEX('Danh mục thiết bị'!$C$6:$C$65,MATCH($E339,'Danh mục thiết bị'!$B$6:$B$65,0)),"Mã TB không tồn tại"))</f>
        <v/>
      </c>
      <c r="G339" s="28" t="str">
        <f t="array" ref="G339">IF($E339="","",IFERROR(INDEX('Danh mục thiết bị'!$D$6:$D$65,MATCH($E339,'Danh mục thiết bị'!$B$6:$B$65,0)),""))</f>
        <v/>
      </c>
      <c r="H339" s="29"/>
      <c r="I339" s="31"/>
      <c r="J339" s="34"/>
      <c r="K339" s="34"/>
      <c r="L339" s="35"/>
      <c r="M339" s="35"/>
      <c r="N339" s="35"/>
      <c r="O339" s="85" t="str">
        <f t="shared" si="2"/>
        <v/>
      </c>
      <c r="P339" s="29"/>
      <c r="Q339" s="27"/>
      <c r="R339" s="26" t="str">
        <f t="array" ref="R339">IF($E339="","",IF($B339="","Thiếu ngày thực hiện",IF(AND($D339&lt;&gt;"",IFERROR(INDEX('Kế hoạch định kỳ'!$C$6:$C$125,MATCH($D339,'Kế hoạch định kỳ'!$B$6:$B$125,0)),"")&lt;&gt;$E339),"Mã TB không khớp công việc",IF(AND(OR($C339="Bảo trì định kỳ",$C339="Hiệu chuẩn – kiểm định"),$D339=""),"Thiếu mã công việc kế hoạch",IF($Q339="","Thiếu kết quả","OK")))))</f>
        <v/>
      </c>
      <c r="S339" s="29"/>
    </row>
    <row r="340" ht="25.5" customHeight="1">
      <c r="A340" s="10" t="str">
        <f t="shared" si="1"/>
        <v/>
      </c>
      <c r="B340" s="13"/>
      <c r="C340" s="11"/>
      <c r="D340" s="11"/>
      <c r="E340" s="11"/>
      <c r="F340" s="14" t="str">
        <f t="array" ref="F340">IF($E340="","",IFERROR(INDEX('Danh mục thiết bị'!$C$6:$C$65,MATCH($E340,'Danh mục thiết bị'!$B$6:$B$65,0)),"Mã TB không tồn tại"))</f>
        <v/>
      </c>
      <c r="G340" s="14" t="str">
        <f t="array" ref="G340">IF($E340="","",IFERROR(INDEX('Danh mục thiết bị'!$D$6:$D$65,MATCH($E340,'Danh mục thiết bị'!$B$6:$B$65,0)),""))</f>
        <v/>
      </c>
      <c r="H340" s="15"/>
      <c r="I340" s="12"/>
      <c r="J340" s="19"/>
      <c r="K340" s="19"/>
      <c r="L340" s="20"/>
      <c r="M340" s="20"/>
      <c r="N340" s="20"/>
      <c r="O340" s="84" t="str">
        <f t="shared" si="2"/>
        <v/>
      </c>
      <c r="P340" s="15"/>
      <c r="Q340" s="11"/>
      <c r="R340" s="10" t="str">
        <f t="array" ref="R340">IF($E340="","",IF($B340="","Thiếu ngày thực hiện",IF(AND($D340&lt;&gt;"",IFERROR(INDEX('Kế hoạch định kỳ'!$C$6:$C$125,MATCH($D340,'Kế hoạch định kỳ'!$B$6:$B$125,0)),"")&lt;&gt;$E340),"Mã TB không khớp công việc",IF(AND(OR($C340="Bảo trì định kỳ",$C340="Hiệu chuẩn – kiểm định"),$D340=""),"Thiếu mã công việc kế hoạch",IF($Q340="","Thiếu kết quả","OK")))))</f>
        <v/>
      </c>
      <c r="S340" s="15"/>
    </row>
    <row r="341" ht="25.5" customHeight="1">
      <c r="A341" s="26" t="str">
        <f t="shared" si="1"/>
        <v/>
      </c>
      <c r="B341" s="32"/>
      <c r="C341" s="27"/>
      <c r="D341" s="27"/>
      <c r="E341" s="27"/>
      <c r="F341" s="28" t="str">
        <f t="array" ref="F341">IF($E341="","",IFERROR(INDEX('Danh mục thiết bị'!$C$6:$C$65,MATCH($E341,'Danh mục thiết bị'!$B$6:$B$65,0)),"Mã TB không tồn tại"))</f>
        <v/>
      </c>
      <c r="G341" s="28" t="str">
        <f t="array" ref="G341">IF($E341="","",IFERROR(INDEX('Danh mục thiết bị'!$D$6:$D$65,MATCH($E341,'Danh mục thiết bị'!$B$6:$B$65,0)),""))</f>
        <v/>
      </c>
      <c r="H341" s="29"/>
      <c r="I341" s="31"/>
      <c r="J341" s="34"/>
      <c r="K341" s="34"/>
      <c r="L341" s="35"/>
      <c r="M341" s="35"/>
      <c r="N341" s="35"/>
      <c r="O341" s="85" t="str">
        <f t="shared" si="2"/>
        <v/>
      </c>
      <c r="P341" s="29"/>
      <c r="Q341" s="27"/>
      <c r="R341" s="26" t="str">
        <f t="array" ref="R341">IF($E341="","",IF($B341="","Thiếu ngày thực hiện",IF(AND($D341&lt;&gt;"",IFERROR(INDEX('Kế hoạch định kỳ'!$C$6:$C$125,MATCH($D341,'Kế hoạch định kỳ'!$B$6:$B$125,0)),"")&lt;&gt;$E341),"Mã TB không khớp công việc",IF(AND(OR($C341="Bảo trì định kỳ",$C341="Hiệu chuẩn – kiểm định"),$D341=""),"Thiếu mã công việc kế hoạch",IF($Q341="","Thiếu kết quả","OK")))))</f>
        <v/>
      </c>
      <c r="S341" s="29"/>
    </row>
    <row r="342" ht="25.5" customHeight="1">
      <c r="A342" s="10" t="str">
        <f t="shared" si="1"/>
        <v/>
      </c>
      <c r="B342" s="13"/>
      <c r="C342" s="11"/>
      <c r="D342" s="11"/>
      <c r="E342" s="11"/>
      <c r="F342" s="14" t="str">
        <f t="array" ref="F342">IF($E342="","",IFERROR(INDEX('Danh mục thiết bị'!$C$6:$C$65,MATCH($E342,'Danh mục thiết bị'!$B$6:$B$65,0)),"Mã TB không tồn tại"))</f>
        <v/>
      </c>
      <c r="G342" s="14" t="str">
        <f t="array" ref="G342">IF($E342="","",IFERROR(INDEX('Danh mục thiết bị'!$D$6:$D$65,MATCH($E342,'Danh mục thiết bị'!$B$6:$B$65,0)),""))</f>
        <v/>
      </c>
      <c r="H342" s="15"/>
      <c r="I342" s="12"/>
      <c r="J342" s="19"/>
      <c r="K342" s="19"/>
      <c r="L342" s="20"/>
      <c r="M342" s="20"/>
      <c r="N342" s="20"/>
      <c r="O342" s="84" t="str">
        <f t="shared" si="2"/>
        <v/>
      </c>
      <c r="P342" s="15"/>
      <c r="Q342" s="11"/>
      <c r="R342" s="10" t="str">
        <f t="array" ref="R342">IF($E342="","",IF($B342="","Thiếu ngày thực hiện",IF(AND($D342&lt;&gt;"",IFERROR(INDEX('Kế hoạch định kỳ'!$C$6:$C$125,MATCH($D342,'Kế hoạch định kỳ'!$B$6:$B$125,0)),"")&lt;&gt;$E342),"Mã TB không khớp công việc",IF(AND(OR($C342="Bảo trì định kỳ",$C342="Hiệu chuẩn – kiểm định"),$D342=""),"Thiếu mã công việc kế hoạch",IF($Q342="","Thiếu kết quả","OK")))))</f>
        <v/>
      </c>
      <c r="S342" s="15"/>
    </row>
    <row r="343" ht="25.5" customHeight="1">
      <c r="A343" s="26" t="str">
        <f t="shared" si="1"/>
        <v/>
      </c>
      <c r="B343" s="32"/>
      <c r="C343" s="27"/>
      <c r="D343" s="27"/>
      <c r="E343" s="27"/>
      <c r="F343" s="28" t="str">
        <f t="array" ref="F343">IF($E343="","",IFERROR(INDEX('Danh mục thiết bị'!$C$6:$C$65,MATCH($E343,'Danh mục thiết bị'!$B$6:$B$65,0)),"Mã TB không tồn tại"))</f>
        <v/>
      </c>
      <c r="G343" s="28" t="str">
        <f t="array" ref="G343">IF($E343="","",IFERROR(INDEX('Danh mục thiết bị'!$D$6:$D$65,MATCH($E343,'Danh mục thiết bị'!$B$6:$B$65,0)),""))</f>
        <v/>
      </c>
      <c r="H343" s="29"/>
      <c r="I343" s="31"/>
      <c r="J343" s="34"/>
      <c r="K343" s="34"/>
      <c r="L343" s="35"/>
      <c r="M343" s="35"/>
      <c r="N343" s="35"/>
      <c r="O343" s="85" t="str">
        <f t="shared" si="2"/>
        <v/>
      </c>
      <c r="P343" s="29"/>
      <c r="Q343" s="27"/>
      <c r="R343" s="26" t="str">
        <f t="array" ref="R343">IF($E343="","",IF($B343="","Thiếu ngày thực hiện",IF(AND($D343&lt;&gt;"",IFERROR(INDEX('Kế hoạch định kỳ'!$C$6:$C$125,MATCH($D343,'Kế hoạch định kỳ'!$B$6:$B$125,0)),"")&lt;&gt;$E343),"Mã TB không khớp công việc",IF(AND(OR($C343="Bảo trì định kỳ",$C343="Hiệu chuẩn – kiểm định"),$D343=""),"Thiếu mã công việc kế hoạch",IF($Q343="","Thiếu kết quả","OK")))))</f>
        <v/>
      </c>
      <c r="S343" s="29"/>
    </row>
    <row r="344" ht="25.5" customHeight="1">
      <c r="A344" s="10" t="str">
        <f t="shared" si="1"/>
        <v/>
      </c>
      <c r="B344" s="13"/>
      <c r="C344" s="11"/>
      <c r="D344" s="11"/>
      <c r="E344" s="11"/>
      <c r="F344" s="14" t="str">
        <f t="array" ref="F344">IF($E344="","",IFERROR(INDEX('Danh mục thiết bị'!$C$6:$C$65,MATCH($E344,'Danh mục thiết bị'!$B$6:$B$65,0)),"Mã TB không tồn tại"))</f>
        <v/>
      </c>
      <c r="G344" s="14" t="str">
        <f t="array" ref="G344">IF($E344="","",IFERROR(INDEX('Danh mục thiết bị'!$D$6:$D$65,MATCH($E344,'Danh mục thiết bị'!$B$6:$B$65,0)),""))</f>
        <v/>
      </c>
      <c r="H344" s="15"/>
      <c r="I344" s="12"/>
      <c r="J344" s="19"/>
      <c r="K344" s="19"/>
      <c r="L344" s="20"/>
      <c r="M344" s="20"/>
      <c r="N344" s="20"/>
      <c r="O344" s="84" t="str">
        <f t="shared" si="2"/>
        <v/>
      </c>
      <c r="P344" s="15"/>
      <c r="Q344" s="11"/>
      <c r="R344" s="10" t="str">
        <f t="array" ref="R344">IF($E344="","",IF($B344="","Thiếu ngày thực hiện",IF(AND($D344&lt;&gt;"",IFERROR(INDEX('Kế hoạch định kỳ'!$C$6:$C$125,MATCH($D344,'Kế hoạch định kỳ'!$B$6:$B$125,0)),"")&lt;&gt;$E344),"Mã TB không khớp công việc",IF(AND(OR($C344="Bảo trì định kỳ",$C344="Hiệu chuẩn – kiểm định"),$D344=""),"Thiếu mã công việc kế hoạch",IF($Q344="","Thiếu kết quả","OK")))))</f>
        <v/>
      </c>
      <c r="S344" s="15"/>
    </row>
    <row r="345" ht="25.5" customHeight="1">
      <c r="A345" s="26" t="str">
        <f t="shared" si="1"/>
        <v/>
      </c>
      <c r="B345" s="32"/>
      <c r="C345" s="27"/>
      <c r="D345" s="27"/>
      <c r="E345" s="27"/>
      <c r="F345" s="28" t="str">
        <f t="array" ref="F345">IF($E345="","",IFERROR(INDEX('Danh mục thiết bị'!$C$6:$C$65,MATCH($E345,'Danh mục thiết bị'!$B$6:$B$65,0)),"Mã TB không tồn tại"))</f>
        <v/>
      </c>
      <c r="G345" s="28" t="str">
        <f t="array" ref="G345">IF($E345="","",IFERROR(INDEX('Danh mục thiết bị'!$D$6:$D$65,MATCH($E345,'Danh mục thiết bị'!$B$6:$B$65,0)),""))</f>
        <v/>
      </c>
      <c r="H345" s="29"/>
      <c r="I345" s="31"/>
      <c r="J345" s="34"/>
      <c r="K345" s="34"/>
      <c r="L345" s="35"/>
      <c r="M345" s="35"/>
      <c r="N345" s="35"/>
      <c r="O345" s="85" t="str">
        <f t="shared" si="2"/>
        <v/>
      </c>
      <c r="P345" s="29"/>
      <c r="Q345" s="27"/>
      <c r="R345" s="26" t="str">
        <f t="array" ref="R345">IF($E345="","",IF($B345="","Thiếu ngày thực hiện",IF(AND($D345&lt;&gt;"",IFERROR(INDEX('Kế hoạch định kỳ'!$C$6:$C$125,MATCH($D345,'Kế hoạch định kỳ'!$B$6:$B$125,0)),"")&lt;&gt;$E345),"Mã TB không khớp công việc",IF(AND(OR($C345="Bảo trì định kỳ",$C345="Hiệu chuẩn – kiểm định"),$D345=""),"Thiếu mã công việc kế hoạch",IF($Q345="","Thiếu kết quả","OK")))))</f>
        <v/>
      </c>
      <c r="S345" s="29"/>
    </row>
    <row r="346" ht="25.5" customHeight="1">
      <c r="A346" s="10" t="str">
        <f t="shared" si="1"/>
        <v/>
      </c>
      <c r="B346" s="13"/>
      <c r="C346" s="11"/>
      <c r="D346" s="11"/>
      <c r="E346" s="11"/>
      <c r="F346" s="14" t="str">
        <f t="array" ref="F346">IF($E346="","",IFERROR(INDEX('Danh mục thiết bị'!$C$6:$C$65,MATCH($E346,'Danh mục thiết bị'!$B$6:$B$65,0)),"Mã TB không tồn tại"))</f>
        <v/>
      </c>
      <c r="G346" s="14" t="str">
        <f t="array" ref="G346">IF($E346="","",IFERROR(INDEX('Danh mục thiết bị'!$D$6:$D$65,MATCH($E346,'Danh mục thiết bị'!$B$6:$B$65,0)),""))</f>
        <v/>
      </c>
      <c r="H346" s="15"/>
      <c r="I346" s="12"/>
      <c r="J346" s="19"/>
      <c r="K346" s="19"/>
      <c r="L346" s="20"/>
      <c r="M346" s="20"/>
      <c r="N346" s="20"/>
      <c r="O346" s="84" t="str">
        <f t="shared" si="2"/>
        <v/>
      </c>
      <c r="P346" s="15"/>
      <c r="Q346" s="11"/>
      <c r="R346" s="10" t="str">
        <f t="array" ref="R346">IF($E346="","",IF($B346="","Thiếu ngày thực hiện",IF(AND($D346&lt;&gt;"",IFERROR(INDEX('Kế hoạch định kỳ'!$C$6:$C$125,MATCH($D346,'Kế hoạch định kỳ'!$B$6:$B$125,0)),"")&lt;&gt;$E346),"Mã TB không khớp công việc",IF(AND(OR($C346="Bảo trì định kỳ",$C346="Hiệu chuẩn – kiểm định"),$D346=""),"Thiếu mã công việc kế hoạch",IF($Q346="","Thiếu kết quả","OK")))))</f>
        <v/>
      </c>
      <c r="S346" s="15"/>
    </row>
    <row r="347" ht="25.5" customHeight="1">
      <c r="A347" s="26" t="str">
        <f t="shared" si="1"/>
        <v/>
      </c>
      <c r="B347" s="32"/>
      <c r="C347" s="27"/>
      <c r="D347" s="27"/>
      <c r="E347" s="27"/>
      <c r="F347" s="28" t="str">
        <f t="array" ref="F347">IF($E347="","",IFERROR(INDEX('Danh mục thiết bị'!$C$6:$C$65,MATCH($E347,'Danh mục thiết bị'!$B$6:$B$65,0)),"Mã TB không tồn tại"))</f>
        <v/>
      </c>
      <c r="G347" s="28" t="str">
        <f t="array" ref="G347">IF($E347="","",IFERROR(INDEX('Danh mục thiết bị'!$D$6:$D$65,MATCH($E347,'Danh mục thiết bị'!$B$6:$B$65,0)),""))</f>
        <v/>
      </c>
      <c r="H347" s="29"/>
      <c r="I347" s="31"/>
      <c r="J347" s="34"/>
      <c r="K347" s="34"/>
      <c r="L347" s="35"/>
      <c r="M347" s="35"/>
      <c r="N347" s="35"/>
      <c r="O347" s="85" t="str">
        <f t="shared" si="2"/>
        <v/>
      </c>
      <c r="P347" s="29"/>
      <c r="Q347" s="27"/>
      <c r="R347" s="26" t="str">
        <f t="array" ref="R347">IF($E347="","",IF($B347="","Thiếu ngày thực hiện",IF(AND($D347&lt;&gt;"",IFERROR(INDEX('Kế hoạch định kỳ'!$C$6:$C$125,MATCH($D347,'Kế hoạch định kỳ'!$B$6:$B$125,0)),"")&lt;&gt;$E347),"Mã TB không khớp công việc",IF(AND(OR($C347="Bảo trì định kỳ",$C347="Hiệu chuẩn – kiểm định"),$D347=""),"Thiếu mã công việc kế hoạch",IF($Q347="","Thiếu kết quả","OK")))))</f>
        <v/>
      </c>
      <c r="S347" s="29"/>
    </row>
    <row r="348" ht="25.5" customHeight="1">
      <c r="A348" s="10" t="str">
        <f t="shared" si="1"/>
        <v/>
      </c>
      <c r="B348" s="13"/>
      <c r="C348" s="11"/>
      <c r="D348" s="11"/>
      <c r="E348" s="11"/>
      <c r="F348" s="14" t="str">
        <f t="array" ref="F348">IF($E348="","",IFERROR(INDEX('Danh mục thiết bị'!$C$6:$C$65,MATCH($E348,'Danh mục thiết bị'!$B$6:$B$65,0)),"Mã TB không tồn tại"))</f>
        <v/>
      </c>
      <c r="G348" s="14" t="str">
        <f t="array" ref="G348">IF($E348="","",IFERROR(INDEX('Danh mục thiết bị'!$D$6:$D$65,MATCH($E348,'Danh mục thiết bị'!$B$6:$B$65,0)),""))</f>
        <v/>
      </c>
      <c r="H348" s="15"/>
      <c r="I348" s="12"/>
      <c r="J348" s="19"/>
      <c r="K348" s="19"/>
      <c r="L348" s="20"/>
      <c r="M348" s="20"/>
      <c r="N348" s="20"/>
      <c r="O348" s="84" t="str">
        <f t="shared" si="2"/>
        <v/>
      </c>
      <c r="P348" s="15"/>
      <c r="Q348" s="11"/>
      <c r="R348" s="10" t="str">
        <f t="array" ref="R348">IF($E348="","",IF($B348="","Thiếu ngày thực hiện",IF(AND($D348&lt;&gt;"",IFERROR(INDEX('Kế hoạch định kỳ'!$C$6:$C$125,MATCH($D348,'Kế hoạch định kỳ'!$B$6:$B$125,0)),"")&lt;&gt;$E348),"Mã TB không khớp công việc",IF(AND(OR($C348="Bảo trì định kỳ",$C348="Hiệu chuẩn – kiểm định"),$D348=""),"Thiếu mã công việc kế hoạch",IF($Q348="","Thiếu kết quả","OK")))))</f>
        <v/>
      </c>
      <c r="S348" s="15"/>
    </row>
    <row r="349" ht="25.5" customHeight="1">
      <c r="A349" s="26" t="str">
        <f t="shared" si="1"/>
        <v/>
      </c>
      <c r="B349" s="32"/>
      <c r="C349" s="27"/>
      <c r="D349" s="27"/>
      <c r="E349" s="27"/>
      <c r="F349" s="28" t="str">
        <f t="array" ref="F349">IF($E349="","",IFERROR(INDEX('Danh mục thiết bị'!$C$6:$C$65,MATCH($E349,'Danh mục thiết bị'!$B$6:$B$65,0)),"Mã TB không tồn tại"))</f>
        <v/>
      </c>
      <c r="G349" s="28" t="str">
        <f t="array" ref="G349">IF($E349="","",IFERROR(INDEX('Danh mục thiết bị'!$D$6:$D$65,MATCH($E349,'Danh mục thiết bị'!$B$6:$B$65,0)),""))</f>
        <v/>
      </c>
      <c r="H349" s="29"/>
      <c r="I349" s="31"/>
      <c r="J349" s="34"/>
      <c r="K349" s="34"/>
      <c r="L349" s="35"/>
      <c r="M349" s="35"/>
      <c r="N349" s="35"/>
      <c r="O349" s="85" t="str">
        <f t="shared" si="2"/>
        <v/>
      </c>
      <c r="P349" s="29"/>
      <c r="Q349" s="27"/>
      <c r="R349" s="26" t="str">
        <f t="array" ref="R349">IF($E349="","",IF($B349="","Thiếu ngày thực hiện",IF(AND($D349&lt;&gt;"",IFERROR(INDEX('Kế hoạch định kỳ'!$C$6:$C$125,MATCH($D349,'Kế hoạch định kỳ'!$B$6:$B$125,0)),"")&lt;&gt;$E349),"Mã TB không khớp công việc",IF(AND(OR($C349="Bảo trì định kỳ",$C349="Hiệu chuẩn – kiểm định"),$D349=""),"Thiếu mã công việc kế hoạch",IF($Q349="","Thiếu kết quả","OK")))))</f>
        <v/>
      </c>
      <c r="S349" s="29"/>
    </row>
    <row r="350" ht="25.5" customHeight="1">
      <c r="A350" s="10" t="str">
        <f t="shared" si="1"/>
        <v/>
      </c>
      <c r="B350" s="13"/>
      <c r="C350" s="11"/>
      <c r="D350" s="11"/>
      <c r="E350" s="11"/>
      <c r="F350" s="14" t="str">
        <f t="array" ref="F350">IF($E350="","",IFERROR(INDEX('Danh mục thiết bị'!$C$6:$C$65,MATCH($E350,'Danh mục thiết bị'!$B$6:$B$65,0)),"Mã TB không tồn tại"))</f>
        <v/>
      </c>
      <c r="G350" s="14" t="str">
        <f t="array" ref="G350">IF($E350="","",IFERROR(INDEX('Danh mục thiết bị'!$D$6:$D$65,MATCH($E350,'Danh mục thiết bị'!$B$6:$B$65,0)),""))</f>
        <v/>
      </c>
      <c r="H350" s="15"/>
      <c r="I350" s="12"/>
      <c r="J350" s="19"/>
      <c r="K350" s="19"/>
      <c r="L350" s="20"/>
      <c r="M350" s="20"/>
      <c r="N350" s="20"/>
      <c r="O350" s="84" t="str">
        <f t="shared" si="2"/>
        <v/>
      </c>
      <c r="P350" s="15"/>
      <c r="Q350" s="11"/>
      <c r="R350" s="10" t="str">
        <f t="array" ref="R350">IF($E350="","",IF($B350="","Thiếu ngày thực hiện",IF(AND($D350&lt;&gt;"",IFERROR(INDEX('Kế hoạch định kỳ'!$C$6:$C$125,MATCH($D350,'Kế hoạch định kỳ'!$B$6:$B$125,0)),"")&lt;&gt;$E350),"Mã TB không khớp công việc",IF(AND(OR($C350="Bảo trì định kỳ",$C350="Hiệu chuẩn – kiểm định"),$D350=""),"Thiếu mã công việc kế hoạch",IF($Q350="","Thiếu kết quả","OK")))))</f>
        <v/>
      </c>
      <c r="S350" s="15"/>
    </row>
    <row r="351" ht="25.5" customHeight="1">
      <c r="A351" s="26" t="str">
        <f t="shared" si="1"/>
        <v/>
      </c>
      <c r="B351" s="32"/>
      <c r="C351" s="27"/>
      <c r="D351" s="27"/>
      <c r="E351" s="27"/>
      <c r="F351" s="28" t="str">
        <f t="array" ref="F351">IF($E351="","",IFERROR(INDEX('Danh mục thiết bị'!$C$6:$C$65,MATCH($E351,'Danh mục thiết bị'!$B$6:$B$65,0)),"Mã TB không tồn tại"))</f>
        <v/>
      </c>
      <c r="G351" s="28" t="str">
        <f t="array" ref="G351">IF($E351="","",IFERROR(INDEX('Danh mục thiết bị'!$D$6:$D$65,MATCH($E351,'Danh mục thiết bị'!$B$6:$B$65,0)),""))</f>
        <v/>
      </c>
      <c r="H351" s="29"/>
      <c r="I351" s="31"/>
      <c r="J351" s="34"/>
      <c r="K351" s="34"/>
      <c r="L351" s="35"/>
      <c r="M351" s="35"/>
      <c r="N351" s="35"/>
      <c r="O351" s="85" t="str">
        <f t="shared" si="2"/>
        <v/>
      </c>
      <c r="P351" s="29"/>
      <c r="Q351" s="27"/>
      <c r="R351" s="26" t="str">
        <f t="array" ref="R351">IF($E351="","",IF($B351="","Thiếu ngày thực hiện",IF(AND($D351&lt;&gt;"",IFERROR(INDEX('Kế hoạch định kỳ'!$C$6:$C$125,MATCH($D351,'Kế hoạch định kỳ'!$B$6:$B$125,0)),"")&lt;&gt;$E351),"Mã TB không khớp công việc",IF(AND(OR($C351="Bảo trì định kỳ",$C351="Hiệu chuẩn – kiểm định"),$D351=""),"Thiếu mã công việc kế hoạch",IF($Q351="","Thiếu kết quả","OK")))))</f>
        <v/>
      </c>
      <c r="S351" s="29"/>
    </row>
    <row r="352" ht="25.5" customHeight="1">
      <c r="A352" s="10" t="str">
        <f t="shared" si="1"/>
        <v/>
      </c>
      <c r="B352" s="13"/>
      <c r="C352" s="11"/>
      <c r="D352" s="11"/>
      <c r="E352" s="11"/>
      <c r="F352" s="14" t="str">
        <f t="array" ref="F352">IF($E352="","",IFERROR(INDEX('Danh mục thiết bị'!$C$6:$C$65,MATCH($E352,'Danh mục thiết bị'!$B$6:$B$65,0)),"Mã TB không tồn tại"))</f>
        <v/>
      </c>
      <c r="G352" s="14" t="str">
        <f t="array" ref="G352">IF($E352="","",IFERROR(INDEX('Danh mục thiết bị'!$D$6:$D$65,MATCH($E352,'Danh mục thiết bị'!$B$6:$B$65,0)),""))</f>
        <v/>
      </c>
      <c r="H352" s="15"/>
      <c r="I352" s="12"/>
      <c r="J352" s="19"/>
      <c r="K352" s="19"/>
      <c r="L352" s="20"/>
      <c r="M352" s="20"/>
      <c r="N352" s="20"/>
      <c r="O352" s="84" t="str">
        <f t="shared" si="2"/>
        <v/>
      </c>
      <c r="P352" s="15"/>
      <c r="Q352" s="11"/>
      <c r="R352" s="10" t="str">
        <f t="array" ref="R352">IF($E352="","",IF($B352="","Thiếu ngày thực hiện",IF(AND($D352&lt;&gt;"",IFERROR(INDEX('Kế hoạch định kỳ'!$C$6:$C$125,MATCH($D352,'Kế hoạch định kỳ'!$B$6:$B$125,0)),"")&lt;&gt;$E352),"Mã TB không khớp công việc",IF(AND(OR($C352="Bảo trì định kỳ",$C352="Hiệu chuẩn – kiểm định"),$D352=""),"Thiếu mã công việc kế hoạch",IF($Q352="","Thiếu kết quả","OK")))))</f>
        <v/>
      </c>
      <c r="S352" s="15"/>
    </row>
    <row r="353" ht="25.5" customHeight="1">
      <c r="A353" s="26" t="str">
        <f t="shared" si="1"/>
        <v/>
      </c>
      <c r="B353" s="32"/>
      <c r="C353" s="27"/>
      <c r="D353" s="27"/>
      <c r="E353" s="27"/>
      <c r="F353" s="28" t="str">
        <f t="array" ref="F353">IF($E353="","",IFERROR(INDEX('Danh mục thiết bị'!$C$6:$C$65,MATCH($E353,'Danh mục thiết bị'!$B$6:$B$65,0)),"Mã TB không tồn tại"))</f>
        <v/>
      </c>
      <c r="G353" s="28" t="str">
        <f t="array" ref="G353">IF($E353="","",IFERROR(INDEX('Danh mục thiết bị'!$D$6:$D$65,MATCH($E353,'Danh mục thiết bị'!$B$6:$B$65,0)),""))</f>
        <v/>
      </c>
      <c r="H353" s="29"/>
      <c r="I353" s="31"/>
      <c r="J353" s="34"/>
      <c r="K353" s="34"/>
      <c r="L353" s="35"/>
      <c r="M353" s="35"/>
      <c r="N353" s="35"/>
      <c r="O353" s="85" t="str">
        <f t="shared" si="2"/>
        <v/>
      </c>
      <c r="P353" s="29"/>
      <c r="Q353" s="27"/>
      <c r="R353" s="26" t="str">
        <f t="array" ref="R353">IF($E353="","",IF($B353="","Thiếu ngày thực hiện",IF(AND($D353&lt;&gt;"",IFERROR(INDEX('Kế hoạch định kỳ'!$C$6:$C$125,MATCH($D353,'Kế hoạch định kỳ'!$B$6:$B$125,0)),"")&lt;&gt;$E353),"Mã TB không khớp công việc",IF(AND(OR($C353="Bảo trì định kỳ",$C353="Hiệu chuẩn – kiểm định"),$D353=""),"Thiếu mã công việc kế hoạch",IF($Q353="","Thiếu kết quả","OK")))))</f>
        <v/>
      </c>
      <c r="S353" s="29"/>
    </row>
    <row r="354" ht="25.5" customHeight="1">
      <c r="A354" s="10" t="str">
        <f t="shared" si="1"/>
        <v/>
      </c>
      <c r="B354" s="13"/>
      <c r="C354" s="11"/>
      <c r="D354" s="11"/>
      <c r="E354" s="11"/>
      <c r="F354" s="14" t="str">
        <f t="array" ref="F354">IF($E354="","",IFERROR(INDEX('Danh mục thiết bị'!$C$6:$C$65,MATCH($E354,'Danh mục thiết bị'!$B$6:$B$65,0)),"Mã TB không tồn tại"))</f>
        <v/>
      </c>
      <c r="G354" s="14" t="str">
        <f t="array" ref="G354">IF($E354="","",IFERROR(INDEX('Danh mục thiết bị'!$D$6:$D$65,MATCH($E354,'Danh mục thiết bị'!$B$6:$B$65,0)),""))</f>
        <v/>
      </c>
      <c r="H354" s="15"/>
      <c r="I354" s="12"/>
      <c r="J354" s="19"/>
      <c r="K354" s="19"/>
      <c r="L354" s="20"/>
      <c r="M354" s="20"/>
      <c r="N354" s="20"/>
      <c r="O354" s="84" t="str">
        <f t="shared" si="2"/>
        <v/>
      </c>
      <c r="P354" s="15"/>
      <c r="Q354" s="11"/>
      <c r="R354" s="10" t="str">
        <f t="array" ref="R354">IF($E354="","",IF($B354="","Thiếu ngày thực hiện",IF(AND($D354&lt;&gt;"",IFERROR(INDEX('Kế hoạch định kỳ'!$C$6:$C$125,MATCH($D354,'Kế hoạch định kỳ'!$B$6:$B$125,0)),"")&lt;&gt;$E354),"Mã TB không khớp công việc",IF(AND(OR($C354="Bảo trì định kỳ",$C354="Hiệu chuẩn – kiểm định"),$D354=""),"Thiếu mã công việc kế hoạch",IF($Q354="","Thiếu kết quả","OK")))))</f>
        <v/>
      </c>
      <c r="S354" s="15"/>
    </row>
    <row r="355" ht="25.5" customHeight="1">
      <c r="A355" s="26" t="str">
        <f t="shared" si="1"/>
        <v/>
      </c>
      <c r="B355" s="32"/>
      <c r="C355" s="27"/>
      <c r="D355" s="27"/>
      <c r="E355" s="27"/>
      <c r="F355" s="28" t="str">
        <f t="array" ref="F355">IF($E355="","",IFERROR(INDEX('Danh mục thiết bị'!$C$6:$C$65,MATCH($E355,'Danh mục thiết bị'!$B$6:$B$65,0)),"Mã TB không tồn tại"))</f>
        <v/>
      </c>
      <c r="G355" s="28" t="str">
        <f t="array" ref="G355">IF($E355="","",IFERROR(INDEX('Danh mục thiết bị'!$D$6:$D$65,MATCH($E355,'Danh mục thiết bị'!$B$6:$B$65,0)),""))</f>
        <v/>
      </c>
      <c r="H355" s="29"/>
      <c r="I355" s="31"/>
      <c r="J355" s="34"/>
      <c r="K355" s="34"/>
      <c r="L355" s="35"/>
      <c r="M355" s="35"/>
      <c r="N355" s="35"/>
      <c r="O355" s="85" t="str">
        <f t="shared" si="2"/>
        <v/>
      </c>
      <c r="P355" s="29"/>
      <c r="Q355" s="27"/>
      <c r="R355" s="26" t="str">
        <f t="array" ref="R355">IF($E355="","",IF($B355="","Thiếu ngày thực hiện",IF(AND($D355&lt;&gt;"",IFERROR(INDEX('Kế hoạch định kỳ'!$C$6:$C$125,MATCH($D355,'Kế hoạch định kỳ'!$B$6:$B$125,0)),"")&lt;&gt;$E355),"Mã TB không khớp công việc",IF(AND(OR($C355="Bảo trì định kỳ",$C355="Hiệu chuẩn – kiểm định"),$D355=""),"Thiếu mã công việc kế hoạch",IF($Q355="","Thiếu kết quả","OK")))))</f>
        <v/>
      </c>
      <c r="S355" s="29"/>
    </row>
    <row r="356" ht="25.5" customHeight="1">
      <c r="A356" s="10" t="str">
        <f t="shared" si="1"/>
        <v/>
      </c>
      <c r="B356" s="13"/>
      <c r="C356" s="11"/>
      <c r="D356" s="11"/>
      <c r="E356" s="11"/>
      <c r="F356" s="14" t="str">
        <f t="array" ref="F356">IF($E356="","",IFERROR(INDEX('Danh mục thiết bị'!$C$6:$C$65,MATCH($E356,'Danh mục thiết bị'!$B$6:$B$65,0)),"Mã TB không tồn tại"))</f>
        <v/>
      </c>
      <c r="G356" s="14" t="str">
        <f t="array" ref="G356">IF($E356="","",IFERROR(INDEX('Danh mục thiết bị'!$D$6:$D$65,MATCH($E356,'Danh mục thiết bị'!$B$6:$B$65,0)),""))</f>
        <v/>
      </c>
      <c r="H356" s="15"/>
      <c r="I356" s="12"/>
      <c r="J356" s="19"/>
      <c r="K356" s="19"/>
      <c r="L356" s="20"/>
      <c r="M356" s="20"/>
      <c r="N356" s="20"/>
      <c r="O356" s="84" t="str">
        <f t="shared" si="2"/>
        <v/>
      </c>
      <c r="P356" s="15"/>
      <c r="Q356" s="11"/>
      <c r="R356" s="10" t="str">
        <f t="array" ref="R356">IF($E356="","",IF($B356="","Thiếu ngày thực hiện",IF(AND($D356&lt;&gt;"",IFERROR(INDEX('Kế hoạch định kỳ'!$C$6:$C$125,MATCH($D356,'Kế hoạch định kỳ'!$B$6:$B$125,0)),"")&lt;&gt;$E356),"Mã TB không khớp công việc",IF(AND(OR($C356="Bảo trì định kỳ",$C356="Hiệu chuẩn – kiểm định"),$D356=""),"Thiếu mã công việc kế hoạch",IF($Q356="","Thiếu kết quả","OK")))))</f>
        <v/>
      </c>
      <c r="S356" s="15"/>
    </row>
    <row r="357" ht="25.5" customHeight="1">
      <c r="A357" s="26" t="str">
        <f t="shared" si="1"/>
        <v/>
      </c>
      <c r="B357" s="32"/>
      <c r="C357" s="27"/>
      <c r="D357" s="27"/>
      <c r="E357" s="27"/>
      <c r="F357" s="28" t="str">
        <f t="array" ref="F357">IF($E357="","",IFERROR(INDEX('Danh mục thiết bị'!$C$6:$C$65,MATCH($E357,'Danh mục thiết bị'!$B$6:$B$65,0)),"Mã TB không tồn tại"))</f>
        <v/>
      </c>
      <c r="G357" s="28" t="str">
        <f t="array" ref="G357">IF($E357="","",IFERROR(INDEX('Danh mục thiết bị'!$D$6:$D$65,MATCH($E357,'Danh mục thiết bị'!$B$6:$B$65,0)),""))</f>
        <v/>
      </c>
      <c r="H357" s="29"/>
      <c r="I357" s="31"/>
      <c r="J357" s="34"/>
      <c r="K357" s="34"/>
      <c r="L357" s="35"/>
      <c r="M357" s="35"/>
      <c r="N357" s="35"/>
      <c r="O357" s="85" t="str">
        <f t="shared" si="2"/>
        <v/>
      </c>
      <c r="P357" s="29"/>
      <c r="Q357" s="27"/>
      <c r="R357" s="26" t="str">
        <f t="array" ref="R357">IF($E357="","",IF($B357="","Thiếu ngày thực hiện",IF(AND($D357&lt;&gt;"",IFERROR(INDEX('Kế hoạch định kỳ'!$C$6:$C$125,MATCH($D357,'Kế hoạch định kỳ'!$B$6:$B$125,0)),"")&lt;&gt;$E357),"Mã TB không khớp công việc",IF(AND(OR($C357="Bảo trì định kỳ",$C357="Hiệu chuẩn – kiểm định"),$D357=""),"Thiếu mã công việc kế hoạch",IF($Q357="","Thiếu kết quả","OK")))))</f>
        <v/>
      </c>
      <c r="S357" s="29"/>
    </row>
    <row r="358" ht="25.5" customHeight="1">
      <c r="A358" s="10" t="str">
        <f t="shared" si="1"/>
        <v/>
      </c>
      <c r="B358" s="13"/>
      <c r="C358" s="11"/>
      <c r="D358" s="11"/>
      <c r="E358" s="11"/>
      <c r="F358" s="14" t="str">
        <f t="array" ref="F358">IF($E358="","",IFERROR(INDEX('Danh mục thiết bị'!$C$6:$C$65,MATCH($E358,'Danh mục thiết bị'!$B$6:$B$65,0)),"Mã TB không tồn tại"))</f>
        <v/>
      </c>
      <c r="G358" s="14" t="str">
        <f t="array" ref="G358">IF($E358="","",IFERROR(INDEX('Danh mục thiết bị'!$D$6:$D$65,MATCH($E358,'Danh mục thiết bị'!$B$6:$B$65,0)),""))</f>
        <v/>
      </c>
      <c r="H358" s="15"/>
      <c r="I358" s="12"/>
      <c r="J358" s="19"/>
      <c r="K358" s="19"/>
      <c r="L358" s="20"/>
      <c r="M358" s="20"/>
      <c r="N358" s="20"/>
      <c r="O358" s="84" t="str">
        <f t="shared" si="2"/>
        <v/>
      </c>
      <c r="P358" s="15"/>
      <c r="Q358" s="11"/>
      <c r="R358" s="10" t="str">
        <f t="array" ref="R358">IF($E358="","",IF($B358="","Thiếu ngày thực hiện",IF(AND($D358&lt;&gt;"",IFERROR(INDEX('Kế hoạch định kỳ'!$C$6:$C$125,MATCH($D358,'Kế hoạch định kỳ'!$B$6:$B$125,0)),"")&lt;&gt;$E358),"Mã TB không khớp công việc",IF(AND(OR($C358="Bảo trì định kỳ",$C358="Hiệu chuẩn – kiểm định"),$D358=""),"Thiếu mã công việc kế hoạch",IF($Q358="","Thiếu kết quả","OK")))))</f>
        <v/>
      </c>
      <c r="S358" s="15"/>
    </row>
    <row r="359" ht="25.5" customHeight="1">
      <c r="A359" s="26" t="str">
        <f t="shared" si="1"/>
        <v/>
      </c>
      <c r="B359" s="32"/>
      <c r="C359" s="27"/>
      <c r="D359" s="27"/>
      <c r="E359" s="27"/>
      <c r="F359" s="28" t="str">
        <f t="array" ref="F359">IF($E359="","",IFERROR(INDEX('Danh mục thiết bị'!$C$6:$C$65,MATCH($E359,'Danh mục thiết bị'!$B$6:$B$65,0)),"Mã TB không tồn tại"))</f>
        <v/>
      </c>
      <c r="G359" s="28" t="str">
        <f t="array" ref="G359">IF($E359="","",IFERROR(INDEX('Danh mục thiết bị'!$D$6:$D$65,MATCH($E359,'Danh mục thiết bị'!$B$6:$B$65,0)),""))</f>
        <v/>
      </c>
      <c r="H359" s="29"/>
      <c r="I359" s="31"/>
      <c r="J359" s="34"/>
      <c r="K359" s="34"/>
      <c r="L359" s="35"/>
      <c r="M359" s="35"/>
      <c r="N359" s="35"/>
      <c r="O359" s="85" t="str">
        <f t="shared" si="2"/>
        <v/>
      </c>
      <c r="P359" s="29"/>
      <c r="Q359" s="27"/>
      <c r="R359" s="26" t="str">
        <f t="array" ref="R359">IF($E359="","",IF($B359="","Thiếu ngày thực hiện",IF(AND($D359&lt;&gt;"",IFERROR(INDEX('Kế hoạch định kỳ'!$C$6:$C$125,MATCH($D359,'Kế hoạch định kỳ'!$B$6:$B$125,0)),"")&lt;&gt;$E359),"Mã TB không khớp công việc",IF(AND(OR($C359="Bảo trì định kỳ",$C359="Hiệu chuẩn – kiểm định"),$D359=""),"Thiếu mã công việc kế hoạch",IF($Q359="","Thiếu kết quả","OK")))))</f>
        <v/>
      </c>
      <c r="S359" s="29"/>
    </row>
    <row r="360" ht="25.5" customHeight="1">
      <c r="A360" s="10" t="str">
        <f t="shared" si="1"/>
        <v/>
      </c>
      <c r="B360" s="13"/>
      <c r="C360" s="11"/>
      <c r="D360" s="11"/>
      <c r="E360" s="11"/>
      <c r="F360" s="14" t="str">
        <f t="array" ref="F360">IF($E360="","",IFERROR(INDEX('Danh mục thiết bị'!$C$6:$C$65,MATCH($E360,'Danh mục thiết bị'!$B$6:$B$65,0)),"Mã TB không tồn tại"))</f>
        <v/>
      </c>
      <c r="G360" s="14" t="str">
        <f t="array" ref="G360">IF($E360="","",IFERROR(INDEX('Danh mục thiết bị'!$D$6:$D$65,MATCH($E360,'Danh mục thiết bị'!$B$6:$B$65,0)),""))</f>
        <v/>
      </c>
      <c r="H360" s="15"/>
      <c r="I360" s="12"/>
      <c r="J360" s="19"/>
      <c r="K360" s="19"/>
      <c r="L360" s="20"/>
      <c r="M360" s="20"/>
      <c r="N360" s="20"/>
      <c r="O360" s="84" t="str">
        <f t="shared" si="2"/>
        <v/>
      </c>
      <c r="P360" s="15"/>
      <c r="Q360" s="11"/>
      <c r="R360" s="10" t="str">
        <f t="array" ref="R360">IF($E360="","",IF($B360="","Thiếu ngày thực hiện",IF(AND($D360&lt;&gt;"",IFERROR(INDEX('Kế hoạch định kỳ'!$C$6:$C$125,MATCH($D360,'Kế hoạch định kỳ'!$B$6:$B$125,0)),"")&lt;&gt;$E360),"Mã TB không khớp công việc",IF(AND(OR($C360="Bảo trì định kỳ",$C360="Hiệu chuẩn – kiểm định"),$D360=""),"Thiếu mã công việc kế hoạch",IF($Q360="","Thiếu kết quả","OK")))))</f>
        <v/>
      </c>
      <c r="S360" s="15"/>
    </row>
    <row r="361" ht="25.5" customHeight="1">
      <c r="A361" s="26" t="str">
        <f t="shared" si="1"/>
        <v/>
      </c>
      <c r="B361" s="32"/>
      <c r="C361" s="27"/>
      <c r="D361" s="27"/>
      <c r="E361" s="27"/>
      <c r="F361" s="28" t="str">
        <f t="array" ref="F361">IF($E361="","",IFERROR(INDEX('Danh mục thiết bị'!$C$6:$C$65,MATCH($E361,'Danh mục thiết bị'!$B$6:$B$65,0)),"Mã TB không tồn tại"))</f>
        <v/>
      </c>
      <c r="G361" s="28" t="str">
        <f t="array" ref="G361">IF($E361="","",IFERROR(INDEX('Danh mục thiết bị'!$D$6:$D$65,MATCH($E361,'Danh mục thiết bị'!$B$6:$B$65,0)),""))</f>
        <v/>
      </c>
      <c r="H361" s="29"/>
      <c r="I361" s="31"/>
      <c r="J361" s="34"/>
      <c r="K361" s="34"/>
      <c r="L361" s="35"/>
      <c r="M361" s="35"/>
      <c r="N361" s="35"/>
      <c r="O361" s="85" t="str">
        <f t="shared" si="2"/>
        <v/>
      </c>
      <c r="P361" s="29"/>
      <c r="Q361" s="27"/>
      <c r="R361" s="26" t="str">
        <f t="array" ref="R361">IF($E361="","",IF($B361="","Thiếu ngày thực hiện",IF(AND($D361&lt;&gt;"",IFERROR(INDEX('Kế hoạch định kỳ'!$C$6:$C$125,MATCH($D361,'Kế hoạch định kỳ'!$B$6:$B$125,0)),"")&lt;&gt;$E361),"Mã TB không khớp công việc",IF(AND(OR($C361="Bảo trì định kỳ",$C361="Hiệu chuẩn – kiểm định"),$D361=""),"Thiếu mã công việc kế hoạch",IF($Q361="","Thiếu kết quả","OK")))))</f>
        <v/>
      </c>
      <c r="S361" s="29"/>
    </row>
    <row r="362" ht="25.5" customHeight="1">
      <c r="A362" s="10" t="str">
        <f t="shared" si="1"/>
        <v/>
      </c>
      <c r="B362" s="13"/>
      <c r="C362" s="11"/>
      <c r="D362" s="11"/>
      <c r="E362" s="11"/>
      <c r="F362" s="14" t="str">
        <f t="array" ref="F362">IF($E362="","",IFERROR(INDEX('Danh mục thiết bị'!$C$6:$C$65,MATCH($E362,'Danh mục thiết bị'!$B$6:$B$65,0)),"Mã TB không tồn tại"))</f>
        <v/>
      </c>
      <c r="G362" s="14" t="str">
        <f t="array" ref="G362">IF($E362="","",IFERROR(INDEX('Danh mục thiết bị'!$D$6:$D$65,MATCH($E362,'Danh mục thiết bị'!$B$6:$B$65,0)),""))</f>
        <v/>
      </c>
      <c r="H362" s="15"/>
      <c r="I362" s="12"/>
      <c r="J362" s="19"/>
      <c r="K362" s="19"/>
      <c r="L362" s="20"/>
      <c r="M362" s="20"/>
      <c r="N362" s="20"/>
      <c r="O362" s="84" t="str">
        <f t="shared" si="2"/>
        <v/>
      </c>
      <c r="P362" s="15"/>
      <c r="Q362" s="11"/>
      <c r="R362" s="10" t="str">
        <f t="array" ref="R362">IF($E362="","",IF($B362="","Thiếu ngày thực hiện",IF(AND($D362&lt;&gt;"",IFERROR(INDEX('Kế hoạch định kỳ'!$C$6:$C$125,MATCH($D362,'Kế hoạch định kỳ'!$B$6:$B$125,0)),"")&lt;&gt;$E362),"Mã TB không khớp công việc",IF(AND(OR($C362="Bảo trì định kỳ",$C362="Hiệu chuẩn – kiểm định"),$D362=""),"Thiếu mã công việc kế hoạch",IF($Q362="","Thiếu kết quả","OK")))))</f>
        <v/>
      </c>
      <c r="S362" s="15"/>
    </row>
    <row r="363" ht="25.5" customHeight="1">
      <c r="A363" s="26" t="str">
        <f t="shared" si="1"/>
        <v/>
      </c>
      <c r="B363" s="32"/>
      <c r="C363" s="27"/>
      <c r="D363" s="27"/>
      <c r="E363" s="27"/>
      <c r="F363" s="28" t="str">
        <f t="array" ref="F363">IF($E363="","",IFERROR(INDEX('Danh mục thiết bị'!$C$6:$C$65,MATCH($E363,'Danh mục thiết bị'!$B$6:$B$65,0)),"Mã TB không tồn tại"))</f>
        <v/>
      </c>
      <c r="G363" s="28" t="str">
        <f t="array" ref="G363">IF($E363="","",IFERROR(INDEX('Danh mục thiết bị'!$D$6:$D$65,MATCH($E363,'Danh mục thiết bị'!$B$6:$B$65,0)),""))</f>
        <v/>
      </c>
      <c r="H363" s="29"/>
      <c r="I363" s="31"/>
      <c r="J363" s="34"/>
      <c r="K363" s="34"/>
      <c r="L363" s="35"/>
      <c r="M363" s="35"/>
      <c r="N363" s="35"/>
      <c r="O363" s="85" t="str">
        <f t="shared" si="2"/>
        <v/>
      </c>
      <c r="P363" s="29"/>
      <c r="Q363" s="27"/>
      <c r="R363" s="26" t="str">
        <f t="array" ref="R363">IF($E363="","",IF($B363="","Thiếu ngày thực hiện",IF(AND($D363&lt;&gt;"",IFERROR(INDEX('Kế hoạch định kỳ'!$C$6:$C$125,MATCH($D363,'Kế hoạch định kỳ'!$B$6:$B$125,0)),"")&lt;&gt;$E363),"Mã TB không khớp công việc",IF(AND(OR($C363="Bảo trì định kỳ",$C363="Hiệu chuẩn – kiểm định"),$D363=""),"Thiếu mã công việc kế hoạch",IF($Q363="","Thiếu kết quả","OK")))))</f>
        <v/>
      </c>
      <c r="S363" s="29"/>
    </row>
    <row r="364" ht="25.5" customHeight="1">
      <c r="A364" s="10" t="str">
        <f t="shared" si="1"/>
        <v/>
      </c>
      <c r="B364" s="13"/>
      <c r="C364" s="11"/>
      <c r="D364" s="11"/>
      <c r="E364" s="11"/>
      <c r="F364" s="14" t="str">
        <f t="array" ref="F364">IF($E364="","",IFERROR(INDEX('Danh mục thiết bị'!$C$6:$C$65,MATCH($E364,'Danh mục thiết bị'!$B$6:$B$65,0)),"Mã TB không tồn tại"))</f>
        <v/>
      </c>
      <c r="G364" s="14" t="str">
        <f t="array" ref="G364">IF($E364="","",IFERROR(INDEX('Danh mục thiết bị'!$D$6:$D$65,MATCH($E364,'Danh mục thiết bị'!$B$6:$B$65,0)),""))</f>
        <v/>
      </c>
      <c r="H364" s="15"/>
      <c r="I364" s="12"/>
      <c r="J364" s="19"/>
      <c r="K364" s="19"/>
      <c r="L364" s="20"/>
      <c r="M364" s="20"/>
      <c r="N364" s="20"/>
      <c r="O364" s="84" t="str">
        <f t="shared" si="2"/>
        <v/>
      </c>
      <c r="P364" s="15"/>
      <c r="Q364" s="11"/>
      <c r="R364" s="10" t="str">
        <f t="array" ref="R364">IF($E364="","",IF($B364="","Thiếu ngày thực hiện",IF(AND($D364&lt;&gt;"",IFERROR(INDEX('Kế hoạch định kỳ'!$C$6:$C$125,MATCH($D364,'Kế hoạch định kỳ'!$B$6:$B$125,0)),"")&lt;&gt;$E364),"Mã TB không khớp công việc",IF(AND(OR($C364="Bảo trì định kỳ",$C364="Hiệu chuẩn – kiểm định"),$D364=""),"Thiếu mã công việc kế hoạch",IF($Q364="","Thiếu kết quả","OK")))))</f>
        <v/>
      </c>
      <c r="S364" s="15"/>
    </row>
    <row r="365" ht="25.5" customHeight="1">
      <c r="A365" s="26" t="str">
        <f t="shared" si="1"/>
        <v/>
      </c>
      <c r="B365" s="32"/>
      <c r="C365" s="27"/>
      <c r="D365" s="27"/>
      <c r="E365" s="27"/>
      <c r="F365" s="28" t="str">
        <f t="array" ref="F365">IF($E365="","",IFERROR(INDEX('Danh mục thiết bị'!$C$6:$C$65,MATCH($E365,'Danh mục thiết bị'!$B$6:$B$65,0)),"Mã TB không tồn tại"))</f>
        <v/>
      </c>
      <c r="G365" s="28" t="str">
        <f t="array" ref="G365">IF($E365="","",IFERROR(INDEX('Danh mục thiết bị'!$D$6:$D$65,MATCH($E365,'Danh mục thiết bị'!$B$6:$B$65,0)),""))</f>
        <v/>
      </c>
      <c r="H365" s="29"/>
      <c r="I365" s="31"/>
      <c r="J365" s="34"/>
      <c r="K365" s="34"/>
      <c r="L365" s="35"/>
      <c r="M365" s="35"/>
      <c r="N365" s="35"/>
      <c r="O365" s="85" t="str">
        <f t="shared" si="2"/>
        <v/>
      </c>
      <c r="P365" s="29"/>
      <c r="Q365" s="27"/>
      <c r="R365" s="26" t="str">
        <f t="array" ref="R365">IF($E365="","",IF($B365="","Thiếu ngày thực hiện",IF(AND($D365&lt;&gt;"",IFERROR(INDEX('Kế hoạch định kỳ'!$C$6:$C$125,MATCH($D365,'Kế hoạch định kỳ'!$B$6:$B$125,0)),"")&lt;&gt;$E365),"Mã TB không khớp công việc",IF(AND(OR($C365="Bảo trì định kỳ",$C365="Hiệu chuẩn – kiểm định"),$D365=""),"Thiếu mã công việc kế hoạch",IF($Q365="","Thiếu kết quả","OK")))))</f>
        <v/>
      </c>
      <c r="S365" s="29"/>
    </row>
    <row r="366" ht="25.5" customHeight="1">
      <c r="A366" s="10" t="str">
        <f t="shared" si="1"/>
        <v/>
      </c>
      <c r="B366" s="13"/>
      <c r="C366" s="11"/>
      <c r="D366" s="11"/>
      <c r="E366" s="11"/>
      <c r="F366" s="14" t="str">
        <f t="array" ref="F366">IF($E366="","",IFERROR(INDEX('Danh mục thiết bị'!$C$6:$C$65,MATCH($E366,'Danh mục thiết bị'!$B$6:$B$65,0)),"Mã TB không tồn tại"))</f>
        <v/>
      </c>
      <c r="G366" s="14" t="str">
        <f t="array" ref="G366">IF($E366="","",IFERROR(INDEX('Danh mục thiết bị'!$D$6:$D$65,MATCH($E366,'Danh mục thiết bị'!$B$6:$B$65,0)),""))</f>
        <v/>
      </c>
      <c r="H366" s="15"/>
      <c r="I366" s="12"/>
      <c r="J366" s="19"/>
      <c r="K366" s="19"/>
      <c r="L366" s="20"/>
      <c r="M366" s="20"/>
      <c r="N366" s="20"/>
      <c r="O366" s="84" t="str">
        <f t="shared" si="2"/>
        <v/>
      </c>
      <c r="P366" s="15"/>
      <c r="Q366" s="11"/>
      <c r="R366" s="10" t="str">
        <f t="array" ref="R366">IF($E366="","",IF($B366="","Thiếu ngày thực hiện",IF(AND($D366&lt;&gt;"",IFERROR(INDEX('Kế hoạch định kỳ'!$C$6:$C$125,MATCH($D366,'Kế hoạch định kỳ'!$B$6:$B$125,0)),"")&lt;&gt;$E366),"Mã TB không khớp công việc",IF(AND(OR($C366="Bảo trì định kỳ",$C366="Hiệu chuẩn – kiểm định"),$D366=""),"Thiếu mã công việc kế hoạch",IF($Q366="","Thiếu kết quả","OK")))))</f>
        <v/>
      </c>
      <c r="S366" s="15"/>
    </row>
    <row r="367" ht="25.5" customHeight="1">
      <c r="A367" s="26" t="str">
        <f t="shared" si="1"/>
        <v/>
      </c>
      <c r="B367" s="32"/>
      <c r="C367" s="27"/>
      <c r="D367" s="27"/>
      <c r="E367" s="27"/>
      <c r="F367" s="28" t="str">
        <f t="array" ref="F367">IF($E367="","",IFERROR(INDEX('Danh mục thiết bị'!$C$6:$C$65,MATCH($E367,'Danh mục thiết bị'!$B$6:$B$65,0)),"Mã TB không tồn tại"))</f>
        <v/>
      </c>
      <c r="G367" s="28" t="str">
        <f t="array" ref="G367">IF($E367="","",IFERROR(INDEX('Danh mục thiết bị'!$D$6:$D$65,MATCH($E367,'Danh mục thiết bị'!$B$6:$B$65,0)),""))</f>
        <v/>
      </c>
      <c r="H367" s="29"/>
      <c r="I367" s="31"/>
      <c r="J367" s="34"/>
      <c r="K367" s="34"/>
      <c r="L367" s="35"/>
      <c r="M367" s="35"/>
      <c r="N367" s="35"/>
      <c r="O367" s="85" t="str">
        <f t="shared" si="2"/>
        <v/>
      </c>
      <c r="P367" s="29"/>
      <c r="Q367" s="27"/>
      <c r="R367" s="26" t="str">
        <f t="array" ref="R367">IF($E367="","",IF($B367="","Thiếu ngày thực hiện",IF(AND($D367&lt;&gt;"",IFERROR(INDEX('Kế hoạch định kỳ'!$C$6:$C$125,MATCH($D367,'Kế hoạch định kỳ'!$B$6:$B$125,0)),"")&lt;&gt;$E367),"Mã TB không khớp công việc",IF(AND(OR($C367="Bảo trì định kỳ",$C367="Hiệu chuẩn – kiểm định"),$D367=""),"Thiếu mã công việc kế hoạch",IF($Q367="","Thiếu kết quả","OK")))))</f>
        <v/>
      </c>
      <c r="S367" s="29"/>
    </row>
    <row r="368" ht="25.5" customHeight="1">
      <c r="A368" s="10" t="str">
        <f t="shared" si="1"/>
        <v/>
      </c>
      <c r="B368" s="13"/>
      <c r="C368" s="11"/>
      <c r="D368" s="11"/>
      <c r="E368" s="11"/>
      <c r="F368" s="14" t="str">
        <f t="array" ref="F368">IF($E368="","",IFERROR(INDEX('Danh mục thiết bị'!$C$6:$C$65,MATCH($E368,'Danh mục thiết bị'!$B$6:$B$65,0)),"Mã TB không tồn tại"))</f>
        <v/>
      </c>
      <c r="G368" s="14" t="str">
        <f t="array" ref="G368">IF($E368="","",IFERROR(INDEX('Danh mục thiết bị'!$D$6:$D$65,MATCH($E368,'Danh mục thiết bị'!$B$6:$B$65,0)),""))</f>
        <v/>
      </c>
      <c r="H368" s="15"/>
      <c r="I368" s="12"/>
      <c r="J368" s="19"/>
      <c r="K368" s="19"/>
      <c r="L368" s="20"/>
      <c r="M368" s="20"/>
      <c r="N368" s="20"/>
      <c r="O368" s="84" t="str">
        <f t="shared" si="2"/>
        <v/>
      </c>
      <c r="P368" s="15"/>
      <c r="Q368" s="11"/>
      <c r="R368" s="10" t="str">
        <f t="array" ref="R368">IF($E368="","",IF($B368="","Thiếu ngày thực hiện",IF(AND($D368&lt;&gt;"",IFERROR(INDEX('Kế hoạch định kỳ'!$C$6:$C$125,MATCH($D368,'Kế hoạch định kỳ'!$B$6:$B$125,0)),"")&lt;&gt;$E368),"Mã TB không khớp công việc",IF(AND(OR($C368="Bảo trì định kỳ",$C368="Hiệu chuẩn – kiểm định"),$D368=""),"Thiếu mã công việc kế hoạch",IF($Q368="","Thiếu kết quả","OK")))))</f>
        <v/>
      </c>
      <c r="S368" s="15"/>
    </row>
    <row r="369" ht="25.5" customHeight="1">
      <c r="A369" s="26" t="str">
        <f t="shared" si="1"/>
        <v/>
      </c>
      <c r="B369" s="32"/>
      <c r="C369" s="27"/>
      <c r="D369" s="27"/>
      <c r="E369" s="27"/>
      <c r="F369" s="28" t="str">
        <f t="array" ref="F369">IF($E369="","",IFERROR(INDEX('Danh mục thiết bị'!$C$6:$C$65,MATCH($E369,'Danh mục thiết bị'!$B$6:$B$65,0)),"Mã TB không tồn tại"))</f>
        <v/>
      </c>
      <c r="G369" s="28" t="str">
        <f t="array" ref="G369">IF($E369="","",IFERROR(INDEX('Danh mục thiết bị'!$D$6:$D$65,MATCH($E369,'Danh mục thiết bị'!$B$6:$B$65,0)),""))</f>
        <v/>
      </c>
      <c r="H369" s="29"/>
      <c r="I369" s="31"/>
      <c r="J369" s="34"/>
      <c r="K369" s="34"/>
      <c r="L369" s="35"/>
      <c r="M369" s="35"/>
      <c r="N369" s="35"/>
      <c r="O369" s="85" t="str">
        <f t="shared" si="2"/>
        <v/>
      </c>
      <c r="P369" s="29"/>
      <c r="Q369" s="27"/>
      <c r="R369" s="26" t="str">
        <f t="array" ref="R369">IF($E369="","",IF($B369="","Thiếu ngày thực hiện",IF(AND($D369&lt;&gt;"",IFERROR(INDEX('Kế hoạch định kỳ'!$C$6:$C$125,MATCH($D369,'Kế hoạch định kỳ'!$B$6:$B$125,0)),"")&lt;&gt;$E369),"Mã TB không khớp công việc",IF(AND(OR($C369="Bảo trì định kỳ",$C369="Hiệu chuẩn – kiểm định"),$D369=""),"Thiếu mã công việc kế hoạch",IF($Q369="","Thiếu kết quả","OK")))))</f>
        <v/>
      </c>
      <c r="S369" s="29"/>
    </row>
    <row r="370" ht="25.5" customHeight="1">
      <c r="A370" s="10" t="str">
        <f t="shared" si="1"/>
        <v/>
      </c>
      <c r="B370" s="13"/>
      <c r="C370" s="11"/>
      <c r="D370" s="11"/>
      <c r="E370" s="11"/>
      <c r="F370" s="14" t="str">
        <f t="array" ref="F370">IF($E370="","",IFERROR(INDEX('Danh mục thiết bị'!$C$6:$C$65,MATCH($E370,'Danh mục thiết bị'!$B$6:$B$65,0)),"Mã TB không tồn tại"))</f>
        <v/>
      </c>
      <c r="G370" s="14" t="str">
        <f t="array" ref="G370">IF($E370="","",IFERROR(INDEX('Danh mục thiết bị'!$D$6:$D$65,MATCH($E370,'Danh mục thiết bị'!$B$6:$B$65,0)),""))</f>
        <v/>
      </c>
      <c r="H370" s="15"/>
      <c r="I370" s="12"/>
      <c r="J370" s="19"/>
      <c r="K370" s="19"/>
      <c r="L370" s="20"/>
      <c r="M370" s="20"/>
      <c r="N370" s="20"/>
      <c r="O370" s="84" t="str">
        <f t="shared" si="2"/>
        <v/>
      </c>
      <c r="P370" s="15"/>
      <c r="Q370" s="11"/>
      <c r="R370" s="10" t="str">
        <f t="array" ref="R370">IF($E370="","",IF($B370="","Thiếu ngày thực hiện",IF(AND($D370&lt;&gt;"",IFERROR(INDEX('Kế hoạch định kỳ'!$C$6:$C$125,MATCH($D370,'Kế hoạch định kỳ'!$B$6:$B$125,0)),"")&lt;&gt;$E370),"Mã TB không khớp công việc",IF(AND(OR($C370="Bảo trì định kỳ",$C370="Hiệu chuẩn – kiểm định"),$D370=""),"Thiếu mã công việc kế hoạch",IF($Q370="","Thiếu kết quả","OK")))))</f>
        <v/>
      </c>
      <c r="S370" s="15"/>
    </row>
    <row r="371" ht="25.5" customHeight="1">
      <c r="A371" s="26" t="str">
        <f t="shared" si="1"/>
        <v/>
      </c>
      <c r="B371" s="32"/>
      <c r="C371" s="27"/>
      <c r="D371" s="27"/>
      <c r="E371" s="27"/>
      <c r="F371" s="28" t="str">
        <f t="array" ref="F371">IF($E371="","",IFERROR(INDEX('Danh mục thiết bị'!$C$6:$C$65,MATCH($E371,'Danh mục thiết bị'!$B$6:$B$65,0)),"Mã TB không tồn tại"))</f>
        <v/>
      </c>
      <c r="G371" s="28" t="str">
        <f t="array" ref="G371">IF($E371="","",IFERROR(INDEX('Danh mục thiết bị'!$D$6:$D$65,MATCH($E371,'Danh mục thiết bị'!$B$6:$B$65,0)),""))</f>
        <v/>
      </c>
      <c r="H371" s="29"/>
      <c r="I371" s="31"/>
      <c r="J371" s="34"/>
      <c r="K371" s="34"/>
      <c r="L371" s="35"/>
      <c r="M371" s="35"/>
      <c r="N371" s="35"/>
      <c r="O371" s="85" t="str">
        <f t="shared" si="2"/>
        <v/>
      </c>
      <c r="P371" s="29"/>
      <c r="Q371" s="27"/>
      <c r="R371" s="26" t="str">
        <f t="array" ref="R371">IF($E371="","",IF($B371="","Thiếu ngày thực hiện",IF(AND($D371&lt;&gt;"",IFERROR(INDEX('Kế hoạch định kỳ'!$C$6:$C$125,MATCH($D371,'Kế hoạch định kỳ'!$B$6:$B$125,0)),"")&lt;&gt;$E371),"Mã TB không khớp công việc",IF(AND(OR($C371="Bảo trì định kỳ",$C371="Hiệu chuẩn – kiểm định"),$D371=""),"Thiếu mã công việc kế hoạch",IF($Q371="","Thiếu kết quả","OK")))))</f>
        <v/>
      </c>
      <c r="S371" s="29"/>
    </row>
    <row r="372" ht="25.5" customHeight="1">
      <c r="A372" s="10" t="str">
        <f t="shared" si="1"/>
        <v/>
      </c>
      <c r="B372" s="13"/>
      <c r="C372" s="11"/>
      <c r="D372" s="11"/>
      <c r="E372" s="11"/>
      <c r="F372" s="14" t="str">
        <f t="array" ref="F372">IF($E372="","",IFERROR(INDEX('Danh mục thiết bị'!$C$6:$C$65,MATCH($E372,'Danh mục thiết bị'!$B$6:$B$65,0)),"Mã TB không tồn tại"))</f>
        <v/>
      </c>
      <c r="G372" s="14" t="str">
        <f t="array" ref="G372">IF($E372="","",IFERROR(INDEX('Danh mục thiết bị'!$D$6:$D$65,MATCH($E372,'Danh mục thiết bị'!$B$6:$B$65,0)),""))</f>
        <v/>
      </c>
      <c r="H372" s="15"/>
      <c r="I372" s="12"/>
      <c r="J372" s="19"/>
      <c r="K372" s="19"/>
      <c r="L372" s="20"/>
      <c r="M372" s="20"/>
      <c r="N372" s="20"/>
      <c r="O372" s="84" t="str">
        <f t="shared" si="2"/>
        <v/>
      </c>
      <c r="P372" s="15"/>
      <c r="Q372" s="11"/>
      <c r="R372" s="10" t="str">
        <f t="array" ref="R372">IF($E372="","",IF($B372="","Thiếu ngày thực hiện",IF(AND($D372&lt;&gt;"",IFERROR(INDEX('Kế hoạch định kỳ'!$C$6:$C$125,MATCH($D372,'Kế hoạch định kỳ'!$B$6:$B$125,0)),"")&lt;&gt;$E372),"Mã TB không khớp công việc",IF(AND(OR($C372="Bảo trì định kỳ",$C372="Hiệu chuẩn – kiểm định"),$D372=""),"Thiếu mã công việc kế hoạch",IF($Q372="","Thiếu kết quả","OK")))))</f>
        <v/>
      </c>
      <c r="S372" s="15"/>
    </row>
    <row r="373" ht="25.5" customHeight="1">
      <c r="A373" s="26" t="str">
        <f t="shared" si="1"/>
        <v/>
      </c>
      <c r="B373" s="32"/>
      <c r="C373" s="27"/>
      <c r="D373" s="27"/>
      <c r="E373" s="27"/>
      <c r="F373" s="28" t="str">
        <f t="array" ref="F373">IF($E373="","",IFERROR(INDEX('Danh mục thiết bị'!$C$6:$C$65,MATCH($E373,'Danh mục thiết bị'!$B$6:$B$65,0)),"Mã TB không tồn tại"))</f>
        <v/>
      </c>
      <c r="G373" s="28" t="str">
        <f t="array" ref="G373">IF($E373="","",IFERROR(INDEX('Danh mục thiết bị'!$D$6:$D$65,MATCH($E373,'Danh mục thiết bị'!$B$6:$B$65,0)),""))</f>
        <v/>
      </c>
      <c r="H373" s="29"/>
      <c r="I373" s="31"/>
      <c r="J373" s="34"/>
      <c r="K373" s="34"/>
      <c r="L373" s="35"/>
      <c r="M373" s="35"/>
      <c r="N373" s="35"/>
      <c r="O373" s="85" t="str">
        <f t="shared" si="2"/>
        <v/>
      </c>
      <c r="P373" s="29"/>
      <c r="Q373" s="27"/>
      <c r="R373" s="26" t="str">
        <f t="array" ref="R373">IF($E373="","",IF($B373="","Thiếu ngày thực hiện",IF(AND($D373&lt;&gt;"",IFERROR(INDEX('Kế hoạch định kỳ'!$C$6:$C$125,MATCH($D373,'Kế hoạch định kỳ'!$B$6:$B$125,0)),"")&lt;&gt;$E373),"Mã TB không khớp công việc",IF(AND(OR($C373="Bảo trì định kỳ",$C373="Hiệu chuẩn – kiểm định"),$D373=""),"Thiếu mã công việc kế hoạch",IF($Q373="","Thiếu kết quả","OK")))))</f>
        <v/>
      </c>
      <c r="S373" s="29"/>
    </row>
    <row r="374" ht="25.5" customHeight="1">
      <c r="A374" s="10" t="str">
        <f t="shared" si="1"/>
        <v/>
      </c>
      <c r="B374" s="13"/>
      <c r="C374" s="11"/>
      <c r="D374" s="11"/>
      <c r="E374" s="11"/>
      <c r="F374" s="14" t="str">
        <f t="array" ref="F374">IF($E374="","",IFERROR(INDEX('Danh mục thiết bị'!$C$6:$C$65,MATCH($E374,'Danh mục thiết bị'!$B$6:$B$65,0)),"Mã TB không tồn tại"))</f>
        <v/>
      </c>
      <c r="G374" s="14" t="str">
        <f t="array" ref="G374">IF($E374="","",IFERROR(INDEX('Danh mục thiết bị'!$D$6:$D$65,MATCH($E374,'Danh mục thiết bị'!$B$6:$B$65,0)),""))</f>
        <v/>
      </c>
      <c r="H374" s="15"/>
      <c r="I374" s="12"/>
      <c r="J374" s="19"/>
      <c r="K374" s="19"/>
      <c r="L374" s="20"/>
      <c r="M374" s="20"/>
      <c r="N374" s="20"/>
      <c r="O374" s="84" t="str">
        <f t="shared" si="2"/>
        <v/>
      </c>
      <c r="P374" s="15"/>
      <c r="Q374" s="11"/>
      <c r="R374" s="10" t="str">
        <f t="array" ref="R374">IF($E374="","",IF($B374="","Thiếu ngày thực hiện",IF(AND($D374&lt;&gt;"",IFERROR(INDEX('Kế hoạch định kỳ'!$C$6:$C$125,MATCH($D374,'Kế hoạch định kỳ'!$B$6:$B$125,0)),"")&lt;&gt;$E374),"Mã TB không khớp công việc",IF(AND(OR($C374="Bảo trì định kỳ",$C374="Hiệu chuẩn – kiểm định"),$D374=""),"Thiếu mã công việc kế hoạch",IF($Q374="","Thiếu kết quả","OK")))))</f>
        <v/>
      </c>
      <c r="S374" s="15"/>
    </row>
    <row r="375" ht="25.5" customHeight="1">
      <c r="A375" s="26" t="str">
        <f t="shared" si="1"/>
        <v/>
      </c>
      <c r="B375" s="32"/>
      <c r="C375" s="27"/>
      <c r="D375" s="27"/>
      <c r="E375" s="27"/>
      <c r="F375" s="28" t="str">
        <f t="array" ref="F375">IF($E375="","",IFERROR(INDEX('Danh mục thiết bị'!$C$6:$C$65,MATCH($E375,'Danh mục thiết bị'!$B$6:$B$65,0)),"Mã TB không tồn tại"))</f>
        <v/>
      </c>
      <c r="G375" s="28" t="str">
        <f t="array" ref="G375">IF($E375="","",IFERROR(INDEX('Danh mục thiết bị'!$D$6:$D$65,MATCH($E375,'Danh mục thiết bị'!$B$6:$B$65,0)),""))</f>
        <v/>
      </c>
      <c r="H375" s="29"/>
      <c r="I375" s="31"/>
      <c r="J375" s="34"/>
      <c r="K375" s="34"/>
      <c r="L375" s="35"/>
      <c r="M375" s="35"/>
      <c r="N375" s="35"/>
      <c r="O375" s="85" t="str">
        <f t="shared" si="2"/>
        <v/>
      </c>
      <c r="P375" s="29"/>
      <c r="Q375" s="27"/>
      <c r="R375" s="26" t="str">
        <f t="array" ref="R375">IF($E375="","",IF($B375="","Thiếu ngày thực hiện",IF(AND($D375&lt;&gt;"",IFERROR(INDEX('Kế hoạch định kỳ'!$C$6:$C$125,MATCH($D375,'Kế hoạch định kỳ'!$B$6:$B$125,0)),"")&lt;&gt;$E375),"Mã TB không khớp công việc",IF(AND(OR($C375="Bảo trì định kỳ",$C375="Hiệu chuẩn – kiểm định"),$D375=""),"Thiếu mã công việc kế hoạch",IF($Q375="","Thiếu kết quả","OK")))))</f>
        <v/>
      </c>
      <c r="S375" s="29"/>
    </row>
    <row r="376" ht="25.5" customHeight="1">
      <c r="A376" s="10" t="str">
        <f t="shared" si="1"/>
        <v/>
      </c>
      <c r="B376" s="13"/>
      <c r="C376" s="11"/>
      <c r="D376" s="11"/>
      <c r="E376" s="11"/>
      <c r="F376" s="14" t="str">
        <f t="array" ref="F376">IF($E376="","",IFERROR(INDEX('Danh mục thiết bị'!$C$6:$C$65,MATCH($E376,'Danh mục thiết bị'!$B$6:$B$65,0)),"Mã TB không tồn tại"))</f>
        <v/>
      </c>
      <c r="G376" s="14" t="str">
        <f t="array" ref="G376">IF($E376="","",IFERROR(INDEX('Danh mục thiết bị'!$D$6:$D$65,MATCH($E376,'Danh mục thiết bị'!$B$6:$B$65,0)),""))</f>
        <v/>
      </c>
      <c r="H376" s="15"/>
      <c r="I376" s="12"/>
      <c r="J376" s="19"/>
      <c r="K376" s="19"/>
      <c r="L376" s="20"/>
      <c r="M376" s="20"/>
      <c r="N376" s="20"/>
      <c r="O376" s="84" t="str">
        <f t="shared" si="2"/>
        <v/>
      </c>
      <c r="P376" s="15"/>
      <c r="Q376" s="11"/>
      <c r="R376" s="10" t="str">
        <f t="array" ref="R376">IF($E376="","",IF($B376="","Thiếu ngày thực hiện",IF(AND($D376&lt;&gt;"",IFERROR(INDEX('Kế hoạch định kỳ'!$C$6:$C$125,MATCH($D376,'Kế hoạch định kỳ'!$B$6:$B$125,0)),"")&lt;&gt;$E376),"Mã TB không khớp công việc",IF(AND(OR($C376="Bảo trì định kỳ",$C376="Hiệu chuẩn – kiểm định"),$D376=""),"Thiếu mã công việc kế hoạch",IF($Q376="","Thiếu kết quả","OK")))))</f>
        <v/>
      </c>
      <c r="S376" s="15"/>
    </row>
    <row r="377" ht="25.5" customHeight="1">
      <c r="A377" s="26" t="str">
        <f t="shared" si="1"/>
        <v/>
      </c>
      <c r="B377" s="32"/>
      <c r="C377" s="27"/>
      <c r="D377" s="27"/>
      <c r="E377" s="27"/>
      <c r="F377" s="28" t="str">
        <f t="array" ref="F377">IF($E377="","",IFERROR(INDEX('Danh mục thiết bị'!$C$6:$C$65,MATCH($E377,'Danh mục thiết bị'!$B$6:$B$65,0)),"Mã TB không tồn tại"))</f>
        <v/>
      </c>
      <c r="G377" s="28" t="str">
        <f t="array" ref="G377">IF($E377="","",IFERROR(INDEX('Danh mục thiết bị'!$D$6:$D$65,MATCH($E377,'Danh mục thiết bị'!$B$6:$B$65,0)),""))</f>
        <v/>
      </c>
      <c r="H377" s="29"/>
      <c r="I377" s="31"/>
      <c r="J377" s="34"/>
      <c r="K377" s="34"/>
      <c r="L377" s="35"/>
      <c r="M377" s="35"/>
      <c r="N377" s="35"/>
      <c r="O377" s="85" t="str">
        <f t="shared" si="2"/>
        <v/>
      </c>
      <c r="P377" s="29"/>
      <c r="Q377" s="27"/>
      <c r="R377" s="26" t="str">
        <f t="array" ref="R377">IF($E377="","",IF($B377="","Thiếu ngày thực hiện",IF(AND($D377&lt;&gt;"",IFERROR(INDEX('Kế hoạch định kỳ'!$C$6:$C$125,MATCH($D377,'Kế hoạch định kỳ'!$B$6:$B$125,0)),"")&lt;&gt;$E377),"Mã TB không khớp công việc",IF(AND(OR($C377="Bảo trì định kỳ",$C377="Hiệu chuẩn – kiểm định"),$D377=""),"Thiếu mã công việc kế hoạch",IF($Q377="","Thiếu kết quả","OK")))))</f>
        <v/>
      </c>
      <c r="S377" s="29"/>
    </row>
    <row r="378" ht="25.5" customHeight="1">
      <c r="A378" s="10" t="str">
        <f t="shared" si="1"/>
        <v/>
      </c>
      <c r="B378" s="13"/>
      <c r="C378" s="11"/>
      <c r="D378" s="11"/>
      <c r="E378" s="11"/>
      <c r="F378" s="14" t="str">
        <f t="array" ref="F378">IF($E378="","",IFERROR(INDEX('Danh mục thiết bị'!$C$6:$C$65,MATCH($E378,'Danh mục thiết bị'!$B$6:$B$65,0)),"Mã TB không tồn tại"))</f>
        <v/>
      </c>
      <c r="G378" s="14" t="str">
        <f t="array" ref="G378">IF($E378="","",IFERROR(INDEX('Danh mục thiết bị'!$D$6:$D$65,MATCH($E378,'Danh mục thiết bị'!$B$6:$B$65,0)),""))</f>
        <v/>
      </c>
      <c r="H378" s="15"/>
      <c r="I378" s="12"/>
      <c r="J378" s="19"/>
      <c r="K378" s="19"/>
      <c r="L378" s="20"/>
      <c r="M378" s="20"/>
      <c r="N378" s="20"/>
      <c r="O378" s="84" t="str">
        <f t="shared" si="2"/>
        <v/>
      </c>
      <c r="P378" s="15"/>
      <c r="Q378" s="11"/>
      <c r="R378" s="10" t="str">
        <f t="array" ref="R378">IF($E378="","",IF($B378="","Thiếu ngày thực hiện",IF(AND($D378&lt;&gt;"",IFERROR(INDEX('Kế hoạch định kỳ'!$C$6:$C$125,MATCH($D378,'Kế hoạch định kỳ'!$B$6:$B$125,0)),"")&lt;&gt;$E378),"Mã TB không khớp công việc",IF(AND(OR($C378="Bảo trì định kỳ",$C378="Hiệu chuẩn – kiểm định"),$D378=""),"Thiếu mã công việc kế hoạch",IF($Q378="","Thiếu kết quả","OK")))))</f>
        <v/>
      </c>
      <c r="S378" s="15"/>
    </row>
    <row r="379" ht="25.5" customHeight="1">
      <c r="A379" s="26" t="str">
        <f t="shared" si="1"/>
        <v/>
      </c>
      <c r="B379" s="32"/>
      <c r="C379" s="27"/>
      <c r="D379" s="27"/>
      <c r="E379" s="27"/>
      <c r="F379" s="28" t="str">
        <f t="array" ref="F379">IF($E379="","",IFERROR(INDEX('Danh mục thiết bị'!$C$6:$C$65,MATCH($E379,'Danh mục thiết bị'!$B$6:$B$65,0)),"Mã TB không tồn tại"))</f>
        <v/>
      </c>
      <c r="G379" s="28" t="str">
        <f t="array" ref="G379">IF($E379="","",IFERROR(INDEX('Danh mục thiết bị'!$D$6:$D$65,MATCH($E379,'Danh mục thiết bị'!$B$6:$B$65,0)),""))</f>
        <v/>
      </c>
      <c r="H379" s="29"/>
      <c r="I379" s="31"/>
      <c r="J379" s="34"/>
      <c r="K379" s="34"/>
      <c r="L379" s="35"/>
      <c r="M379" s="35"/>
      <c r="N379" s="35"/>
      <c r="O379" s="85" t="str">
        <f t="shared" si="2"/>
        <v/>
      </c>
      <c r="P379" s="29"/>
      <c r="Q379" s="27"/>
      <c r="R379" s="26" t="str">
        <f t="array" ref="R379">IF($E379="","",IF($B379="","Thiếu ngày thực hiện",IF(AND($D379&lt;&gt;"",IFERROR(INDEX('Kế hoạch định kỳ'!$C$6:$C$125,MATCH($D379,'Kế hoạch định kỳ'!$B$6:$B$125,0)),"")&lt;&gt;$E379),"Mã TB không khớp công việc",IF(AND(OR($C379="Bảo trì định kỳ",$C379="Hiệu chuẩn – kiểm định"),$D379=""),"Thiếu mã công việc kế hoạch",IF($Q379="","Thiếu kết quả","OK")))))</f>
        <v/>
      </c>
      <c r="S379" s="29"/>
    </row>
    <row r="380" ht="25.5" customHeight="1">
      <c r="A380" s="10" t="str">
        <f t="shared" si="1"/>
        <v/>
      </c>
      <c r="B380" s="13"/>
      <c r="C380" s="11"/>
      <c r="D380" s="11"/>
      <c r="E380" s="11"/>
      <c r="F380" s="14" t="str">
        <f t="array" ref="F380">IF($E380="","",IFERROR(INDEX('Danh mục thiết bị'!$C$6:$C$65,MATCH($E380,'Danh mục thiết bị'!$B$6:$B$65,0)),"Mã TB không tồn tại"))</f>
        <v/>
      </c>
      <c r="G380" s="14" t="str">
        <f t="array" ref="G380">IF($E380="","",IFERROR(INDEX('Danh mục thiết bị'!$D$6:$D$65,MATCH($E380,'Danh mục thiết bị'!$B$6:$B$65,0)),""))</f>
        <v/>
      </c>
      <c r="H380" s="15"/>
      <c r="I380" s="12"/>
      <c r="J380" s="19"/>
      <c r="K380" s="19"/>
      <c r="L380" s="20"/>
      <c r="M380" s="20"/>
      <c r="N380" s="20"/>
      <c r="O380" s="84" t="str">
        <f t="shared" si="2"/>
        <v/>
      </c>
      <c r="P380" s="15"/>
      <c r="Q380" s="11"/>
      <c r="R380" s="10" t="str">
        <f t="array" ref="R380">IF($E380="","",IF($B380="","Thiếu ngày thực hiện",IF(AND($D380&lt;&gt;"",IFERROR(INDEX('Kế hoạch định kỳ'!$C$6:$C$125,MATCH($D380,'Kế hoạch định kỳ'!$B$6:$B$125,0)),"")&lt;&gt;$E380),"Mã TB không khớp công việc",IF(AND(OR($C380="Bảo trì định kỳ",$C380="Hiệu chuẩn – kiểm định"),$D380=""),"Thiếu mã công việc kế hoạch",IF($Q380="","Thiếu kết quả","OK")))))</f>
        <v/>
      </c>
      <c r="S380" s="15"/>
    </row>
    <row r="381" ht="25.5" customHeight="1">
      <c r="A381" s="26" t="str">
        <f t="shared" si="1"/>
        <v/>
      </c>
      <c r="B381" s="32"/>
      <c r="C381" s="27"/>
      <c r="D381" s="27"/>
      <c r="E381" s="27"/>
      <c r="F381" s="28" t="str">
        <f t="array" ref="F381">IF($E381="","",IFERROR(INDEX('Danh mục thiết bị'!$C$6:$C$65,MATCH($E381,'Danh mục thiết bị'!$B$6:$B$65,0)),"Mã TB không tồn tại"))</f>
        <v/>
      </c>
      <c r="G381" s="28" t="str">
        <f t="array" ref="G381">IF($E381="","",IFERROR(INDEX('Danh mục thiết bị'!$D$6:$D$65,MATCH($E381,'Danh mục thiết bị'!$B$6:$B$65,0)),""))</f>
        <v/>
      </c>
      <c r="H381" s="29"/>
      <c r="I381" s="31"/>
      <c r="J381" s="34"/>
      <c r="K381" s="34"/>
      <c r="L381" s="35"/>
      <c r="M381" s="35"/>
      <c r="N381" s="35"/>
      <c r="O381" s="85" t="str">
        <f t="shared" si="2"/>
        <v/>
      </c>
      <c r="P381" s="29"/>
      <c r="Q381" s="27"/>
      <c r="R381" s="26" t="str">
        <f t="array" ref="R381">IF($E381="","",IF($B381="","Thiếu ngày thực hiện",IF(AND($D381&lt;&gt;"",IFERROR(INDEX('Kế hoạch định kỳ'!$C$6:$C$125,MATCH($D381,'Kế hoạch định kỳ'!$B$6:$B$125,0)),"")&lt;&gt;$E381),"Mã TB không khớp công việc",IF(AND(OR($C381="Bảo trì định kỳ",$C381="Hiệu chuẩn – kiểm định"),$D381=""),"Thiếu mã công việc kế hoạch",IF($Q381="","Thiếu kết quả","OK")))))</f>
        <v/>
      </c>
      <c r="S381" s="29"/>
    </row>
    <row r="382" ht="25.5" customHeight="1">
      <c r="A382" s="10" t="str">
        <f t="shared" si="1"/>
        <v/>
      </c>
      <c r="B382" s="13"/>
      <c r="C382" s="11"/>
      <c r="D382" s="11"/>
      <c r="E382" s="11"/>
      <c r="F382" s="14" t="str">
        <f t="array" ref="F382">IF($E382="","",IFERROR(INDEX('Danh mục thiết bị'!$C$6:$C$65,MATCH($E382,'Danh mục thiết bị'!$B$6:$B$65,0)),"Mã TB không tồn tại"))</f>
        <v/>
      </c>
      <c r="G382" s="14" t="str">
        <f t="array" ref="G382">IF($E382="","",IFERROR(INDEX('Danh mục thiết bị'!$D$6:$D$65,MATCH($E382,'Danh mục thiết bị'!$B$6:$B$65,0)),""))</f>
        <v/>
      </c>
      <c r="H382" s="15"/>
      <c r="I382" s="12"/>
      <c r="J382" s="19"/>
      <c r="K382" s="19"/>
      <c r="L382" s="20"/>
      <c r="M382" s="20"/>
      <c r="N382" s="20"/>
      <c r="O382" s="84" t="str">
        <f t="shared" si="2"/>
        <v/>
      </c>
      <c r="P382" s="15"/>
      <c r="Q382" s="11"/>
      <c r="R382" s="10" t="str">
        <f t="array" ref="R382">IF($E382="","",IF($B382="","Thiếu ngày thực hiện",IF(AND($D382&lt;&gt;"",IFERROR(INDEX('Kế hoạch định kỳ'!$C$6:$C$125,MATCH($D382,'Kế hoạch định kỳ'!$B$6:$B$125,0)),"")&lt;&gt;$E382),"Mã TB không khớp công việc",IF(AND(OR($C382="Bảo trì định kỳ",$C382="Hiệu chuẩn – kiểm định"),$D382=""),"Thiếu mã công việc kế hoạch",IF($Q382="","Thiếu kết quả","OK")))))</f>
        <v/>
      </c>
      <c r="S382" s="15"/>
    </row>
    <row r="383" ht="25.5" customHeight="1">
      <c r="A383" s="26" t="str">
        <f t="shared" si="1"/>
        <v/>
      </c>
      <c r="B383" s="32"/>
      <c r="C383" s="27"/>
      <c r="D383" s="27"/>
      <c r="E383" s="27"/>
      <c r="F383" s="28" t="str">
        <f t="array" ref="F383">IF($E383="","",IFERROR(INDEX('Danh mục thiết bị'!$C$6:$C$65,MATCH($E383,'Danh mục thiết bị'!$B$6:$B$65,0)),"Mã TB không tồn tại"))</f>
        <v/>
      </c>
      <c r="G383" s="28" t="str">
        <f t="array" ref="G383">IF($E383="","",IFERROR(INDEX('Danh mục thiết bị'!$D$6:$D$65,MATCH($E383,'Danh mục thiết bị'!$B$6:$B$65,0)),""))</f>
        <v/>
      </c>
      <c r="H383" s="29"/>
      <c r="I383" s="31"/>
      <c r="J383" s="34"/>
      <c r="K383" s="34"/>
      <c r="L383" s="35"/>
      <c r="M383" s="35"/>
      <c r="N383" s="35"/>
      <c r="O383" s="85" t="str">
        <f t="shared" si="2"/>
        <v/>
      </c>
      <c r="P383" s="29"/>
      <c r="Q383" s="27"/>
      <c r="R383" s="26" t="str">
        <f t="array" ref="R383">IF($E383="","",IF($B383="","Thiếu ngày thực hiện",IF(AND($D383&lt;&gt;"",IFERROR(INDEX('Kế hoạch định kỳ'!$C$6:$C$125,MATCH($D383,'Kế hoạch định kỳ'!$B$6:$B$125,0)),"")&lt;&gt;$E383),"Mã TB không khớp công việc",IF(AND(OR($C383="Bảo trì định kỳ",$C383="Hiệu chuẩn – kiểm định"),$D383=""),"Thiếu mã công việc kế hoạch",IF($Q383="","Thiếu kết quả","OK")))))</f>
        <v/>
      </c>
      <c r="S383" s="29"/>
    </row>
    <row r="384" ht="25.5" customHeight="1">
      <c r="A384" s="10" t="str">
        <f t="shared" si="1"/>
        <v/>
      </c>
      <c r="B384" s="13"/>
      <c r="C384" s="11"/>
      <c r="D384" s="11"/>
      <c r="E384" s="11"/>
      <c r="F384" s="14" t="str">
        <f t="array" ref="F384">IF($E384="","",IFERROR(INDEX('Danh mục thiết bị'!$C$6:$C$65,MATCH($E384,'Danh mục thiết bị'!$B$6:$B$65,0)),"Mã TB không tồn tại"))</f>
        <v/>
      </c>
      <c r="G384" s="14" t="str">
        <f t="array" ref="G384">IF($E384="","",IFERROR(INDEX('Danh mục thiết bị'!$D$6:$D$65,MATCH($E384,'Danh mục thiết bị'!$B$6:$B$65,0)),""))</f>
        <v/>
      </c>
      <c r="H384" s="15"/>
      <c r="I384" s="12"/>
      <c r="J384" s="19"/>
      <c r="K384" s="19"/>
      <c r="L384" s="20"/>
      <c r="M384" s="20"/>
      <c r="N384" s="20"/>
      <c r="O384" s="84" t="str">
        <f t="shared" si="2"/>
        <v/>
      </c>
      <c r="P384" s="15"/>
      <c r="Q384" s="11"/>
      <c r="R384" s="10" t="str">
        <f t="array" ref="R384">IF($E384="","",IF($B384="","Thiếu ngày thực hiện",IF(AND($D384&lt;&gt;"",IFERROR(INDEX('Kế hoạch định kỳ'!$C$6:$C$125,MATCH($D384,'Kế hoạch định kỳ'!$B$6:$B$125,0)),"")&lt;&gt;$E384),"Mã TB không khớp công việc",IF(AND(OR($C384="Bảo trì định kỳ",$C384="Hiệu chuẩn – kiểm định"),$D384=""),"Thiếu mã công việc kế hoạch",IF($Q384="","Thiếu kết quả","OK")))))</f>
        <v/>
      </c>
      <c r="S384" s="15"/>
    </row>
    <row r="385" ht="25.5" customHeight="1">
      <c r="A385" s="26" t="str">
        <f t="shared" si="1"/>
        <v/>
      </c>
      <c r="B385" s="32"/>
      <c r="C385" s="27"/>
      <c r="D385" s="27"/>
      <c r="E385" s="27"/>
      <c r="F385" s="28" t="str">
        <f t="array" ref="F385">IF($E385="","",IFERROR(INDEX('Danh mục thiết bị'!$C$6:$C$65,MATCH($E385,'Danh mục thiết bị'!$B$6:$B$65,0)),"Mã TB không tồn tại"))</f>
        <v/>
      </c>
      <c r="G385" s="28" t="str">
        <f t="array" ref="G385">IF($E385="","",IFERROR(INDEX('Danh mục thiết bị'!$D$6:$D$65,MATCH($E385,'Danh mục thiết bị'!$B$6:$B$65,0)),""))</f>
        <v/>
      </c>
      <c r="H385" s="29"/>
      <c r="I385" s="31"/>
      <c r="J385" s="34"/>
      <c r="K385" s="34"/>
      <c r="L385" s="35"/>
      <c r="M385" s="35"/>
      <c r="N385" s="35"/>
      <c r="O385" s="85" t="str">
        <f t="shared" si="2"/>
        <v/>
      </c>
      <c r="P385" s="29"/>
      <c r="Q385" s="27"/>
      <c r="R385" s="26" t="str">
        <f t="array" ref="R385">IF($E385="","",IF($B385="","Thiếu ngày thực hiện",IF(AND($D385&lt;&gt;"",IFERROR(INDEX('Kế hoạch định kỳ'!$C$6:$C$125,MATCH($D385,'Kế hoạch định kỳ'!$B$6:$B$125,0)),"")&lt;&gt;$E385),"Mã TB không khớp công việc",IF(AND(OR($C385="Bảo trì định kỳ",$C385="Hiệu chuẩn – kiểm định"),$D385=""),"Thiếu mã công việc kế hoạch",IF($Q385="","Thiếu kết quả","OK")))))</f>
        <v/>
      </c>
      <c r="S385" s="29"/>
    </row>
    <row r="386" ht="25.5" customHeight="1">
      <c r="A386" s="10" t="str">
        <f t="shared" si="1"/>
        <v/>
      </c>
      <c r="B386" s="13"/>
      <c r="C386" s="11"/>
      <c r="D386" s="11"/>
      <c r="E386" s="11"/>
      <c r="F386" s="14" t="str">
        <f t="array" ref="F386">IF($E386="","",IFERROR(INDEX('Danh mục thiết bị'!$C$6:$C$65,MATCH($E386,'Danh mục thiết bị'!$B$6:$B$65,0)),"Mã TB không tồn tại"))</f>
        <v/>
      </c>
      <c r="G386" s="14" t="str">
        <f t="array" ref="G386">IF($E386="","",IFERROR(INDEX('Danh mục thiết bị'!$D$6:$D$65,MATCH($E386,'Danh mục thiết bị'!$B$6:$B$65,0)),""))</f>
        <v/>
      </c>
      <c r="H386" s="15"/>
      <c r="I386" s="12"/>
      <c r="J386" s="19"/>
      <c r="K386" s="19"/>
      <c r="L386" s="20"/>
      <c r="M386" s="20"/>
      <c r="N386" s="20"/>
      <c r="O386" s="84" t="str">
        <f t="shared" si="2"/>
        <v/>
      </c>
      <c r="P386" s="15"/>
      <c r="Q386" s="11"/>
      <c r="R386" s="10" t="str">
        <f t="array" ref="R386">IF($E386="","",IF($B386="","Thiếu ngày thực hiện",IF(AND($D386&lt;&gt;"",IFERROR(INDEX('Kế hoạch định kỳ'!$C$6:$C$125,MATCH($D386,'Kế hoạch định kỳ'!$B$6:$B$125,0)),"")&lt;&gt;$E386),"Mã TB không khớp công việc",IF(AND(OR($C386="Bảo trì định kỳ",$C386="Hiệu chuẩn – kiểm định"),$D386=""),"Thiếu mã công việc kế hoạch",IF($Q386="","Thiếu kết quả","OK")))))</f>
        <v/>
      </c>
      <c r="S386" s="15"/>
    </row>
    <row r="387" ht="25.5" customHeight="1">
      <c r="A387" s="26" t="str">
        <f t="shared" si="1"/>
        <v/>
      </c>
      <c r="B387" s="32"/>
      <c r="C387" s="27"/>
      <c r="D387" s="27"/>
      <c r="E387" s="27"/>
      <c r="F387" s="28" t="str">
        <f t="array" ref="F387">IF($E387="","",IFERROR(INDEX('Danh mục thiết bị'!$C$6:$C$65,MATCH($E387,'Danh mục thiết bị'!$B$6:$B$65,0)),"Mã TB không tồn tại"))</f>
        <v/>
      </c>
      <c r="G387" s="28" t="str">
        <f t="array" ref="G387">IF($E387="","",IFERROR(INDEX('Danh mục thiết bị'!$D$6:$D$65,MATCH($E387,'Danh mục thiết bị'!$B$6:$B$65,0)),""))</f>
        <v/>
      </c>
      <c r="H387" s="29"/>
      <c r="I387" s="31"/>
      <c r="J387" s="34"/>
      <c r="K387" s="34"/>
      <c r="L387" s="35"/>
      <c r="M387" s="35"/>
      <c r="N387" s="35"/>
      <c r="O387" s="85" t="str">
        <f t="shared" si="2"/>
        <v/>
      </c>
      <c r="P387" s="29"/>
      <c r="Q387" s="27"/>
      <c r="R387" s="26" t="str">
        <f t="array" ref="R387">IF($E387="","",IF($B387="","Thiếu ngày thực hiện",IF(AND($D387&lt;&gt;"",IFERROR(INDEX('Kế hoạch định kỳ'!$C$6:$C$125,MATCH($D387,'Kế hoạch định kỳ'!$B$6:$B$125,0)),"")&lt;&gt;$E387),"Mã TB không khớp công việc",IF(AND(OR($C387="Bảo trì định kỳ",$C387="Hiệu chuẩn – kiểm định"),$D387=""),"Thiếu mã công việc kế hoạch",IF($Q387="","Thiếu kết quả","OK")))))</f>
        <v/>
      </c>
      <c r="S387" s="29"/>
    </row>
    <row r="388" ht="25.5" customHeight="1">
      <c r="A388" s="10" t="str">
        <f t="shared" si="1"/>
        <v/>
      </c>
      <c r="B388" s="13"/>
      <c r="C388" s="11"/>
      <c r="D388" s="11"/>
      <c r="E388" s="11"/>
      <c r="F388" s="14" t="str">
        <f t="array" ref="F388">IF($E388="","",IFERROR(INDEX('Danh mục thiết bị'!$C$6:$C$65,MATCH($E388,'Danh mục thiết bị'!$B$6:$B$65,0)),"Mã TB không tồn tại"))</f>
        <v/>
      </c>
      <c r="G388" s="14" t="str">
        <f t="array" ref="G388">IF($E388="","",IFERROR(INDEX('Danh mục thiết bị'!$D$6:$D$65,MATCH($E388,'Danh mục thiết bị'!$B$6:$B$65,0)),""))</f>
        <v/>
      </c>
      <c r="H388" s="15"/>
      <c r="I388" s="12"/>
      <c r="J388" s="19"/>
      <c r="K388" s="19"/>
      <c r="L388" s="20"/>
      <c r="M388" s="20"/>
      <c r="N388" s="20"/>
      <c r="O388" s="84" t="str">
        <f t="shared" si="2"/>
        <v/>
      </c>
      <c r="P388" s="15"/>
      <c r="Q388" s="11"/>
      <c r="R388" s="10" t="str">
        <f t="array" ref="R388">IF($E388="","",IF($B388="","Thiếu ngày thực hiện",IF(AND($D388&lt;&gt;"",IFERROR(INDEX('Kế hoạch định kỳ'!$C$6:$C$125,MATCH($D388,'Kế hoạch định kỳ'!$B$6:$B$125,0)),"")&lt;&gt;$E388),"Mã TB không khớp công việc",IF(AND(OR($C388="Bảo trì định kỳ",$C388="Hiệu chuẩn – kiểm định"),$D388=""),"Thiếu mã công việc kế hoạch",IF($Q388="","Thiếu kết quả","OK")))))</f>
        <v/>
      </c>
      <c r="S388" s="15"/>
    </row>
    <row r="389" ht="25.5" customHeight="1">
      <c r="A389" s="26" t="str">
        <f t="shared" si="1"/>
        <v/>
      </c>
      <c r="B389" s="32"/>
      <c r="C389" s="27"/>
      <c r="D389" s="27"/>
      <c r="E389" s="27"/>
      <c r="F389" s="28" t="str">
        <f t="array" ref="F389">IF($E389="","",IFERROR(INDEX('Danh mục thiết bị'!$C$6:$C$65,MATCH($E389,'Danh mục thiết bị'!$B$6:$B$65,0)),"Mã TB không tồn tại"))</f>
        <v/>
      </c>
      <c r="G389" s="28" t="str">
        <f t="array" ref="G389">IF($E389="","",IFERROR(INDEX('Danh mục thiết bị'!$D$6:$D$65,MATCH($E389,'Danh mục thiết bị'!$B$6:$B$65,0)),""))</f>
        <v/>
      </c>
      <c r="H389" s="29"/>
      <c r="I389" s="31"/>
      <c r="J389" s="34"/>
      <c r="K389" s="34"/>
      <c r="L389" s="35"/>
      <c r="M389" s="35"/>
      <c r="N389" s="35"/>
      <c r="O389" s="85" t="str">
        <f t="shared" si="2"/>
        <v/>
      </c>
      <c r="P389" s="29"/>
      <c r="Q389" s="27"/>
      <c r="R389" s="26" t="str">
        <f t="array" ref="R389">IF($E389="","",IF($B389="","Thiếu ngày thực hiện",IF(AND($D389&lt;&gt;"",IFERROR(INDEX('Kế hoạch định kỳ'!$C$6:$C$125,MATCH($D389,'Kế hoạch định kỳ'!$B$6:$B$125,0)),"")&lt;&gt;$E389),"Mã TB không khớp công việc",IF(AND(OR($C389="Bảo trì định kỳ",$C389="Hiệu chuẩn – kiểm định"),$D389=""),"Thiếu mã công việc kế hoạch",IF($Q389="","Thiếu kết quả","OK")))))</f>
        <v/>
      </c>
      <c r="S389" s="29"/>
    </row>
    <row r="390" ht="25.5" customHeight="1">
      <c r="A390" s="10" t="str">
        <f t="shared" si="1"/>
        <v/>
      </c>
      <c r="B390" s="13"/>
      <c r="C390" s="11"/>
      <c r="D390" s="11"/>
      <c r="E390" s="11"/>
      <c r="F390" s="14" t="str">
        <f t="array" ref="F390">IF($E390="","",IFERROR(INDEX('Danh mục thiết bị'!$C$6:$C$65,MATCH($E390,'Danh mục thiết bị'!$B$6:$B$65,0)),"Mã TB không tồn tại"))</f>
        <v/>
      </c>
      <c r="G390" s="14" t="str">
        <f t="array" ref="G390">IF($E390="","",IFERROR(INDEX('Danh mục thiết bị'!$D$6:$D$65,MATCH($E390,'Danh mục thiết bị'!$B$6:$B$65,0)),""))</f>
        <v/>
      </c>
      <c r="H390" s="15"/>
      <c r="I390" s="12"/>
      <c r="J390" s="19"/>
      <c r="K390" s="19"/>
      <c r="L390" s="20"/>
      <c r="M390" s="20"/>
      <c r="N390" s="20"/>
      <c r="O390" s="84" t="str">
        <f t="shared" si="2"/>
        <v/>
      </c>
      <c r="P390" s="15"/>
      <c r="Q390" s="11"/>
      <c r="R390" s="10" t="str">
        <f t="array" ref="R390">IF($E390="","",IF($B390="","Thiếu ngày thực hiện",IF(AND($D390&lt;&gt;"",IFERROR(INDEX('Kế hoạch định kỳ'!$C$6:$C$125,MATCH($D390,'Kế hoạch định kỳ'!$B$6:$B$125,0)),"")&lt;&gt;$E390),"Mã TB không khớp công việc",IF(AND(OR($C390="Bảo trì định kỳ",$C390="Hiệu chuẩn – kiểm định"),$D390=""),"Thiếu mã công việc kế hoạch",IF($Q390="","Thiếu kết quả","OK")))))</f>
        <v/>
      </c>
      <c r="S390" s="15"/>
    </row>
    <row r="391" ht="25.5" customHeight="1">
      <c r="A391" s="26" t="str">
        <f t="shared" si="1"/>
        <v/>
      </c>
      <c r="B391" s="32"/>
      <c r="C391" s="27"/>
      <c r="D391" s="27"/>
      <c r="E391" s="27"/>
      <c r="F391" s="28" t="str">
        <f t="array" ref="F391">IF($E391="","",IFERROR(INDEX('Danh mục thiết bị'!$C$6:$C$65,MATCH($E391,'Danh mục thiết bị'!$B$6:$B$65,0)),"Mã TB không tồn tại"))</f>
        <v/>
      </c>
      <c r="G391" s="28" t="str">
        <f t="array" ref="G391">IF($E391="","",IFERROR(INDEX('Danh mục thiết bị'!$D$6:$D$65,MATCH($E391,'Danh mục thiết bị'!$B$6:$B$65,0)),""))</f>
        <v/>
      </c>
      <c r="H391" s="29"/>
      <c r="I391" s="31"/>
      <c r="J391" s="34"/>
      <c r="K391" s="34"/>
      <c r="L391" s="35"/>
      <c r="M391" s="35"/>
      <c r="N391" s="35"/>
      <c r="O391" s="85" t="str">
        <f t="shared" si="2"/>
        <v/>
      </c>
      <c r="P391" s="29"/>
      <c r="Q391" s="27"/>
      <c r="R391" s="26" t="str">
        <f t="array" ref="R391">IF($E391="","",IF($B391="","Thiếu ngày thực hiện",IF(AND($D391&lt;&gt;"",IFERROR(INDEX('Kế hoạch định kỳ'!$C$6:$C$125,MATCH($D391,'Kế hoạch định kỳ'!$B$6:$B$125,0)),"")&lt;&gt;$E391),"Mã TB không khớp công việc",IF(AND(OR($C391="Bảo trì định kỳ",$C391="Hiệu chuẩn – kiểm định"),$D391=""),"Thiếu mã công việc kế hoạch",IF($Q391="","Thiếu kết quả","OK")))))</f>
        <v/>
      </c>
      <c r="S391" s="29"/>
    </row>
    <row r="392" ht="25.5" customHeight="1">
      <c r="A392" s="10" t="str">
        <f t="shared" si="1"/>
        <v/>
      </c>
      <c r="B392" s="13"/>
      <c r="C392" s="11"/>
      <c r="D392" s="11"/>
      <c r="E392" s="11"/>
      <c r="F392" s="14" t="str">
        <f t="array" ref="F392">IF($E392="","",IFERROR(INDEX('Danh mục thiết bị'!$C$6:$C$65,MATCH($E392,'Danh mục thiết bị'!$B$6:$B$65,0)),"Mã TB không tồn tại"))</f>
        <v/>
      </c>
      <c r="G392" s="14" t="str">
        <f t="array" ref="G392">IF($E392="","",IFERROR(INDEX('Danh mục thiết bị'!$D$6:$D$65,MATCH($E392,'Danh mục thiết bị'!$B$6:$B$65,0)),""))</f>
        <v/>
      </c>
      <c r="H392" s="15"/>
      <c r="I392" s="12"/>
      <c r="J392" s="19"/>
      <c r="K392" s="19"/>
      <c r="L392" s="20"/>
      <c r="M392" s="20"/>
      <c r="N392" s="20"/>
      <c r="O392" s="84" t="str">
        <f t="shared" si="2"/>
        <v/>
      </c>
      <c r="P392" s="15"/>
      <c r="Q392" s="11"/>
      <c r="R392" s="10" t="str">
        <f t="array" ref="R392">IF($E392="","",IF($B392="","Thiếu ngày thực hiện",IF(AND($D392&lt;&gt;"",IFERROR(INDEX('Kế hoạch định kỳ'!$C$6:$C$125,MATCH($D392,'Kế hoạch định kỳ'!$B$6:$B$125,0)),"")&lt;&gt;$E392),"Mã TB không khớp công việc",IF(AND(OR($C392="Bảo trì định kỳ",$C392="Hiệu chuẩn – kiểm định"),$D392=""),"Thiếu mã công việc kế hoạch",IF($Q392="","Thiếu kết quả","OK")))))</f>
        <v/>
      </c>
      <c r="S392" s="15"/>
    </row>
    <row r="393" ht="25.5" customHeight="1">
      <c r="A393" s="26" t="str">
        <f t="shared" si="1"/>
        <v/>
      </c>
      <c r="B393" s="32"/>
      <c r="C393" s="27"/>
      <c r="D393" s="27"/>
      <c r="E393" s="27"/>
      <c r="F393" s="28" t="str">
        <f t="array" ref="F393">IF($E393="","",IFERROR(INDEX('Danh mục thiết bị'!$C$6:$C$65,MATCH($E393,'Danh mục thiết bị'!$B$6:$B$65,0)),"Mã TB không tồn tại"))</f>
        <v/>
      </c>
      <c r="G393" s="28" t="str">
        <f t="array" ref="G393">IF($E393="","",IFERROR(INDEX('Danh mục thiết bị'!$D$6:$D$65,MATCH($E393,'Danh mục thiết bị'!$B$6:$B$65,0)),""))</f>
        <v/>
      </c>
      <c r="H393" s="29"/>
      <c r="I393" s="31"/>
      <c r="J393" s="34"/>
      <c r="K393" s="34"/>
      <c r="L393" s="35"/>
      <c r="M393" s="35"/>
      <c r="N393" s="35"/>
      <c r="O393" s="85" t="str">
        <f t="shared" si="2"/>
        <v/>
      </c>
      <c r="P393" s="29"/>
      <c r="Q393" s="27"/>
      <c r="R393" s="26" t="str">
        <f t="array" ref="R393">IF($E393="","",IF($B393="","Thiếu ngày thực hiện",IF(AND($D393&lt;&gt;"",IFERROR(INDEX('Kế hoạch định kỳ'!$C$6:$C$125,MATCH($D393,'Kế hoạch định kỳ'!$B$6:$B$125,0)),"")&lt;&gt;$E393),"Mã TB không khớp công việc",IF(AND(OR($C393="Bảo trì định kỳ",$C393="Hiệu chuẩn – kiểm định"),$D393=""),"Thiếu mã công việc kế hoạch",IF($Q393="","Thiếu kết quả","OK")))))</f>
        <v/>
      </c>
      <c r="S393" s="29"/>
    </row>
    <row r="394" ht="25.5" customHeight="1">
      <c r="A394" s="10" t="str">
        <f t="shared" si="1"/>
        <v/>
      </c>
      <c r="B394" s="13"/>
      <c r="C394" s="11"/>
      <c r="D394" s="11"/>
      <c r="E394" s="11"/>
      <c r="F394" s="14" t="str">
        <f t="array" ref="F394">IF($E394="","",IFERROR(INDEX('Danh mục thiết bị'!$C$6:$C$65,MATCH($E394,'Danh mục thiết bị'!$B$6:$B$65,0)),"Mã TB không tồn tại"))</f>
        <v/>
      </c>
      <c r="G394" s="14" t="str">
        <f t="array" ref="G394">IF($E394="","",IFERROR(INDEX('Danh mục thiết bị'!$D$6:$D$65,MATCH($E394,'Danh mục thiết bị'!$B$6:$B$65,0)),""))</f>
        <v/>
      </c>
      <c r="H394" s="15"/>
      <c r="I394" s="12"/>
      <c r="J394" s="19"/>
      <c r="K394" s="19"/>
      <c r="L394" s="20"/>
      <c r="M394" s="20"/>
      <c r="N394" s="20"/>
      <c r="O394" s="84" t="str">
        <f t="shared" si="2"/>
        <v/>
      </c>
      <c r="P394" s="15"/>
      <c r="Q394" s="11"/>
      <c r="R394" s="10" t="str">
        <f t="array" ref="R394">IF($E394="","",IF($B394="","Thiếu ngày thực hiện",IF(AND($D394&lt;&gt;"",IFERROR(INDEX('Kế hoạch định kỳ'!$C$6:$C$125,MATCH($D394,'Kế hoạch định kỳ'!$B$6:$B$125,0)),"")&lt;&gt;$E394),"Mã TB không khớp công việc",IF(AND(OR($C394="Bảo trì định kỳ",$C394="Hiệu chuẩn – kiểm định"),$D394=""),"Thiếu mã công việc kế hoạch",IF($Q394="","Thiếu kết quả","OK")))))</f>
        <v/>
      </c>
      <c r="S394" s="15"/>
    </row>
    <row r="395" ht="25.5" customHeight="1">
      <c r="A395" s="26" t="str">
        <f t="shared" si="1"/>
        <v/>
      </c>
      <c r="B395" s="32"/>
      <c r="C395" s="27"/>
      <c r="D395" s="27"/>
      <c r="E395" s="27"/>
      <c r="F395" s="28" t="str">
        <f t="array" ref="F395">IF($E395="","",IFERROR(INDEX('Danh mục thiết bị'!$C$6:$C$65,MATCH($E395,'Danh mục thiết bị'!$B$6:$B$65,0)),"Mã TB không tồn tại"))</f>
        <v/>
      </c>
      <c r="G395" s="28" t="str">
        <f t="array" ref="G395">IF($E395="","",IFERROR(INDEX('Danh mục thiết bị'!$D$6:$D$65,MATCH($E395,'Danh mục thiết bị'!$B$6:$B$65,0)),""))</f>
        <v/>
      </c>
      <c r="H395" s="29"/>
      <c r="I395" s="31"/>
      <c r="J395" s="34"/>
      <c r="K395" s="34"/>
      <c r="L395" s="35"/>
      <c r="M395" s="35"/>
      <c r="N395" s="35"/>
      <c r="O395" s="85" t="str">
        <f t="shared" si="2"/>
        <v/>
      </c>
      <c r="P395" s="29"/>
      <c r="Q395" s="27"/>
      <c r="R395" s="26" t="str">
        <f t="array" ref="R395">IF($E395="","",IF($B395="","Thiếu ngày thực hiện",IF(AND($D395&lt;&gt;"",IFERROR(INDEX('Kế hoạch định kỳ'!$C$6:$C$125,MATCH($D395,'Kế hoạch định kỳ'!$B$6:$B$125,0)),"")&lt;&gt;$E395),"Mã TB không khớp công việc",IF(AND(OR($C395="Bảo trì định kỳ",$C395="Hiệu chuẩn – kiểm định"),$D395=""),"Thiếu mã công việc kế hoạch",IF($Q395="","Thiếu kết quả","OK")))))</f>
        <v/>
      </c>
      <c r="S395" s="29"/>
    </row>
    <row r="396" ht="25.5" customHeight="1">
      <c r="A396" s="10" t="str">
        <f t="shared" si="1"/>
        <v/>
      </c>
      <c r="B396" s="13"/>
      <c r="C396" s="11"/>
      <c r="D396" s="11"/>
      <c r="E396" s="11"/>
      <c r="F396" s="14" t="str">
        <f t="array" ref="F396">IF($E396="","",IFERROR(INDEX('Danh mục thiết bị'!$C$6:$C$65,MATCH($E396,'Danh mục thiết bị'!$B$6:$B$65,0)),"Mã TB không tồn tại"))</f>
        <v/>
      </c>
      <c r="G396" s="14" t="str">
        <f t="array" ref="G396">IF($E396="","",IFERROR(INDEX('Danh mục thiết bị'!$D$6:$D$65,MATCH($E396,'Danh mục thiết bị'!$B$6:$B$65,0)),""))</f>
        <v/>
      </c>
      <c r="H396" s="15"/>
      <c r="I396" s="12"/>
      <c r="J396" s="19"/>
      <c r="K396" s="19"/>
      <c r="L396" s="20"/>
      <c r="M396" s="20"/>
      <c r="N396" s="20"/>
      <c r="O396" s="84" t="str">
        <f t="shared" si="2"/>
        <v/>
      </c>
      <c r="P396" s="15"/>
      <c r="Q396" s="11"/>
      <c r="R396" s="10" t="str">
        <f t="array" ref="R396">IF($E396="","",IF($B396="","Thiếu ngày thực hiện",IF(AND($D396&lt;&gt;"",IFERROR(INDEX('Kế hoạch định kỳ'!$C$6:$C$125,MATCH($D396,'Kế hoạch định kỳ'!$B$6:$B$125,0)),"")&lt;&gt;$E396),"Mã TB không khớp công việc",IF(AND(OR($C396="Bảo trì định kỳ",$C396="Hiệu chuẩn – kiểm định"),$D396=""),"Thiếu mã công việc kế hoạch",IF($Q396="","Thiếu kết quả","OK")))))</f>
        <v/>
      </c>
      <c r="S396" s="15"/>
    </row>
    <row r="397" ht="25.5" customHeight="1">
      <c r="A397" s="26" t="str">
        <f t="shared" si="1"/>
        <v/>
      </c>
      <c r="B397" s="32"/>
      <c r="C397" s="27"/>
      <c r="D397" s="27"/>
      <c r="E397" s="27"/>
      <c r="F397" s="28" t="str">
        <f t="array" ref="F397">IF($E397="","",IFERROR(INDEX('Danh mục thiết bị'!$C$6:$C$65,MATCH($E397,'Danh mục thiết bị'!$B$6:$B$65,0)),"Mã TB không tồn tại"))</f>
        <v/>
      </c>
      <c r="G397" s="28" t="str">
        <f t="array" ref="G397">IF($E397="","",IFERROR(INDEX('Danh mục thiết bị'!$D$6:$D$65,MATCH($E397,'Danh mục thiết bị'!$B$6:$B$65,0)),""))</f>
        <v/>
      </c>
      <c r="H397" s="29"/>
      <c r="I397" s="31"/>
      <c r="J397" s="34"/>
      <c r="K397" s="34"/>
      <c r="L397" s="35"/>
      <c r="M397" s="35"/>
      <c r="N397" s="35"/>
      <c r="O397" s="85" t="str">
        <f t="shared" si="2"/>
        <v/>
      </c>
      <c r="P397" s="29"/>
      <c r="Q397" s="27"/>
      <c r="R397" s="26" t="str">
        <f t="array" ref="R397">IF($E397="","",IF($B397="","Thiếu ngày thực hiện",IF(AND($D397&lt;&gt;"",IFERROR(INDEX('Kế hoạch định kỳ'!$C$6:$C$125,MATCH($D397,'Kế hoạch định kỳ'!$B$6:$B$125,0)),"")&lt;&gt;$E397),"Mã TB không khớp công việc",IF(AND(OR($C397="Bảo trì định kỳ",$C397="Hiệu chuẩn – kiểm định"),$D397=""),"Thiếu mã công việc kế hoạch",IF($Q397="","Thiếu kết quả","OK")))))</f>
        <v/>
      </c>
      <c r="S397" s="29"/>
    </row>
    <row r="398" ht="25.5" customHeight="1">
      <c r="A398" s="10" t="str">
        <f t="shared" si="1"/>
        <v/>
      </c>
      <c r="B398" s="13"/>
      <c r="C398" s="11"/>
      <c r="D398" s="11"/>
      <c r="E398" s="11"/>
      <c r="F398" s="14" t="str">
        <f t="array" ref="F398">IF($E398="","",IFERROR(INDEX('Danh mục thiết bị'!$C$6:$C$65,MATCH($E398,'Danh mục thiết bị'!$B$6:$B$65,0)),"Mã TB không tồn tại"))</f>
        <v/>
      </c>
      <c r="G398" s="14" t="str">
        <f t="array" ref="G398">IF($E398="","",IFERROR(INDEX('Danh mục thiết bị'!$D$6:$D$65,MATCH($E398,'Danh mục thiết bị'!$B$6:$B$65,0)),""))</f>
        <v/>
      </c>
      <c r="H398" s="15"/>
      <c r="I398" s="12"/>
      <c r="J398" s="19"/>
      <c r="K398" s="19"/>
      <c r="L398" s="20"/>
      <c r="M398" s="20"/>
      <c r="N398" s="20"/>
      <c r="O398" s="84" t="str">
        <f t="shared" si="2"/>
        <v/>
      </c>
      <c r="P398" s="15"/>
      <c r="Q398" s="11"/>
      <c r="R398" s="10" t="str">
        <f t="array" ref="R398">IF($E398="","",IF($B398="","Thiếu ngày thực hiện",IF(AND($D398&lt;&gt;"",IFERROR(INDEX('Kế hoạch định kỳ'!$C$6:$C$125,MATCH($D398,'Kế hoạch định kỳ'!$B$6:$B$125,0)),"")&lt;&gt;$E398),"Mã TB không khớp công việc",IF(AND(OR($C398="Bảo trì định kỳ",$C398="Hiệu chuẩn – kiểm định"),$D398=""),"Thiếu mã công việc kế hoạch",IF($Q398="","Thiếu kết quả","OK")))))</f>
        <v/>
      </c>
      <c r="S398" s="15"/>
    </row>
    <row r="399" ht="25.5" customHeight="1">
      <c r="A399" s="26" t="str">
        <f t="shared" si="1"/>
        <v/>
      </c>
      <c r="B399" s="32"/>
      <c r="C399" s="27"/>
      <c r="D399" s="27"/>
      <c r="E399" s="27"/>
      <c r="F399" s="28" t="str">
        <f t="array" ref="F399">IF($E399="","",IFERROR(INDEX('Danh mục thiết bị'!$C$6:$C$65,MATCH($E399,'Danh mục thiết bị'!$B$6:$B$65,0)),"Mã TB không tồn tại"))</f>
        <v/>
      </c>
      <c r="G399" s="28" t="str">
        <f t="array" ref="G399">IF($E399="","",IFERROR(INDEX('Danh mục thiết bị'!$D$6:$D$65,MATCH($E399,'Danh mục thiết bị'!$B$6:$B$65,0)),""))</f>
        <v/>
      </c>
      <c r="H399" s="29"/>
      <c r="I399" s="31"/>
      <c r="J399" s="34"/>
      <c r="K399" s="34"/>
      <c r="L399" s="35"/>
      <c r="M399" s="35"/>
      <c r="N399" s="35"/>
      <c r="O399" s="85" t="str">
        <f t="shared" si="2"/>
        <v/>
      </c>
      <c r="P399" s="29"/>
      <c r="Q399" s="27"/>
      <c r="R399" s="26" t="str">
        <f t="array" ref="R399">IF($E399="","",IF($B399="","Thiếu ngày thực hiện",IF(AND($D399&lt;&gt;"",IFERROR(INDEX('Kế hoạch định kỳ'!$C$6:$C$125,MATCH($D399,'Kế hoạch định kỳ'!$B$6:$B$125,0)),"")&lt;&gt;$E399),"Mã TB không khớp công việc",IF(AND(OR($C399="Bảo trì định kỳ",$C399="Hiệu chuẩn – kiểm định"),$D399=""),"Thiếu mã công việc kế hoạch",IF($Q399="","Thiếu kết quả","OK")))))</f>
        <v/>
      </c>
      <c r="S399" s="29"/>
    </row>
    <row r="400" ht="25.5" customHeight="1">
      <c r="A400" s="10" t="str">
        <f t="shared" si="1"/>
        <v/>
      </c>
      <c r="B400" s="13"/>
      <c r="C400" s="11"/>
      <c r="D400" s="11"/>
      <c r="E400" s="11"/>
      <c r="F400" s="14" t="str">
        <f t="array" ref="F400">IF($E400="","",IFERROR(INDEX('Danh mục thiết bị'!$C$6:$C$65,MATCH($E400,'Danh mục thiết bị'!$B$6:$B$65,0)),"Mã TB không tồn tại"))</f>
        <v/>
      </c>
      <c r="G400" s="14" t="str">
        <f t="array" ref="G400">IF($E400="","",IFERROR(INDEX('Danh mục thiết bị'!$D$6:$D$65,MATCH($E400,'Danh mục thiết bị'!$B$6:$B$65,0)),""))</f>
        <v/>
      </c>
      <c r="H400" s="15"/>
      <c r="I400" s="12"/>
      <c r="J400" s="19"/>
      <c r="K400" s="19"/>
      <c r="L400" s="20"/>
      <c r="M400" s="20"/>
      <c r="N400" s="20"/>
      <c r="O400" s="84" t="str">
        <f t="shared" si="2"/>
        <v/>
      </c>
      <c r="P400" s="15"/>
      <c r="Q400" s="11"/>
      <c r="R400" s="10" t="str">
        <f t="array" ref="R400">IF($E400="","",IF($B400="","Thiếu ngày thực hiện",IF(AND($D400&lt;&gt;"",IFERROR(INDEX('Kế hoạch định kỳ'!$C$6:$C$125,MATCH($D400,'Kế hoạch định kỳ'!$B$6:$B$125,0)),"")&lt;&gt;$E400),"Mã TB không khớp công việc",IF(AND(OR($C400="Bảo trì định kỳ",$C400="Hiệu chuẩn – kiểm định"),$D400=""),"Thiếu mã công việc kế hoạch",IF($Q400="","Thiếu kết quả","OK")))))</f>
        <v/>
      </c>
      <c r="S400" s="15"/>
    </row>
    <row r="401" ht="25.5" customHeight="1">
      <c r="A401" s="26" t="str">
        <f t="shared" si="1"/>
        <v/>
      </c>
      <c r="B401" s="32"/>
      <c r="C401" s="27"/>
      <c r="D401" s="27"/>
      <c r="E401" s="27"/>
      <c r="F401" s="28" t="str">
        <f t="array" ref="F401">IF($E401="","",IFERROR(INDEX('Danh mục thiết bị'!$C$6:$C$65,MATCH($E401,'Danh mục thiết bị'!$B$6:$B$65,0)),"Mã TB không tồn tại"))</f>
        <v/>
      </c>
      <c r="G401" s="28" t="str">
        <f t="array" ref="G401">IF($E401="","",IFERROR(INDEX('Danh mục thiết bị'!$D$6:$D$65,MATCH($E401,'Danh mục thiết bị'!$B$6:$B$65,0)),""))</f>
        <v/>
      </c>
      <c r="H401" s="29"/>
      <c r="I401" s="31"/>
      <c r="J401" s="34"/>
      <c r="K401" s="34"/>
      <c r="L401" s="35"/>
      <c r="M401" s="35"/>
      <c r="N401" s="35"/>
      <c r="O401" s="85" t="str">
        <f t="shared" si="2"/>
        <v/>
      </c>
      <c r="P401" s="29"/>
      <c r="Q401" s="27"/>
      <c r="R401" s="26" t="str">
        <f t="array" ref="R401">IF($E401="","",IF($B401="","Thiếu ngày thực hiện",IF(AND($D401&lt;&gt;"",IFERROR(INDEX('Kế hoạch định kỳ'!$C$6:$C$125,MATCH($D401,'Kế hoạch định kỳ'!$B$6:$B$125,0)),"")&lt;&gt;$E401),"Mã TB không khớp công việc",IF(AND(OR($C401="Bảo trì định kỳ",$C401="Hiệu chuẩn – kiểm định"),$D401=""),"Thiếu mã công việc kế hoạch",IF($Q401="","Thiếu kết quả","OK")))))</f>
        <v/>
      </c>
      <c r="S401" s="29"/>
    </row>
    <row r="402" ht="25.5" customHeight="1">
      <c r="A402" s="10" t="str">
        <f t="shared" si="1"/>
        <v/>
      </c>
      <c r="B402" s="13"/>
      <c r="C402" s="11"/>
      <c r="D402" s="11"/>
      <c r="E402" s="11"/>
      <c r="F402" s="14" t="str">
        <f t="array" ref="F402">IF($E402="","",IFERROR(INDEX('Danh mục thiết bị'!$C$6:$C$65,MATCH($E402,'Danh mục thiết bị'!$B$6:$B$65,0)),"Mã TB không tồn tại"))</f>
        <v/>
      </c>
      <c r="G402" s="14" t="str">
        <f t="array" ref="G402">IF($E402="","",IFERROR(INDEX('Danh mục thiết bị'!$D$6:$D$65,MATCH($E402,'Danh mục thiết bị'!$B$6:$B$65,0)),""))</f>
        <v/>
      </c>
      <c r="H402" s="15"/>
      <c r="I402" s="12"/>
      <c r="J402" s="19"/>
      <c r="K402" s="19"/>
      <c r="L402" s="20"/>
      <c r="M402" s="20"/>
      <c r="N402" s="20"/>
      <c r="O402" s="84" t="str">
        <f t="shared" si="2"/>
        <v/>
      </c>
      <c r="P402" s="15"/>
      <c r="Q402" s="11"/>
      <c r="R402" s="10" t="str">
        <f t="array" ref="R402">IF($E402="","",IF($B402="","Thiếu ngày thực hiện",IF(AND($D402&lt;&gt;"",IFERROR(INDEX('Kế hoạch định kỳ'!$C$6:$C$125,MATCH($D402,'Kế hoạch định kỳ'!$B$6:$B$125,0)),"")&lt;&gt;$E402),"Mã TB không khớp công việc",IF(AND(OR($C402="Bảo trì định kỳ",$C402="Hiệu chuẩn – kiểm định"),$D402=""),"Thiếu mã công việc kế hoạch",IF($Q402="","Thiếu kết quả","OK")))))</f>
        <v/>
      </c>
      <c r="S402" s="15"/>
    </row>
    <row r="403" ht="25.5" customHeight="1">
      <c r="A403" s="26" t="str">
        <f t="shared" si="1"/>
        <v/>
      </c>
      <c r="B403" s="32"/>
      <c r="C403" s="27"/>
      <c r="D403" s="27"/>
      <c r="E403" s="27"/>
      <c r="F403" s="28" t="str">
        <f t="array" ref="F403">IF($E403="","",IFERROR(INDEX('Danh mục thiết bị'!$C$6:$C$65,MATCH($E403,'Danh mục thiết bị'!$B$6:$B$65,0)),"Mã TB không tồn tại"))</f>
        <v/>
      </c>
      <c r="G403" s="28" t="str">
        <f t="array" ref="G403">IF($E403="","",IFERROR(INDEX('Danh mục thiết bị'!$D$6:$D$65,MATCH($E403,'Danh mục thiết bị'!$B$6:$B$65,0)),""))</f>
        <v/>
      </c>
      <c r="H403" s="29"/>
      <c r="I403" s="31"/>
      <c r="J403" s="34"/>
      <c r="K403" s="34"/>
      <c r="L403" s="35"/>
      <c r="M403" s="35"/>
      <c r="N403" s="35"/>
      <c r="O403" s="85" t="str">
        <f t="shared" si="2"/>
        <v/>
      </c>
      <c r="P403" s="29"/>
      <c r="Q403" s="27"/>
      <c r="R403" s="26" t="str">
        <f t="array" ref="R403">IF($E403="","",IF($B403="","Thiếu ngày thực hiện",IF(AND($D403&lt;&gt;"",IFERROR(INDEX('Kế hoạch định kỳ'!$C$6:$C$125,MATCH($D403,'Kế hoạch định kỳ'!$B$6:$B$125,0)),"")&lt;&gt;$E403),"Mã TB không khớp công việc",IF(AND(OR($C403="Bảo trì định kỳ",$C403="Hiệu chuẩn – kiểm định"),$D403=""),"Thiếu mã công việc kế hoạch",IF($Q403="","Thiếu kết quả","OK")))))</f>
        <v/>
      </c>
      <c r="S403" s="29"/>
    </row>
    <row r="404" ht="25.5" customHeight="1">
      <c r="A404" s="10" t="str">
        <f t="shared" si="1"/>
        <v/>
      </c>
      <c r="B404" s="13"/>
      <c r="C404" s="11"/>
      <c r="D404" s="11"/>
      <c r="E404" s="11"/>
      <c r="F404" s="14" t="str">
        <f t="array" ref="F404">IF($E404="","",IFERROR(INDEX('Danh mục thiết bị'!$C$6:$C$65,MATCH($E404,'Danh mục thiết bị'!$B$6:$B$65,0)),"Mã TB không tồn tại"))</f>
        <v/>
      </c>
      <c r="G404" s="14" t="str">
        <f t="array" ref="G404">IF($E404="","",IFERROR(INDEX('Danh mục thiết bị'!$D$6:$D$65,MATCH($E404,'Danh mục thiết bị'!$B$6:$B$65,0)),""))</f>
        <v/>
      </c>
      <c r="H404" s="15"/>
      <c r="I404" s="12"/>
      <c r="J404" s="19"/>
      <c r="K404" s="19"/>
      <c r="L404" s="20"/>
      <c r="M404" s="20"/>
      <c r="N404" s="20"/>
      <c r="O404" s="84" t="str">
        <f t="shared" si="2"/>
        <v/>
      </c>
      <c r="P404" s="15"/>
      <c r="Q404" s="11"/>
      <c r="R404" s="10" t="str">
        <f t="array" ref="R404">IF($E404="","",IF($B404="","Thiếu ngày thực hiện",IF(AND($D404&lt;&gt;"",IFERROR(INDEX('Kế hoạch định kỳ'!$C$6:$C$125,MATCH($D404,'Kế hoạch định kỳ'!$B$6:$B$125,0)),"")&lt;&gt;$E404),"Mã TB không khớp công việc",IF(AND(OR($C404="Bảo trì định kỳ",$C404="Hiệu chuẩn – kiểm định"),$D404=""),"Thiếu mã công việc kế hoạch",IF($Q404="","Thiếu kết quả","OK")))))</f>
        <v/>
      </c>
      <c r="S404" s="15"/>
    </row>
    <row r="405" ht="25.5" customHeight="1">
      <c r="A405" s="26" t="str">
        <f t="shared" si="1"/>
        <v/>
      </c>
      <c r="B405" s="32"/>
      <c r="C405" s="27"/>
      <c r="D405" s="27"/>
      <c r="E405" s="27"/>
      <c r="F405" s="28" t="str">
        <f t="array" ref="F405">IF($E405="","",IFERROR(INDEX('Danh mục thiết bị'!$C$6:$C$65,MATCH($E405,'Danh mục thiết bị'!$B$6:$B$65,0)),"Mã TB không tồn tại"))</f>
        <v/>
      </c>
      <c r="G405" s="28" t="str">
        <f t="array" ref="G405">IF($E405="","",IFERROR(INDEX('Danh mục thiết bị'!$D$6:$D$65,MATCH($E405,'Danh mục thiết bị'!$B$6:$B$65,0)),""))</f>
        <v/>
      </c>
      <c r="H405" s="29"/>
      <c r="I405" s="31"/>
      <c r="J405" s="34"/>
      <c r="K405" s="34"/>
      <c r="L405" s="35"/>
      <c r="M405" s="35"/>
      <c r="N405" s="35"/>
      <c r="O405" s="85" t="str">
        <f t="shared" si="2"/>
        <v/>
      </c>
      <c r="P405" s="29"/>
      <c r="Q405" s="27"/>
      <c r="R405" s="26" t="str">
        <f t="array" ref="R405">IF($E405="","",IF($B405="","Thiếu ngày thực hiện",IF(AND($D405&lt;&gt;"",IFERROR(INDEX('Kế hoạch định kỳ'!$C$6:$C$125,MATCH($D405,'Kế hoạch định kỳ'!$B$6:$B$125,0)),"")&lt;&gt;$E405),"Mã TB không khớp công việc",IF(AND(OR($C405="Bảo trì định kỳ",$C405="Hiệu chuẩn – kiểm định"),$D405=""),"Thiếu mã công việc kế hoạch",IF($Q405="","Thiếu kết quả","OK")))))</f>
        <v/>
      </c>
      <c r="S405" s="29"/>
    </row>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S1"/>
    <mergeCell ref="A2:S2"/>
    <mergeCell ref="A4:H4"/>
    <mergeCell ref="I4:K4"/>
    <mergeCell ref="L4:O4"/>
    <mergeCell ref="P4:S4"/>
  </mergeCells>
  <conditionalFormatting sqref="R6:R405">
    <cfRule type="expression" dxfId="0" priority="1">
      <formula>AND($R6&lt;&gt;"",$R6&lt;&gt;"OK")</formula>
    </cfRule>
  </conditionalFormatting>
  <conditionalFormatting sqref="R6:R405">
    <cfRule type="cellIs" dxfId="3" priority="2" operator="equal">
      <formula>"OK"</formula>
    </cfRule>
  </conditionalFormatting>
  <conditionalFormatting sqref="Q6:Q405">
    <cfRule type="cellIs" dxfId="1" priority="3" operator="equal">
      <formula>"Hoàn thành"</formula>
    </cfRule>
  </conditionalFormatting>
  <conditionalFormatting sqref="Q6:Q405">
    <cfRule type="expression" dxfId="4" priority="4">
      <formula>OR($Q6="Hoãn",LEFT($Q6,5)="Chưa ")</formula>
    </cfRule>
  </conditionalFormatting>
  <conditionalFormatting sqref="C6:C405">
    <cfRule type="cellIs" dxfId="2" priority="5" operator="equal">
      <formula>"Sửa chữa sự cố"</formula>
    </cfRule>
  </conditionalFormatting>
  <dataValidations>
    <dataValidation type="list" allowBlank="1" sqref="I6:I405">
      <formula1>'Cài đặt'!$A$85:$A$99</formula1>
    </dataValidation>
    <dataValidation type="list" allowBlank="1" sqref="Q6:Q405">
      <formula1>'Cài đặt'!$A$78:$A$81</formula1>
    </dataValidation>
    <dataValidation type="date" operator="greaterThan" allowBlank="1" sqref="B6:B405">
      <formula1>36526.0</formula1>
    </dataValidation>
    <dataValidation type="list" allowBlank="1" sqref="C6:C405">
      <formula1>'Cài đặt'!$A$70:$A$74</formula1>
    </dataValidation>
    <dataValidation type="list" allowBlank="1" sqref="E6:E405">
      <formula1>'Danh mục thiết bị'!$B$6:$B$65</formula1>
    </dataValidation>
    <dataValidation type="list" allowBlank="1" sqref="D6:D405">
      <formula1>'Kế hoạch định kỳ'!$B$6:$B$125</formula1>
    </dataValidation>
    <dataValidation type="decimal" operator="greaterThanOrEqual" allowBlank="1" sqref="J6:N405">
      <formula1>0.0</formula1>
    </dataValidation>
  </dataValidations>
  <printOptions/>
  <pageMargins bottom="1.0" footer="0.0" header="0.0" left="0.75" right="0.75" top="1.0"/>
  <pageSetup fitToHeight="0" paperSize="8"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1717A"/>
    <pageSetUpPr/>
  </sheetPr>
  <sheetViews>
    <sheetView showGridLines="0" workbookViewId="0"/>
  </sheetViews>
  <sheetFormatPr customHeight="1" defaultColWidth="14.43" defaultRowHeight="15.0"/>
  <cols>
    <col customWidth="1" min="1" max="1" width="38.0"/>
    <col customWidth="1" min="2" max="2" width="44.0"/>
    <col customWidth="1" min="3" max="3" width="26.0"/>
    <col customWidth="1" min="4" max="26" width="8.71"/>
  </cols>
  <sheetData>
    <row r="1" ht="42.0" customHeight="1">
      <c r="A1" s="1" t="s">
        <v>309</v>
      </c>
      <c r="B1" s="2"/>
      <c r="C1" s="3"/>
    </row>
    <row r="2" ht="19.5" customHeight="1">
      <c r="A2" s="4" t="s">
        <v>310</v>
      </c>
    </row>
    <row r="4" ht="24.0" customHeight="1">
      <c r="A4" s="68" t="s">
        <v>311</v>
      </c>
      <c r="B4" s="2"/>
      <c r="C4" s="3"/>
    </row>
    <row r="5" ht="25.5" customHeight="1">
      <c r="A5" s="8" t="s">
        <v>18</v>
      </c>
      <c r="B5" s="8" t="s">
        <v>312</v>
      </c>
    </row>
    <row r="6" ht="21.75" customHeight="1">
      <c r="A6" s="12" t="s">
        <v>61</v>
      </c>
      <c r="B6" s="12" t="s">
        <v>313</v>
      </c>
    </row>
    <row r="7" ht="21.75" customHeight="1">
      <c r="A7" s="31" t="s">
        <v>114</v>
      </c>
      <c r="B7" s="31" t="s">
        <v>314</v>
      </c>
    </row>
    <row r="8" ht="21.75" customHeight="1">
      <c r="A8" s="12" t="s">
        <v>98</v>
      </c>
      <c r="B8" s="12" t="s">
        <v>315</v>
      </c>
    </row>
    <row r="9" ht="21.75" customHeight="1">
      <c r="A9" s="31" t="s">
        <v>136</v>
      </c>
      <c r="B9" s="31" t="s">
        <v>316</v>
      </c>
    </row>
    <row r="10" ht="21.75" customHeight="1">
      <c r="A10" s="12" t="s">
        <v>167</v>
      </c>
      <c r="B10" s="12" t="s">
        <v>317</v>
      </c>
    </row>
    <row r="11" ht="21.75" customHeight="1">
      <c r="A11" s="31" t="s">
        <v>184</v>
      </c>
      <c r="B11" s="31" t="s">
        <v>318</v>
      </c>
    </row>
    <row r="12" ht="21.75" customHeight="1">
      <c r="A12" s="12" t="s">
        <v>218</v>
      </c>
      <c r="B12" s="12" t="s">
        <v>319</v>
      </c>
    </row>
    <row r="13" ht="21.75" customHeight="1">
      <c r="A13" s="31" t="s">
        <v>320</v>
      </c>
      <c r="B13" s="31"/>
    </row>
    <row r="14" ht="21.75" customHeight="1">
      <c r="A14" s="12"/>
      <c r="B14" s="12"/>
    </row>
    <row r="15" ht="21.75" customHeight="1">
      <c r="A15" s="31"/>
      <c r="B15" s="31"/>
    </row>
    <row r="17" ht="24.0" customHeight="1">
      <c r="A17" s="68" t="s">
        <v>321</v>
      </c>
      <c r="B17" s="2"/>
      <c r="C17" s="3"/>
    </row>
    <row r="18" ht="25.5" customHeight="1">
      <c r="A18" s="8" t="s">
        <v>322</v>
      </c>
      <c r="B18" s="8" t="s">
        <v>47</v>
      </c>
    </row>
    <row r="19" ht="21.75" customHeight="1">
      <c r="A19" s="12" t="s">
        <v>62</v>
      </c>
      <c r="B19" s="12"/>
    </row>
    <row r="20" ht="21.75" customHeight="1">
      <c r="A20" s="31" t="s">
        <v>168</v>
      </c>
      <c r="B20" s="31"/>
    </row>
    <row r="21" ht="21.75" customHeight="1">
      <c r="A21" s="12" t="s">
        <v>185</v>
      </c>
      <c r="B21" s="12"/>
    </row>
    <row r="22" ht="21.75" customHeight="1">
      <c r="A22" s="31" t="s">
        <v>115</v>
      </c>
      <c r="B22" s="31"/>
    </row>
    <row r="23" ht="21.75" customHeight="1">
      <c r="A23" s="12" t="s">
        <v>99</v>
      </c>
      <c r="B23" s="12"/>
    </row>
    <row r="24" ht="21.75" customHeight="1">
      <c r="A24" s="31" t="s">
        <v>137</v>
      </c>
      <c r="B24" s="31"/>
    </row>
    <row r="25" ht="21.75" customHeight="1">
      <c r="A25" s="12" t="s">
        <v>219</v>
      </c>
      <c r="B25" s="12"/>
    </row>
    <row r="26" ht="21.75" customHeight="1">
      <c r="A26" s="31"/>
      <c r="B26" s="31"/>
    </row>
    <row r="27" ht="21.75" customHeight="1">
      <c r="A27" s="12"/>
      <c r="B27" s="12"/>
    </row>
    <row r="28" ht="21.75" customHeight="1">
      <c r="A28" s="31"/>
      <c r="B28" s="31"/>
    </row>
    <row r="29" ht="15.75" customHeight="1"/>
    <row r="30" ht="24.0" customHeight="1">
      <c r="A30" s="68" t="s">
        <v>323</v>
      </c>
      <c r="B30" s="2"/>
      <c r="C30" s="3"/>
    </row>
    <row r="31" ht="25.5" customHeight="1">
      <c r="A31" s="8" t="s">
        <v>324</v>
      </c>
      <c r="B31" s="8" t="s">
        <v>325</v>
      </c>
    </row>
    <row r="32" ht="21.75" customHeight="1">
      <c r="A32" s="12" t="s">
        <v>65</v>
      </c>
      <c r="B32" s="12" t="s">
        <v>326</v>
      </c>
    </row>
    <row r="33" ht="21.75" customHeight="1">
      <c r="A33" s="31" t="s">
        <v>84</v>
      </c>
      <c r="B33" s="31" t="s">
        <v>327</v>
      </c>
    </row>
    <row r="34" ht="21.75" customHeight="1">
      <c r="A34" s="12" t="s">
        <v>222</v>
      </c>
      <c r="B34" s="12" t="s">
        <v>328</v>
      </c>
    </row>
    <row r="35" ht="21.75" customHeight="1">
      <c r="A35" s="31"/>
      <c r="B35" s="31"/>
    </row>
    <row r="36" ht="15.75" customHeight="1"/>
    <row r="37" ht="24.0" customHeight="1">
      <c r="A37" s="68" t="s">
        <v>329</v>
      </c>
      <c r="B37" s="2"/>
      <c r="C37" s="3"/>
    </row>
    <row r="38" ht="25.5" customHeight="1">
      <c r="A38" s="8" t="s">
        <v>27</v>
      </c>
      <c r="B38" s="8" t="s">
        <v>325</v>
      </c>
    </row>
    <row r="39" ht="21.75" customHeight="1">
      <c r="A39" s="12" t="s">
        <v>66</v>
      </c>
      <c r="B39" s="12" t="s">
        <v>330</v>
      </c>
    </row>
    <row r="40" ht="21.75" customHeight="1">
      <c r="A40" s="31" t="s">
        <v>188</v>
      </c>
      <c r="B40" s="31" t="s">
        <v>331</v>
      </c>
    </row>
    <row r="41" ht="21.75" customHeight="1">
      <c r="A41" s="12" t="s">
        <v>332</v>
      </c>
      <c r="B41" s="12" t="s">
        <v>333</v>
      </c>
    </row>
    <row r="42" ht="21.75" customHeight="1">
      <c r="A42" s="31" t="s">
        <v>334</v>
      </c>
      <c r="B42" s="31" t="s">
        <v>335</v>
      </c>
    </row>
    <row r="43" ht="21.75" customHeight="1">
      <c r="A43" s="12"/>
      <c r="B43" s="12"/>
    </row>
    <row r="44" ht="15.75" customHeight="1"/>
    <row r="45" ht="24.0" customHeight="1">
      <c r="A45" s="68" t="s">
        <v>336</v>
      </c>
      <c r="B45" s="2"/>
      <c r="C45" s="3"/>
    </row>
    <row r="46" ht="25.5" customHeight="1">
      <c r="A46" s="8" t="s">
        <v>26</v>
      </c>
      <c r="B46" s="8" t="s">
        <v>337</v>
      </c>
      <c r="C46" s="8" t="s">
        <v>47</v>
      </c>
    </row>
    <row r="47" ht="21.75" customHeight="1">
      <c r="A47" s="12" t="s">
        <v>338</v>
      </c>
      <c r="B47" s="89">
        <v>1.0</v>
      </c>
      <c r="C47" s="12" t="s">
        <v>339</v>
      </c>
    </row>
    <row r="48" ht="21.75" customHeight="1">
      <c r="A48" s="31" t="s">
        <v>340</v>
      </c>
      <c r="B48" s="90">
        <v>7.0</v>
      </c>
      <c r="C48" s="31"/>
    </row>
    <row r="49" ht="21.75" customHeight="1">
      <c r="A49" s="12" t="s">
        <v>111</v>
      </c>
      <c r="B49" s="89">
        <v>14.0</v>
      </c>
      <c r="C49" s="12"/>
    </row>
    <row r="50" ht="21.75" customHeight="1">
      <c r="A50" s="31" t="s">
        <v>71</v>
      </c>
      <c r="B50" s="90">
        <v>30.0</v>
      </c>
      <c r="C50" s="31" t="s">
        <v>341</v>
      </c>
    </row>
    <row r="51" ht="21.75" customHeight="1">
      <c r="A51" s="12" t="s">
        <v>95</v>
      </c>
      <c r="B51" s="89">
        <v>60.0</v>
      </c>
      <c r="C51" s="12"/>
    </row>
    <row r="52" ht="21.75" customHeight="1">
      <c r="A52" s="31" t="s">
        <v>79</v>
      </c>
      <c r="B52" s="90">
        <v>90.0</v>
      </c>
      <c r="C52" s="31"/>
    </row>
    <row r="53" ht="21.75" customHeight="1">
      <c r="A53" s="12" t="s">
        <v>122</v>
      </c>
      <c r="B53" s="89">
        <v>180.0</v>
      </c>
      <c r="C53" s="12"/>
    </row>
    <row r="54" ht="21.75" customHeight="1">
      <c r="A54" s="31" t="s">
        <v>90</v>
      </c>
      <c r="B54" s="90">
        <v>365.0</v>
      </c>
      <c r="C54" s="31"/>
    </row>
    <row r="55" ht="21.75" customHeight="1">
      <c r="A55" s="12"/>
      <c r="B55" s="89"/>
      <c r="C55" s="12"/>
    </row>
    <row r="56" ht="21.75" customHeight="1">
      <c r="A56" s="31"/>
      <c r="B56" s="90"/>
      <c r="C56" s="31"/>
    </row>
    <row r="57" ht="15.75" customHeight="1"/>
    <row r="58" ht="24.0" customHeight="1">
      <c r="A58" s="68" t="s">
        <v>342</v>
      </c>
      <c r="B58" s="2"/>
      <c r="C58" s="3"/>
    </row>
    <row r="59" ht="25.5" customHeight="1">
      <c r="A59" s="8" t="s">
        <v>29</v>
      </c>
      <c r="B59" s="8" t="s">
        <v>47</v>
      </c>
    </row>
    <row r="60" ht="21.75" customHeight="1">
      <c r="A60" s="12" t="s">
        <v>78</v>
      </c>
      <c r="B60" s="12"/>
    </row>
    <row r="61" ht="21.75" customHeight="1">
      <c r="A61" s="31" t="s">
        <v>70</v>
      </c>
      <c r="B61" s="31"/>
    </row>
    <row r="62" ht="21.75" customHeight="1">
      <c r="A62" s="12" t="s">
        <v>94</v>
      </c>
      <c r="B62" s="12"/>
    </row>
    <row r="63" ht="21.75" customHeight="1">
      <c r="A63" s="31" t="s">
        <v>129</v>
      </c>
      <c r="B63" s="31"/>
    </row>
    <row r="64" ht="21.75" customHeight="1">
      <c r="A64" s="12" t="s">
        <v>89</v>
      </c>
      <c r="B64" s="12"/>
    </row>
    <row r="65" ht="21.75" customHeight="1">
      <c r="A65" s="31"/>
      <c r="B65" s="31"/>
    </row>
    <row r="66" ht="21.75" customHeight="1">
      <c r="A66" s="12"/>
      <c r="B66" s="12"/>
    </row>
    <row r="67" ht="15.75" customHeight="1"/>
    <row r="68" ht="24.0" customHeight="1">
      <c r="A68" s="68" t="s">
        <v>343</v>
      </c>
      <c r="B68" s="2"/>
      <c r="C68" s="3"/>
    </row>
    <row r="69" ht="25.5" customHeight="1">
      <c r="A69" s="8" t="s">
        <v>274</v>
      </c>
      <c r="B69" s="8" t="s">
        <v>325</v>
      </c>
    </row>
    <row r="70" ht="21.75" customHeight="1">
      <c r="A70" s="12" t="s">
        <v>284</v>
      </c>
      <c r="B70" s="12" t="s">
        <v>344</v>
      </c>
    </row>
    <row r="71" ht="21.75" customHeight="1">
      <c r="A71" s="31" t="s">
        <v>287</v>
      </c>
      <c r="B71" s="31" t="s">
        <v>345</v>
      </c>
    </row>
    <row r="72" ht="21.75" customHeight="1">
      <c r="A72" s="12" t="s">
        <v>286</v>
      </c>
      <c r="B72" s="12" t="s">
        <v>346</v>
      </c>
    </row>
    <row r="73" ht="21.75" customHeight="1">
      <c r="A73" s="31" t="s">
        <v>294</v>
      </c>
      <c r="B73" s="31" t="s">
        <v>347</v>
      </c>
    </row>
    <row r="74" ht="21.75" customHeight="1">
      <c r="A74" s="12"/>
      <c r="B74" s="12"/>
    </row>
    <row r="75" ht="15.75" customHeight="1"/>
    <row r="76" ht="24.0" customHeight="1">
      <c r="A76" s="68" t="s">
        <v>348</v>
      </c>
      <c r="B76" s="2"/>
      <c r="C76" s="3"/>
    </row>
    <row r="77" ht="25.5" customHeight="1">
      <c r="A77" s="8" t="s">
        <v>281</v>
      </c>
      <c r="B77" s="8" t="s">
        <v>325</v>
      </c>
    </row>
    <row r="78" ht="21.75" customHeight="1">
      <c r="A78" s="12" t="s">
        <v>285</v>
      </c>
      <c r="B78" s="12" t="s">
        <v>349</v>
      </c>
    </row>
    <row r="79" ht="21.75" customHeight="1">
      <c r="A79" s="31" t="s">
        <v>307</v>
      </c>
      <c r="B79" s="31" t="s">
        <v>350</v>
      </c>
    </row>
    <row r="80" ht="21.75" customHeight="1">
      <c r="A80" s="12" t="s">
        <v>351</v>
      </c>
      <c r="B80" s="12" t="s">
        <v>352</v>
      </c>
    </row>
    <row r="81" ht="21.75" customHeight="1">
      <c r="A81" s="31"/>
      <c r="B81" s="31"/>
    </row>
    <row r="82" ht="15.75" customHeight="1"/>
    <row r="83" ht="24.0" customHeight="1">
      <c r="A83" s="68" t="s">
        <v>353</v>
      </c>
      <c r="B83" s="2"/>
      <c r="C83" s="3"/>
    </row>
    <row r="84" ht="25.5" customHeight="1">
      <c r="A84" s="8" t="s">
        <v>255</v>
      </c>
      <c r="B84" s="8" t="s">
        <v>354</v>
      </c>
    </row>
    <row r="85" ht="21.75" customHeight="1">
      <c r="A85" s="12" t="s">
        <v>67</v>
      </c>
      <c r="B85" s="12" t="s">
        <v>355</v>
      </c>
    </row>
    <row r="86" ht="21.75" customHeight="1">
      <c r="A86" s="31" t="s">
        <v>74</v>
      </c>
      <c r="B86" s="31" t="s">
        <v>356</v>
      </c>
    </row>
    <row r="87" ht="21.75" customHeight="1">
      <c r="A87" s="12" t="s">
        <v>107</v>
      </c>
      <c r="B87" s="12" t="s">
        <v>357</v>
      </c>
    </row>
    <row r="88" ht="21.75" customHeight="1">
      <c r="A88" s="31" t="s">
        <v>102</v>
      </c>
      <c r="B88" s="31" t="s">
        <v>358</v>
      </c>
    </row>
    <row r="89" ht="21.75" customHeight="1">
      <c r="A89" s="12" t="s">
        <v>223</v>
      </c>
      <c r="B89" s="12" t="s">
        <v>359</v>
      </c>
    </row>
    <row r="90" ht="21.75" customHeight="1">
      <c r="A90" s="31" t="s">
        <v>191</v>
      </c>
      <c r="B90" s="31" t="s">
        <v>360</v>
      </c>
    </row>
    <row r="91" ht="21.75" customHeight="1">
      <c r="A91" s="12"/>
      <c r="B91" s="12"/>
    </row>
    <row r="92" ht="21.75" customHeight="1">
      <c r="A92" s="31"/>
      <c r="B92" s="31"/>
    </row>
    <row r="93" ht="21.75" customHeight="1">
      <c r="A93" s="12"/>
      <c r="B93" s="12"/>
    </row>
    <row r="94" ht="21.75" customHeight="1">
      <c r="A94" s="31"/>
      <c r="B94" s="31"/>
    </row>
    <row r="95" ht="21.75" customHeight="1">
      <c r="A95" s="12"/>
      <c r="B95" s="12"/>
    </row>
    <row r="96" ht="21.75" customHeight="1">
      <c r="A96" s="31"/>
      <c r="B96" s="31"/>
    </row>
    <row r="97" ht="21.75" customHeight="1">
      <c r="A97" s="12"/>
      <c r="B97" s="12"/>
    </row>
    <row r="98" ht="21.75" customHeight="1">
      <c r="A98" s="31"/>
      <c r="B98" s="31"/>
    </row>
    <row r="99" ht="21.75" customHeight="1">
      <c r="A99" s="12"/>
      <c r="B99" s="12"/>
    </row>
    <row r="100" ht="15.75" customHeight="1"/>
    <row r="101" ht="24.0" customHeight="1">
      <c r="A101" s="68" t="s">
        <v>361</v>
      </c>
      <c r="B101" s="2"/>
      <c r="C101" s="3"/>
    </row>
    <row r="102" ht="15.75" customHeight="1">
      <c r="A102" s="14" t="s">
        <v>362</v>
      </c>
      <c r="B102" s="91">
        <v>7.0</v>
      </c>
    </row>
    <row r="103" ht="15.75" customHeight="1">
      <c r="A103" s="28" t="s">
        <v>363</v>
      </c>
      <c r="B103" s="92">
        <v>60.0</v>
      </c>
    </row>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2">
    <mergeCell ref="A58:C58"/>
    <mergeCell ref="A68:C68"/>
    <mergeCell ref="A76:C76"/>
    <mergeCell ref="A83:C83"/>
    <mergeCell ref="A101:C101"/>
    <mergeCell ref="A1:C1"/>
    <mergeCell ref="A2:C2"/>
    <mergeCell ref="A4:C4"/>
    <mergeCell ref="A17:C17"/>
    <mergeCell ref="A30:C30"/>
    <mergeCell ref="A37:C37"/>
    <mergeCell ref="A45:C45"/>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2026-10-30T07:49:54Z</dcterms:created>
  <dc:creator>openpyxl</dc:creator>
</cp:coreProperties>
</file>

<file path=docProps/custom.xml><?xml version="1.0" encoding="utf-8"?>
<Properties xmlns="http://schemas.openxmlformats.org/officeDocument/2006/custom-properties" xmlns:vt="http://schemas.openxmlformats.org/officeDocument/2006/docPropsVTypes"/>
</file>