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ổng quan" sheetId="1" r:id="rId4"/>
    <sheet state="visible" name="Lịch nội dung" sheetId="2" r:id="rId5"/>
    <sheet state="visible" name="Lịch tổng thể" sheetId="3" r:id="rId6"/>
    <sheet state="visible" name="Kho ý tưởng" sheetId="4" r:id="rId7"/>
    <sheet state="visible" name="Cài đặt" sheetId="5" r:id="rId8"/>
  </sheets>
  <definedNames/>
  <calcPr/>
  <extLst>
    <ext uri="GoogleSheetsCustomDataVersion2">
      <go:sheetsCustomData xmlns:go="http://customooxmlschemas.google.com/" r:id="rId9" roundtripDataChecksum="z9143cLEIVAwgaN991TzAHe/zQBmfSy/uB/MeAl3Ymo="/>
    </ext>
  </extLst>
</workbook>
</file>

<file path=xl/sharedStrings.xml><?xml version="1.0" encoding="utf-8"?>
<sst xmlns="http://schemas.openxmlformats.org/spreadsheetml/2006/main" count="630" uniqueCount="347">
  <si>
    <t>LỊCH ĐĂNG TỔNG THỂ 6 TUẦN</t>
  </si>
  <si>
    <t>LỊCH NỘI DUNG CHI TIẾT</t>
  </si>
  <si>
    <t>Mỗi dòng là một nội dung. Chữ xanh dương = ô nhập; chữ đen = ô tự tính. Cập nhật trạng thái và kết quả để các báo cáo tự động chạy.</t>
  </si>
  <si>
    <t>LỊCH ĐĂNG</t>
  </si>
  <si>
    <t>CHIẾN LƯỢC NỘI DUNG</t>
  </si>
  <si>
    <t>SẢN XUẤT, DUYỆT VÀ TIẾN ĐỘ</t>
  </si>
  <si>
    <t>Hiển thị từ ngày (để trống = tuần đầu của kế hoạch)</t>
  </si>
  <si>
    <t>NGÂN SÁCH</t>
  </si>
  <si>
    <t>KẾT QUẢ SAU KHI ĐĂNG</t>
  </si>
  <si>
    <t>Bắt đầu hiển thị từ (thứ 2)</t>
  </si>
  <si>
    <t>GHI CHÚ</t>
  </si>
  <si>
    <t>STT</t>
  </si>
  <si>
    <t>Mã</t>
  </si>
  <si>
    <t>Ngày đăng</t>
  </si>
  <si>
    <t>Thứ</t>
  </si>
  <si>
    <t>Tuần của kế hoạch</t>
  </si>
  <si>
    <t>Chủ đề / tiêu đề nội dung</t>
  </si>
  <si>
    <t>Trụ cột nội dung</t>
  </si>
  <si>
    <t>Định dạng</t>
  </si>
  <si>
    <t>Kênh</t>
  </si>
  <si>
    <t>Chân dung khách hàng</t>
  </si>
  <si>
    <t>Giai đoạn phễu</t>
  </si>
  <si>
    <t>Mục tiêu</t>
  </si>
  <si>
    <t>Lời kêu gọi hành động (CTA)</t>
  </si>
  <si>
    <t>Từ khóa / hashtag</t>
  </si>
  <si>
    <t>Người viết / sản xuất</t>
  </si>
  <si>
    <t>Người duyệt</t>
  </si>
  <si>
    <t>Hạn nộp bản nháp</t>
  </si>
  <si>
    <t>Trạng thái</t>
  </si>
  <si>
    <t>Cảnh báo tiến độ</t>
  </si>
  <si>
    <t>Link nội dung đã đăng</t>
  </si>
  <si>
    <t>Chi phí sản xuất (VNĐ)</t>
  </si>
  <si>
    <t>Ngân sách quảng cáo (VNĐ)</t>
  </si>
  <si>
    <t>Lượt xem / tiếp cận</t>
  </si>
  <si>
    <t>Lượt tương tác</t>
  </si>
  <si>
    <t>Lượt click</t>
  </si>
  <si>
    <t>Lead / chuyển đổi</t>
  </si>
  <si>
    <t>THỨ HAI</t>
  </si>
  <si>
    <t>Tỷ lệ tương tác</t>
  </si>
  <si>
    <t>Tỷ lệ click (CTR)</t>
  </si>
  <si>
    <t>Chi phí / lead (VNĐ)</t>
  </si>
  <si>
    <t>Ghi chú</t>
  </si>
  <si>
    <t>THỨ BA</t>
  </si>
  <si>
    <t>THỨ TƯ</t>
  </si>
  <si>
    <t>THỨ NĂM</t>
  </si>
  <si>
    <t>THỨ SÁU</t>
  </si>
  <si>
    <t>THỨ BẢY</t>
  </si>
  <si>
    <t>CHỦ NHẬT</t>
  </si>
  <si>
    <t>TỔNG TUẦN</t>
  </si>
  <si>
    <t>C001</t>
  </si>
  <si>
    <t>5 dấu hiệu không khí trong nhà đang ô nhiễm</t>
  </si>
  <si>
    <t>Giáo dục – Hướng dẫn</t>
  </si>
  <si>
    <t>Bài blog</t>
  </si>
  <si>
    <t>Website/Blog</t>
  </si>
  <si>
    <t>Gia đình trẻ có con nhỏ</t>
  </si>
  <si>
    <t>TOFU – Nhận diện</t>
  </si>
  <si>
    <t>Nhận diện</t>
  </si>
  <si>
    <t>Tải checklist miễn phí</t>
  </si>
  <si>
    <t>ô nhiễm không khí trong nhà</t>
  </si>
  <si>
    <t>Lê Thu Cúc</t>
  </si>
  <si>
    <t>Nguyễn Minh Anh</t>
  </si>
  <si>
    <t>Đã đăng</t>
  </si>
  <si>
    <t>https://abc.vn/blog/dau-hieu</t>
  </si>
  <si>
    <t>C002</t>
  </si>
  <si>
    <t>Infographic: PM2.5 là gì và ảnh hưởng ra sao?</t>
  </si>
  <si>
    <t>Infographic</t>
  </si>
  <si>
    <t>Facebook</t>
  </si>
  <si>
    <t>Tương tác</t>
  </si>
  <si>
    <t>Chia sẻ cho gia đình</t>
  </si>
  <si>
    <t>#PM25 #khongkhisach</t>
  </si>
  <si>
    <t>Trần Quốc Bảo</t>
  </si>
  <si>
    <t>https://fb.com/abc/posts/1</t>
  </si>
  <si>
    <t>C003</t>
  </si>
  <si>
    <t>Thử nghiệm: 1 giờ bật máy lọc, bụi mịn giảm bao nhiêu?</t>
  </si>
  <si>
    <t>Giới thiệu sản phẩm</t>
  </si>
  <si>
    <t>Video ngắn</t>
  </si>
  <si>
    <t>TikTok</t>
  </si>
  <si>
    <t>Nhân viên văn phòng</t>
  </si>
  <si>
    <t>MOFU – Cân nhắc</t>
  </si>
  <si>
    <t>Xem chi tiết ở link bio</t>
  </si>
  <si>
    <t>#maylockhongkhi #thunghiem</t>
  </si>
  <si>
    <t>Phạm Hoài Nam</t>
  </si>
  <si>
    <t>KẾ HOẠCH CONTENT MARKETING</t>
  </si>
  <si>
    <t>https://tiktok.com/@abc/video/1</t>
  </si>
  <si>
    <t>Video đạt cao nhất tuần</t>
  </si>
  <si>
    <t>C004</t>
  </si>
  <si>
    <t>Hướng dẫn chọn máy lọc theo diện tích phòng</t>
  </si>
  <si>
    <t>Thương hiệu / sản phẩm</t>
  </si>
  <si>
    <t>Email newsletter</t>
  </si>
  <si>
    <t>ABC – Máy lọc không khí AirPure</t>
  </si>
  <si>
    <t>Email</t>
  </si>
  <si>
    <t>Quản lý / chủ doanh nghiệp</t>
  </si>
  <si>
    <t>Thu lead</t>
  </si>
  <si>
    <t>Nhận tư vấn miễn phí</t>
  </si>
  <si>
    <t>chọn máy lọc không khí</t>
  </si>
  <si>
    <t>Mục tiêu tổng quát</t>
  </si>
  <si>
    <t>Vũ Khánh Linh</t>
  </si>
  <si>
    <t>Tăng nhận diện thương hiệu AirPure và thu 700 lead chất lượng trong mùa cao điểm ô nhiễm không khí.</t>
  </si>
  <si>
    <t>Tên kế hoạch / chiến dịch</t>
  </si>
  <si>
    <t>Mùa không khí sạch – Quý 4/2026</t>
  </si>
  <si>
    <t>Kỳ kế hoạch từ ngày</t>
  </si>
  <si>
    <t>https://abc.vn/email/huong-dan</t>
  </si>
  <si>
    <t>Đối tượng mục tiêu chính</t>
  </si>
  <si>
    <t>C005</t>
  </si>
  <si>
    <t>Gia đình trẻ có con nhỏ; nhân viên văn phòng; quản lý, chủ doanh nghiệp.</t>
  </si>
  <si>
    <t>Kỳ kế hoạch đến ngày</t>
  </si>
  <si>
    <t>Người lập kế hoạch</t>
  </si>
  <si>
    <t>Thông điệp / giọng điệu thương hiệu</t>
  </si>
  <si>
    <t>Gần gũi, dựa trên số liệu, hướng dẫn thực tế; không phóng đại công dụng.</t>
  </si>
  <si>
    <t>Câu chuyện chị Lan: Con hết ho nhờ không khí sạch</t>
  </si>
  <si>
    <t>Câu chuyện khách hàng</t>
  </si>
  <si>
    <t>Bài đăng ảnh</t>
  </si>
  <si>
    <t>Ngày lập kế hoạch</t>
  </si>
  <si>
    <t>Xem câu chuyện đầy đủ</t>
  </si>
  <si>
    <t>#caunoikhachhang</t>
  </si>
  <si>
    <t>Ngân sách tổng (VNĐ)</t>
  </si>
  <si>
    <t>Ngày đối chiếu (để trống = hôm nay)</t>
  </si>
  <si>
    <t>Số tuần của kế hoạch (tự động)</t>
  </si>
  <si>
    <t>https://fb.com/abc/posts/2</t>
  </si>
  <si>
    <t>Ngày đối chiếu đang dùng</t>
  </si>
  <si>
    <t>C022</t>
  </si>
  <si>
    <t>Tổng nội dung trong kỳ</t>
  </si>
  <si>
    <t>Tiến độ đăng bài</t>
  </si>
  <si>
    <t>Đang chuẩn bị (ý tưởng, viết, chờ duyệt)</t>
  </si>
  <si>
    <t>Trễ lịch / trễ hạn nháp</t>
  </si>
  <si>
    <t>Ngân sách đã dùng</t>
  </si>
  <si>
    <t>Livestream giải đáp thắc mắc khách hàng</t>
  </si>
  <si>
    <t>Livestream</t>
  </si>
  <si>
    <t>Hủy</t>
  </si>
  <si>
    <t>KHO Ý TƯỞNG NỘI DUNG</t>
  </si>
  <si>
    <t>Ghi ý tưởng, chấm điểm tác động và công sức; điểm ưu tiên và xếp hạng tự tính. Khi tiêu đề trùng với sheet 'Lịch nội dung', ý tưởng tự chuyển sang 'Đã lên lịch'.</t>
  </si>
  <si>
    <t>Ý tưởng / chủ đề</t>
  </si>
  <si>
    <t>Định dạng đề xuất</t>
  </si>
  <si>
    <t>Kênh đề xuất</t>
  </si>
  <si>
    <t>Nguồn ý tưởng</t>
  </si>
  <si>
    <t>Người đề xuất</t>
  </si>
  <si>
    <t>Tác động (1–5)</t>
  </si>
  <si>
    <t>Công sức (1–5)</t>
  </si>
  <si>
    <t>Điểm ưu tiên (tự động)</t>
  </si>
  <si>
    <t>Xếp hạng</t>
  </si>
  <si>
    <t>Tình trạng lên lịch (tự động)</t>
  </si>
  <si>
    <t>Hủy do trùng lịch sự kiện</t>
  </si>
  <si>
    <t>C006</t>
  </si>
  <si>
    <t>Một ngày ở xưởng lắp ráp AirPure</t>
  </si>
  <si>
    <t>Hậu trường – Thương hiệu</t>
  </si>
  <si>
    <t>Instagram</t>
  </si>
  <si>
    <t>Theo dõi để xem thêm</t>
  </si>
  <si>
    <t>#hauthruong #AirPure</t>
  </si>
  <si>
    <t>https://instagram.com/reel/1</t>
  </si>
  <si>
    <t>C007</t>
  </si>
  <si>
    <t>Review chi tiết AirPure Pro sau 30 ngày sử dụng</t>
  </si>
  <si>
    <t>Từ khóa SEO</t>
  </si>
  <si>
    <t>Video dài</t>
  </si>
  <si>
    <t>YouTube</t>
  </si>
  <si>
    <t>BOFU – Chuyển đổi</t>
  </si>
  <si>
    <t>Chuyển đổi</t>
  </si>
  <si>
    <t>Đặt mua ngay – giảm 10%</t>
  </si>
  <si>
    <t>review máy lọc không khí</t>
  </si>
  <si>
    <t>Đã triển khai</t>
  </si>
  <si>
    <t>Trước &amp; sau: Phòng ngủ có và không có máy lọc</t>
  </si>
  <si>
    <t>Xu hướng</t>
  </si>
  <si>
    <t>https://youtube.com/watch?v=1</t>
  </si>
  <si>
    <t>C008</t>
  </si>
  <si>
    <t>Giải đáp: Máy lọc không khí có tốn điện không?</t>
  </si>
  <si>
    <t>Khách hàng hỏi</t>
  </si>
  <si>
    <t>So sánh bộ lọc HEPA và than hoạt tính</t>
  </si>
  <si>
    <t>Câu hỏi xuất hiện nhiều trong inbox</t>
  </si>
  <si>
    <t>Top 5 cây xanh lọc không khí: sự thật hay lầm tưởng?</t>
  </si>
  <si>
    <t>Tải bảng so sánh</t>
  </si>
  <si>
    <t>bộ lọc HEPA than hoạt tính</t>
  </si>
  <si>
    <t>Phỏng vấn bác sĩ về bệnh hô hấp mùa lạnh</t>
  </si>
  <si>
    <t>Nội bộ</t>
  </si>
  <si>
    <t>Cần liên hệ chuyên gia</t>
  </si>
  <si>
    <t>Hành trình ra đời dòng AirPure Mini</t>
  </si>
  <si>
    <t>1. MỤC TIÊU KPI VÀ KẾT QUẢ THỰC TẾ</t>
  </si>
  <si>
    <t>Chỉ số</t>
  </si>
  <si>
    <t>https://abc.vn/blog/hepa</t>
  </si>
  <si>
    <t>Mục tiêu (nhập)</t>
  </si>
  <si>
    <t>Thực tế (tự động)</t>
  </si>
  <si>
    <t>Mức đạt (%)</t>
  </si>
  <si>
    <t>Đánh giá</t>
  </si>
  <si>
    <t>Số nội dung đã đăng</t>
  </si>
  <si>
    <t>Mini-game: Đoán chỉ số AQI nhận quà</t>
  </si>
  <si>
    <t>Khuyến mãi – Chuyển đổi</t>
  </si>
  <si>
    <t>Đối thủ</t>
  </si>
  <si>
    <t>C009</t>
  </si>
  <si>
    <t>3 mẹo giữ không khí sạch khi trời nồm</t>
  </si>
  <si>
    <t>Lưu lại để dùng</t>
  </si>
  <si>
    <t>#trơinom #khongkhisach</t>
  </si>
  <si>
    <t>https://tiktok.com/@abc/video/2</t>
  </si>
  <si>
    <t>C010</t>
  </si>
  <si>
    <t>Ưu đãi giảm 15% dòng AirPure Mini</t>
  </si>
  <si>
    <t>Đặt hàng trước 31/10</t>
  </si>
  <si>
    <t>#giamgia #AirPureMini</t>
  </si>
  <si>
    <t>https://fb.com/abc/posts/3</t>
  </si>
  <si>
    <t>C011</t>
  </si>
  <si>
    <t>Xu hướng chất lượng không khí văn phòng năm 2026</t>
  </si>
  <si>
    <t>Xu hướng ngành</t>
  </si>
  <si>
    <t>LinkedIn</t>
  </si>
  <si>
    <t>Case study: Trường mầm non giảm nghỉ học nhờ lọc không khí</t>
  </si>
  <si>
    <t>Theo dõi trang để cập nhật</t>
  </si>
  <si>
    <t>#workplace #airquality</t>
  </si>
  <si>
    <t>Case study</t>
  </si>
  <si>
    <t>https://linkedin.com/posts/1</t>
  </si>
  <si>
    <t>C012</t>
  </si>
  <si>
    <t>Tỷ lệ tương tác (%)</t>
  </si>
  <si>
    <t>Hậu trường: Kiểm định chất lượng từng máy trước khi giao</t>
  </si>
  <si>
    <t>Xem thêm quy trình</t>
  </si>
  <si>
    <t>#kiemdinh #chatluong</t>
  </si>
  <si>
    <t>Chi phí trung bình mỗi lead (VNĐ) – thấp hơn là tốt</t>
  </si>
  <si>
    <t>Chưa bổ sung link bài</t>
  </si>
  <si>
    <t>C013</t>
  </si>
  <si>
    <t>Chuỗi email chăm sóc lead – thư số 2</t>
  </si>
  <si>
    <t>Đặt lịch demo</t>
  </si>
  <si>
    <t>máy lọc không khí văn phòng</t>
  </si>
  <si>
    <t>Đã duyệt</t>
  </si>
  <si>
    <t>Ô cam đậm = ngày đối chiếu (hôm nay). Ô chữ nghiêng xám = ngoài kỳ kế hoạch. Mỗi ngày hiển thị nội dung đầu tiên; xem đầy đủ ở sheet 'Lịch nội dung'.</t>
  </si>
  <si>
    <t>C014</t>
  </si>
  <si>
    <t>Góc nhìn: Không khí sạch giúp ngủ ngon hơn</t>
  </si>
  <si>
    <t>Lưu bài viết</t>
  </si>
  <si>
    <t>#giacngu #khongkhisach</t>
  </si>
  <si>
    <t>Chờ duyệt</t>
  </si>
  <si>
    <t>2. PHÂN BỔ THEO TRỤ CỘT NỘI DUNG</t>
  </si>
  <si>
    <t>Tỷ trọng mục tiêu</t>
  </si>
  <si>
    <t>Số nội dung kế hoạch</t>
  </si>
  <si>
    <t>Tỷ trọng thực tế</t>
  </si>
  <si>
    <t>Chênh lệch (điểm %)</t>
  </si>
  <si>
    <t>Đánh giá cân bằng</t>
  </si>
  <si>
    <t>Chờ trưởng nhóm duyệt</t>
  </si>
  <si>
    <t>C015</t>
  </si>
  <si>
    <t>Checklist chuẩn bị mùa đông cho không khí trong nhà</t>
  </si>
  <si>
    <t>Tải checklist</t>
  </si>
  <si>
    <t>không khí trong nhà mùa đông</t>
  </si>
  <si>
    <t>Đang viết</t>
  </si>
  <si>
    <t>Cần bổ sung số liệu</t>
  </si>
  <si>
    <t>C016</t>
  </si>
  <si>
    <t>#truocvasau #maylockhongkhi</t>
  </si>
  <si>
    <t>Ý tưởng</t>
  </si>
  <si>
    <t>CÀI ĐẶT DANH MỤC VÀ QUY ƯỚC</t>
  </si>
  <si>
    <t>Mọi danh sách chọn trong file lấy từ đây. Thêm mục mới vào ô trống tương ứng – các sheet khác tự cập nhật.</t>
  </si>
  <si>
    <t>1. TRỤ CỘT NỘI DUNG</t>
  </si>
  <si>
    <t>Mô tả</t>
  </si>
  <si>
    <t>Tỷ trọng mục tiêu (%)</t>
  </si>
  <si>
    <t>Giải đáp, hướng dẫn, kiến thức hữu ích cho khách hàng</t>
  </si>
  <si>
    <t>Tính năng, so sánh, đánh giá sản phẩm</t>
  </si>
  <si>
    <t>Trải nghiệm thực tế, case study, đánh giá</t>
  </si>
  <si>
    <t>Con người, quy trình, giá trị thương hiệu</t>
  </si>
  <si>
    <t>Ưu đãi, chương trình kêu gọi mua hàng</t>
  </si>
  <si>
    <t>Tin tức, số liệu, góc nhìn ngành</t>
  </si>
  <si>
    <t>Tổng tỷ trọng (cần bằng 100%)</t>
  </si>
  <si>
    <t>2. KÊNH PHÂN PHỐI</t>
  </si>
  <si>
    <t>Vai trò của kênh</t>
  </si>
  <si>
    <t>Số nội dung mục tiêu / tuần</t>
  </si>
  <si>
    <t>Nội dung SEO, trang đích</t>
  </si>
  <si>
    <t>Tương tác cộng đồng, quảng cáo</t>
  </si>
  <si>
    <t>Hình ảnh, Reels</t>
  </si>
  <si>
    <t>Video ngắn, xu hướng</t>
  </si>
  <si>
    <t>Video dài, hướng dẫn</t>
  </si>
  <si>
    <t>Nuôi dưỡng khách hàng tiềm năng</t>
  </si>
  <si>
    <t>Khách hàng doanh nghiệp, thương hiệu tuyển dụng</t>
  </si>
  <si>
    <t>3. ĐỊNH DẠNG NỘI DUNG</t>
  </si>
  <si>
    <t>4. CHÂN DUNG KHÁCH HÀNG MỤC TIÊU</t>
  </si>
  <si>
    <t>Chân dung</t>
  </si>
  <si>
    <t>Nhu cầu / nỗi đau chính</t>
  </si>
  <si>
    <t>Quan tâm sức khỏe con, tìm giải pháp an toàn</t>
  </si>
  <si>
    <t>Làm việc nhiều giờ trong phòng kín, cần không gian dễ chịu</t>
  </si>
  <si>
    <t>Quan tâm chi phí, hiệu quả, hình ảnh doanh nghiệp</t>
  </si>
  <si>
    <t>Người cao tuổi, người dị ứng</t>
  </si>
  <si>
    <t>Cần bảo vệ sức khỏe hô hấp</t>
  </si>
  <si>
    <t>5. GIAI ĐOẠN PHỄU</t>
  </si>
  <si>
    <t>Giai đoạn</t>
  </si>
  <si>
    <t>Ý nghĩa</t>
  </si>
  <si>
    <t>Thu hút người chưa biết đến thương hiệu</t>
  </si>
  <si>
    <t>Giúp khách hàng so sánh, tìm hiểu</t>
  </si>
  <si>
    <t>Thúc đẩy quyết định mua / đăng ký</t>
  </si>
  <si>
    <t>6. MỤC TIÊU NỘI DUNG</t>
  </si>
  <si>
    <t>Tăng độ phủ thương hiệu</t>
  </si>
  <si>
    <t>Tăng thích, bình luận, chia sẻ</t>
  </si>
  <si>
    <t>Thu thập thông tin khách hàng tiềm năng</t>
  </si>
  <si>
    <t>Tạo đơn hàng, đăng ký</t>
  </si>
  <si>
    <t>Giữ chân</t>
  </si>
  <si>
    <t>Chăm sóc khách hàng cũ</t>
  </si>
  <si>
    <t>7. NGUỒN Ý TƯỞNG</t>
  </si>
  <si>
    <t>Nguồn</t>
  </si>
  <si>
    <t>Khác</t>
  </si>
  <si>
    <t>8. TRẠNG THÁI NỘI DUNG</t>
  </si>
  <si>
    <t>Đã có chủ đề, chưa bắt đầu viết / sản xuất</t>
  </si>
  <si>
    <t>Đang viết hoặc sản xuất</t>
  </si>
  <si>
    <t>Đã nộp bản nháp, chờ người duyệt</t>
  </si>
  <si>
    <t>Đã duyệt, chờ đến ngày đăng</t>
  </si>
  <si>
    <t>Đã xuất bản – nhập link và kết quả</t>
  </si>
  <si>
    <t>Không thực hiện nữa</t>
  </si>
  <si>
    <t>Lưu ý: tên 'Đã đăng' và 'Hủy' được dùng trong công thức – không nên đổi tên hai trạng thái này.</t>
  </si>
  <si>
    <t>9. THÀNH VIÊN</t>
  </si>
  <si>
    <t>Họ tên</t>
  </si>
  <si>
    <t>Vai trò</t>
  </si>
  <si>
    <t>Trưởng nhóm – Duyệt nội dung</t>
  </si>
  <si>
    <t>Copywriter</t>
  </si>
  <si>
    <t>Thiết kế đồ họa</t>
  </si>
  <si>
    <t>Sản xuất video</t>
  </si>
  <si>
    <t>SEO và Email marketing</t>
  </si>
  <si>
    <t>10. THAM SỐ</t>
  </si>
  <si>
    <t>Cảnh báo 'Sắp đăng' trước (ngày)</t>
  </si>
  <si>
    <t>C017</t>
  </si>
  <si>
    <t>Livestream: Tư vấn chọn máy lọc cùng chuyên gia</t>
  </si>
  <si>
    <t>Đăng ký nhận quà</t>
  </si>
  <si>
    <t>#livestream #tuvan</t>
  </si>
  <si>
    <t>C018</t>
  </si>
  <si>
    <t>Hướng dẫn thay bộ lọc tại nhà trong 5 phút</t>
  </si>
  <si>
    <t>Đăng ký kênh</t>
  </si>
  <si>
    <t>hướng dẫn thay bộ lọc</t>
  </si>
  <si>
    <t>C019</t>
  </si>
  <si>
    <t>Văn phòng 20 nhân viên đổi sang máy lọc: Kết quả sau 3 tháng</t>
  </si>
  <si>
    <t>Nhận báo giá cho doanh nghiệp</t>
  </si>
  <si>
    <t>#casestudy #vanphong</t>
  </si>
  <si>
    <t>C020</t>
  </si>
  <si>
    <t>Ưu đãi cuối tuần dành cho khách hàng thân thiết</t>
  </si>
  <si>
    <t>Mua ngay – giảm 10%</t>
  </si>
  <si>
    <t>ưu đãi khách hàng thân thiết</t>
  </si>
  <si>
    <t>C021</t>
  </si>
  <si>
    <t>Bạn có biết? 5 sự thật về bụi mịn</t>
  </si>
  <si>
    <t>Chia sẻ cho người thân</t>
  </si>
  <si>
    <t>#bumin #suckhoe</t>
  </si>
  <si>
    <t>TỔNG CỘNG</t>
  </si>
  <si>
    <t>3. HIỆU QUẢ THEO KÊNH</t>
  </si>
  <si>
    <t>Mục tiêu / tuần</t>
  </si>
  <si>
    <t>Mục tiêu cả kỳ</t>
  </si>
  <si>
    <t>Hoàn thành so với mục tiêu</t>
  </si>
  <si>
    <t>Lượt xem</t>
  </si>
  <si>
    <t>Lead</t>
  </si>
  <si>
    <t>Chi phí (VNĐ)</t>
  </si>
  <si>
    <t>4. PHỄU NỘI DUNG VÀ MỤC TIÊU NỘI DUNG</t>
  </si>
  <si>
    <t>Số nội dung</t>
  </si>
  <si>
    <t>Tỷ trọng</t>
  </si>
  <si>
    <t>Mục tiêu nội dung</t>
  </si>
  <si>
    <t>5. TIẾN ĐỘ THEO TUẦN</t>
  </si>
  <si>
    <t>Tuần</t>
  </si>
  <si>
    <t>Từ ngày</t>
  </si>
  <si>
    <t>Đến ngày</t>
  </si>
  <si>
    <t>Chưa đăng</t>
  </si>
  <si>
    <t>Tổng ở dòng này phải bằng tổng các nội dung có ngày đăng trong kỳ kế hoạch. Nội dung có ngày đăng ngoài kỳ không được tính.</t>
  </si>
  <si>
    <t>Hướng dẫn sử dụng</t>
  </si>
  <si>
    <t>•  Bước 1 – Cài đặt: khai báo trụ cột nội dung (tỷ trọng mục tiêu), kênh (số bài/tuần), định dạng, chân dung khách hàng, thành viên ở sheet 'Cài đặt'.</t>
  </si>
  <si>
    <t>•  Bước 2 – Kế hoạch: nhập thông tin chiến dịch, kỳ kế hoạch, ngân sách và mục tiêu KPI ở sheet này (ô nền cam nhạt, chữ xanh dương).</t>
  </si>
  <si>
    <t>•  Bước 3 – Lên lịch: mỗi nội dung là một dòng ở sheet 'Lịch nội dung'. Chọn ngày đăng, trụ cột, kênh, phễu, người phụ trách, hạn nháp. Cảnh báo trễ hạn, sắp đăng tự hiện.</t>
  </si>
  <si>
    <t>•  Bước 4 – Theo dõi: cập nhật Trạng thái, Link và kết quả (lượt xem, tương tác, click, lead) sau khi đăng. Mọi thống kê ở sheet này và 'Lịch tổng thể' tự cập nhật.</t>
  </si>
  <si>
    <t>•  Mở rộng: chèn dòng vào giữa bảng (không chèn dưới dòng cuối) rồi chép công thức từ dòng trên. 'Lịch nội dung' có 100 dòng, 'Kho ý tưởng' 60 dòng. Dữ liệu mẫu chỉ để minh họa – hãy xóa và thay bằng dữ liệu thật.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</si>
</sst>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/mm/yyyy"/>
    <numFmt numFmtId="165" formatCode="dd/mm"/>
    <numFmt numFmtId="166" formatCode="0&quot; nội dung&quot;"/>
    <numFmt numFmtId="167" formatCode="#,##0;\(#,##0\);\-"/>
    <numFmt numFmtId="168" formatCode="0.0%"/>
    <numFmt numFmtId="169" formatCode="\+0.0;\-0.0;0.0"/>
    <numFmt numFmtId="170" formatCode="0.0"/>
  </numFmts>
  <fonts count="19">
    <font>
      <sz val="11.0"/>
      <color theme="1"/>
      <name val="Calibri"/>
      <scheme val="minor"/>
    </font>
    <font>
      <b/>
      <sz val="22.0"/>
      <color rgb="FFFFFFFF"/>
      <name val="Inter Tight"/>
    </font>
    <font/>
    <font>
      <i/>
      <sz val="10.0"/>
      <color rgb="FF71717A"/>
      <name val="Inter Tight"/>
    </font>
    <font>
      <b/>
      <sz val="10.0"/>
      <color rgb="FFFFFFFF"/>
      <name val="Inter Tight"/>
    </font>
    <font>
      <b/>
      <sz val="10.0"/>
      <color rgb="FF3F3F46"/>
      <name val="Inter Tight"/>
    </font>
    <font>
      <sz val="10.0"/>
      <color rgb="FF1F4FBF"/>
      <name val="Inter Tight"/>
    </font>
    <font>
      <b/>
      <sz val="10.0"/>
      <color theme="1"/>
      <name val="Inter Tight"/>
    </font>
    <font>
      <sz val="10.0"/>
      <color rgb="FF18181B"/>
      <name val="Inter Tight"/>
    </font>
    <font>
      <b/>
      <sz val="11.0"/>
      <color rgb="FFF26A1B"/>
      <name val="Inter Tight"/>
    </font>
    <font>
      <sz val="9.0"/>
      <color rgb="FF18181B"/>
      <name val="Inter Tight"/>
    </font>
    <font>
      <sz val="9.0"/>
      <color rgb="FF71717A"/>
      <name val="Inter Tight"/>
    </font>
    <font>
      <b/>
      <sz val="10.0"/>
      <color rgb="FF18181B"/>
      <name val="Inter Tight"/>
    </font>
    <font>
      <b/>
      <sz val="9.0"/>
      <color rgb="FF71717A"/>
      <name val="Inter Tight"/>
    </font>
    <font>
      <b/>
      <sz val="18.0"/>
      <color rgb="FFF26A1B"/>
      <name val="Inter Tight"/>
    </font>
    <font>
      <b/>
      <sz val="18.0"/>
      <color rgb="FFDC2626"/>
      <name val="Inter Tight"/>
    </font>
    <font>
      <b/>
      <sz val="11.0"/>
      <color rgb="FFFFFFFF"/>
      <name val="Inter Tight"/>
    </font>
    <font>
      <b/>
      <sz val="10.0"/>
      <color rgb="FFF26A1B"/>
      <name val="Inter Tight"/>
    </font>
    <font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6A1B"/>
        <bgColor rgb="FFF26A1B"/>
      </patternFill>
    </fill>
    <fill>
      <patternFill patternType="solid">
        <fgColor rgb="FF3F3F46"/>
        <bgColor rgb="FF3F3F46"/>
      </patternFill>
    </fill>
    <fill>
      <patternFill patternType="solid">
        <fgColor rgb="FFFDE9DB"/>
        <bgColor rgb="FFFDE9DB"/>
      </patternFill>
    </fill>
    <fill>
      <patternFill patternType="solid">
        <fgColor rgb="FFE4E4E7"/>
        <bgColor rgb="FFE4E4E7"/>
      </patternFill>
    </fill>
    <fill>
      <patternFill patternType="solid">
        <fgColor rgb="FFFFFFFF"/>
        <bgColor rgb="FFFFFFFF"/>
      </patternFill>
    </fill>
    <fill>
      <patternFill patternType="solid">
        <fgColor rgb="FFF4F4F5"/>
        <bgColor rgb="FFF4F4F5"/>
      </patternFill>
    </fill>
  </fills>
  <borders count="1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ck">
        <color rgb="FFF26A1B"/>
      </left>
      <right/>
      <top/>
      <bottom/>
    </border>
    <border>
      <left style="thick">
        <color rgb="FFF26A1B"/>
      </left>
      <top/>
      <bottom/>
    </border>
    <border>
      <left style="thick">
        <color rgb="FFF26A1B"/>
      </left>
      <right/>
      <top/>
    </border>
    <border>
      <left style="thick">
        <color rgb="FFF26A1B"/>
      </left>
      <top/>
    </border>
    <border>
      <left style="thick">
        <color rgb="FFF26A1B"/>
      </left>
      <right/>
      <bottom/>
    </border>
    <border>
      <left style="thick">
        <color rgb="FFF26A1B"/>
      </left>
      <bottom/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1" fillId="2" fontId="4" numFmtId="0" xfId="0" applyAlignment="1" applyBorder="1" applyFill="1" applyFont="1">
      <alignment horizontal="center" shrinkToFit="0" vertical="center" wrapText="0"/>
    </xf>
    <xf borderId="1" fillId="3" fontId="4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4" fillId="4" fontId="6" numFmtId="164" xfId="0" applyAlignment="1" applyBorder="1" applyFill="1" applyFont="1" applyNumberFormat="1">
      <alignment horizontal="left" shrinkToFit="0" vertical="bottom" wrapText="0"/>
    </xf>
    <xf borderId="0" fillId="0" fontId="5" numFmtId="0" xfId="0" applyAlignment="1" applyFont="1">
      <alignment horizontal="right" shrinkToFit="0" vertical="bottom" wrapText="0"/>
    </xf>
    <xf borderId="4" fillId="3" fontId="4" numFmtId="0" xfId="0" applyAlignment="1" applyBorder="1" applyFill="1" applyFont="1">
      <alignment horizontal="center" shrinkToFit="0" vertical="center" wrapText="0"/>
    </xf>
    <xf borderId="5" fillId="5" fontId="5" numFmtId="0" xfId="0" applyAlignment="1" applyBorder="1" applyFill="1" applyFont="1">
      <alignment horizontal="center" shrinkToFit="0" vertical="center" wrapText="1"/>
    </xf>
    <xf borderId="0" fillId="0" fontId="7" numFmtId="164" xfId="0" applyAlignment="1" applyFont="1" applyNumberFormat="1">
      <alignment horizontal="left" shrinkToFit="0" vertical="bottom" wrapText="0"/>
    </xf>
    <xf borderId="5" fillId="3" fontId="4" numFmtId="0" xfId="0" applyAlignment="1" applyBorder="1" applyFill="1" applyFont="1">
      <alignment horizontal="center" shrinkToFit="0" vertical="center" wrapText="1"/>
    </xf>
    <xf borderId="5" fillId="5" fontId="5" numFmtId="165" xfId="0" applyAlignment="1" applyBorder="1" applyFill="1" applyFont="1" applyNumberFormat="1">
      <alignment horizontal="left" shrinkToFit="0" vertical="center" wrapText="0"/>
    </xf>
    <xf borderId="5" fillId="6" fontId="8" numFmtId="0" xfId="0" applyAlignment="1" applyBorder="1" applyFill="1" applyFont="1">
      <alignment horizontal="center" shrinkToFit="0" vertical="center" wrapText="0"/>
    </xf>
    <xf borderId="5" fillId="6" fontId="6" numFmtId="0" xfId="0" applyAlignment="1" applyBorder="1" applyFill="1" applyFont="1">
      <alignment horizontal="center" shrinkToFit="0" vertical="center" wrapText="0"/>
    </xf>
    <xf borderId="5" fillId="6" fontId="6" numFmtId="164" xfId="0" applyAlignment="1" applyBorder="1" applyFill="1" applyFont="1" applyNumberFormat="1">
      <alignment horizontal="center" shrinkToFit="0" vertical="center" wrapText="0"/>
    </xf>
    <xf borderId="5" fillId="7" fontId="9" numFmtId="166" xfId="0" applyAlignment="1" applyBorder="1" applyFill="1" applyFont="1" applyNumberFormat="1">
      <alignment horizontal="center" shrinkToFit="0" vertical="center" wrapText="0"/>
    </xf>
    <xf borderId="5" fillId="6" fontId="6" numFmtId="0" xfId="0" applyAlignment="1" applyBorder="1" applyFill="1" applyFont="1">
      <alignment horizontal="left" shrinkToFit="0" vertical="center" wrapText="1"/>
    </xf>
    <xf borderId="5" fillId="6" fontId="6" numFmtId="0" xfId="0" applyAlignment="1" applyBorder="1" applyFill="1" applyFont="1">
      <alignment horizontal="left" shrinkToFit="0" vertical="center" wrapText="0"/>
    </xf>
    <xf borderId="5" fillId="6" fontId="10" numFmtId="0" xfId="0" applyAlignment="1" applyBorder="1" applyFill="1" applyFont="1">
      <alignment shrinkToFit="0" vertical="top" wrapText="1"/>
    </xf>
    <xf borderId="5" fillId="6" fontId="6" numFmtId="167" xfId="0" applyAlignment="1" applyBorder="1" applyFill="1" applyFont="1" applyNumberFormat="1">
      <alignment horizontal="right" shrinkToFit="0" vertical="center" wrapText="0"/>
    </xf>
    <xf borderId="5" fillId="6" fontId="6" numFmtId="167" xfId="0" applyAlignment="1" applyBorder="1" applyFill="1" applyFont="1" applyNumberFormat="1">
      <alignment horizontal="center" shrinkToFit="0" vertical="center" wrapText="0"/>
    </xf>
    <xf borderId="5" fillId="6" fontId="8" numFmtId="168" xfId="0" applyAlignment="1" applyBorder="1" applyFill="1" applyFont="1" applyNumberFormat="1">
      <alignment horizontal="center" shrinkToFit="0" vertical="center" wrapText="0"/>
    </xf>
    <xf borderId="5" fillId="6" fontId="8" numFmtId="167" xfId="0" applyAlignment="1" applyBorder="1" applyFill="1" applyFont="1" applyNumberFormat="1">
      <alignment horizontal="right" shrinkToFit="0" vertical="center" wrapText="0"/>
    </xf>
    <xf borderId="5" fillId="7" fontId="8" numFmtId="0" xfId="0" applyAlignment="1" applyBorder="1" applyFill="1" applyFont="1">
      <alignment horizontal="center" shrinkToFit="0" vertical="center" wrapText="0"/>
    </xf>
    <xf borderId="5" fillId="7" fontId="6" numFmtId="0" xfId="0" applyAlignment="1" applyBorder="1" applyFill="1" applyFont="1">
      <alignment horizontal="center" shrinkToFit="0" vertical="center" wrapText="0"/>
    </xf>
    <xf borderId="5" fillId="7" fontId="6" numFmtId="164" xfId="0" applyAlignment="1" applyBorder="1" applyFill="1" applyFont="1" applyNumberFormat="1">
      <alignment horizontal="center" shrinkToFit="0" vertical="center" wrapText="0"/>
    </xf>
    <xf borderId="5" fillId="7" fontId="6" numFmtId="0" xfId="0" applyAlignment="1" applyBorder="1" applyFill="1" applyFont="1">
      <alignment horizontal="left" shrinkToFit="0" vertical="center" wrapText="1"/>
    </xf>
    <xf borderId="5" fillId="7" fontId="6" numFmtId="0" xfId="0" applyAlignment="1" applyBorder="1" applyFill="1" applyFont="1">
      <alignment horizontal="left" shrinkToFit="0" vertical="center" wrapText="0"/>
    </xf>
    <xf borderId="5" fillId="7" fontId="11" numFmtId="0" xfId="0" applyAlignment="1" applyBorder="1" applyFill="1" applyFont="1">
      <alignment horizontal="center" shrinkToFit="0" vertical="center" wrapText="0"/>
    </xf>
    <xf borderId="5" fillId="7" fontId="6" numFmtId="167" xfId="0" applyAlignment="1" applyBorder="1" applyFill="1" applyFont="1" applyNumberFormat="1">
      <alignment horizontal="right" shrinkToFit="0" vertical="center" wrapText="0"/>
    </xf>
    <xf borderId="5" fillId="7" fontId="6" numFmtId="167" xfId="0" applyAlignment="1" applyBorder="1" applyFill="1" applyFont="1" applyNumberFormat="1">
      <alignment horizontal="center" shrinkToFit="0" vertical="center" wrapText="0"/>
    </xf>
    <xf borderId="5" fillId="7" fontId="8" numFmtId="168" xfId="0" applyAlignment="1" applyBorder="1" applyFill="1" applyFont="1" applyNumberFormat="1">
      <alignment horizontal="center" shrinkToFit="0" vertical="center" wrapText="0"/>
    </xf>
    <xf borderId="5" fillId="7" fontId="8" numFmtId="167" xfId="0" applyAlignment="1" applyBorder="1" applyFill="1" applyFont="1" applyNumberFormat="1">
      <alignment horizontal="right" shrinkToFit="0" vertical="center" wrapText="0"/>
    </xf>
    <xf borderId="1" fillId="2" fontId="1" numFmtId="0" xfId="0" applyAlignment="1" applyBorder="1" applyFill="1" applyFont="1">
      <alignment horizontal="center" shrinkToFit="0" vertical="center" wrapText="0"/>
    </xf>
    <xf borderId="1" fillId="4" fontId="6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shrinkToFit="0" vertical="center" wrapText="1"/>
    </xf>
    <xf borderId="6" fillId="4" fontId="6" numFmtId="0" xfId="0" applyAlignment="1" applyBorder="1" applyFill="1" applyFont="1">
      <alignment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" fillId="4" fontId="6" numFmtId="164" xfId="0" applyAlignment="1" applyBorder="1" applyFill="1" applyFont="1" applyNumberFormat="1">
      <alignment horizontal="left" shrinkToFit="0" vertical="center" wrapText="0"/>
    </xf>
    <xf borderId="1" fillId="4" fontId="6" numFmtId="167" xfId="0" applyAlignment="1" applyBorder="1" applyFill="1" applyFont="1" applyNumberFormat="1">
      <alignment horizontal="left" shrinkToFit="0" vertical="center" wrapText="0"/>
    </xf>
    <xf borderId="1" fillId="4" fontId="6" numFmtId="164" xfId="0" applyAlignment="1" applyBorder="1" applyFill="1" applyFont="1" applyNumberFormat="1">
      <alignment horizontal="left" shrinkToFit="0" vertical="bottom" wrapText="0"/>
    </xf>
    <xf borderId="0" fillId="0" fontId="12" numFmtId="1" xfId="0" applyAlignment="1" applyFont="1" applyNumberFormat="1">
      <alignment horizontal="left" shrinkToFit="0" vertical="center" wrapText="0"/>
    </xf>
    <xf borderId="12" fillId="7" fontId="13" numFmtId="0" xfId="0" applyAlignment="1" applyBorder="1" applyFill="1" applyFont="1">
      <alignment horizontal="center" shrinkToFit="0" vertical="center" wrapText="1"/>
    </xf>
    <xf borderId="13" fillId="7" fontId="13" numFmtId="0" xfId="0" applyAlignment="1" applyBorder="1" applyFill="1" applyFont="1">
      <alignment horizontal="center" shrinkToFit="0" vertical="center" wrapText="1"/>
    </xf>
    <xf borderId="14" fillId="7" fontId="14" numFmtId="1" xfId="0" applyAlignment="1" applyBorder="1" applyFill="1" applyFont="1" applyNumberFormat="1">
      <alignment horizontal="center" shrinkToFit="0" vertical="center" wrapText="0"/>
    </xf>
    <xf borderId="5" fillId="6" fontId="8" numFmtId="1" xfId="0" applyAlignment="1" applyBorder="1" applyFill="1" applyFont="1" applyNumberFormat="1">
      <alignment horizontal="center" shrinkToFit="0" vertical="center" wrapText="0"/>
    </xf>
    <xf borderId="15" fillId="7" fontId="14" numFmtId="1" xfId="0" applyAlignment="1" applyBorder="1" applyFill="1" applyFont="1" applyNumberFormat="1">
      <alignment horizontal="center" shrinkToFit="0" vertical="center" wrapText="0"/>
    </xf>
    <xf borderId="15" fillId="7" fontId="14" numFmtId="168" xfId="0" applyAlignment="1" applyBorder="1" applyFill="1" applyFont="1" applyNumberFormat="1">
      <alignment horizontal="center" shrinkToFit="0" vertical="center" wrapText="0"/>
    </xf>
    <xf borderId="5" fillId="6" fontId="6" numFmtId="1" xfId="0" applyAlignment="1" applyBorder="1" applyFill="1" applyFont="1" applyNumberFormat="1">
      <alignment horizontal="center" shrinkToFit="0" vertical="center" wrapText="0"/>
    </xf>
    <xf borderId="5" fillId="7" fontId="8" numFmtId="1" xfId="0" applyAlignment="1" applyBorder="1" applyFill="1" applyFont="1" applyNumberFormat="1">
      <alignment horizontal="center" shrinkToFit="0" vertical="center" wrapText="0"/>
    </xf>
    <xf borderId="5" fillId="7" fontId="6" numFmtId="1" xfId="0" applyAlignment="1" applyBorder="1" applyFill="1" applyFont="1" applyNumberFormat="1">
      <alignment horizontal="center" shrinkToFit="0" vertical="center" wrapText="0"/>
    </xf>
    <xf borderId="15" fillId="7" fontId="15" numFmtId="1" xfId="0" applyAlignment="1" applyBorder="1" applyFill="1" applyFont="1" applyNumberFormat="1">
      <alignment horizontal="center" shrinkToFit="0" vertical="center" wrapText="0"/>
    </xf>
    <xf borderId="16" fillId="0" fontId="2" numFmtId="0" xfId="0" applyBorder="1" applyFont="1"/>
    <xf borderId="17" fillId="0" fontId="2" numFmtId="0" xfId="0" applyBorder="1" applyFont="1"/>
    <xf borderId="1" fillId="2" fontId="16" numFmtId="0" xfId="0" applyAlignment="1" applyBorder="1" applyFill="1" applyFont="1">
      <alignment shrinkToFit="0" vertical="center" wrapText="0"/>
    </xf>
    <xf borderId="5" fillId="6" fontId="8" numFmtId="0" xfId="0" applyAlignment="1" applyBorder="1" applyFill="1" applyFont="1">
      <alignment horizontal="left" shrinkToFit="0" vertical="center" wrapText="0"/>
    </xf>
    <xf borderId="5" fillId="6" fontId="8" numFmtId="9" xfId="0" applyAlignment="1" applyBorder="1" applyFill="1" applyFont="1" applyNumberFormat="1">
      <alignment horizontal="center" shrinkToFit="0" vertical="center" wrapText="0"/>
    </xf>
    <xf borderId="5" fillId="6" fontId="12" numFmtId="0" xfId="0" applyAlignment="1" applyBorder="1" applyFill="1" applyFont="1">
      <alignment horizontal="center" shrinkToFit="0" vertical="center" wrapText="0"/>
    </xf>
    <xf borderId="5" fillId="7" fontId="8" numFmtId="0" xfId="0" applyAlignment="1" applyBorder="1" applyFill="1" applyFont="1">
      <alignment horizontal="left" shrinkToFit="0" vertical="center" wrapText="0"/>
    </xf>
    <xf borderId="5" fillId="7" fontId="8" numFmtId="9" xfId="0" applyAlignment="1" applyBorder="1" applyFill="1" applyFont="1" applyNumberFormat="1">
      <alignment horizontal="center" shrinkToFit="0" vertical="center" wrapText="0"/>
    </xf>
    <xf borderId="5" fillId="7" fontId="12" numFmtId="0" xfId="0" applyAlignment="1" applyBorder="1" applyFill="1" applyFont="1">
      <alignment horizontal="center" shrinkToFit="0" vertical="center" wrapText="0"/>
    </xf>
    <xf borderId="5" fillId="7" fontId="6" numFmtId="168" xfId="0" applyAlignment="1" applyBorder="1" applyFill="1" applyFont="1" applyNumberFormat="1">
      <alignment horizontal="right" shrinkToFit="0" vertical="center" wrapText="0"/>
    </xf>
    <xf borderId="5" fillId="7" fontId="8" numFmtId="168" xfId="0" applyAlignment="1" applyBorder="1" applyFill="1" applyFont="1" applyNumberFormat="1">
      <alignment horizontal="right" shrinkToFit="0" vertical="center" wrapText="0"/>
    </xf>
    <xf borderId="0" fillId="0" fontId="11" numFmtId="0" xfId="0" applyAlignment="1" applyFont="1">
      <alignment shrinkToFit="0" vertical="bottom" wrapText="0"/>
    </xf>
    <xf borderId="5" fillId="6" fontId="8" numFmtId="169" xfId="0" applyAlignment="1" applyBorder="1" applyFill="1" applyFont="1" applyNumberFormat="1">
      <alignment horizontal="center" shrinkToFit="0" vertical="center" wrapText="0"/>
    </xf>
    <xf borderId="5" fillId="6" fontId="6" numFmtId="9" xfId="0" applyAlignment="1" applyBorder="1" applyFill="1" applyFont="1" applyNumberFormat="1">
      <alignment horizontal="center" shrinkToFit="0" vertical="center" wrapText="0"/>
    </xf>
    <xf borderId="5" fillId="7" fontId="6" numFmtId="9" xfId="0" applyAlignment="1" applyBorder="1" applyFill="1" applyFont="1" applyNumberFormat="1">
      <alignment horizontal="center" shrinkToFit="0" vertical="center" wrapText="0"/>
    </xf>
    <xf borderId="0" fillId="0" fontId="17" numFmtId="9" xfId="0" applyAlignment="1" applyFont="1" applyNumberFormat="1">
      <alignment horizontal="center" shrinkToFit="0" vertical="bottom" wrapText="0"/>
    </xf>
    <xf borderId="5" fillId="6" fontId="6" numFmtId="170" xfId="0" applyAlignment="1" applyBorder="1" applyFill="1" applyFont="1" applyNumberFormat="1">
      <alignment horizontal="center" shrinkToFit="0" vertical="center" wrapText="0"/>
    </xf>
    <xf borderId="5" fillId="7" fontId="6" numFmtId="170" xfId="0" applyAlignment="1" applyBorder="1" applyFill="1" applyFont="1" applyNumberFormat="1">
      <alignment horizontal="center" shrinkToFit="0" vertical="center" wrapText="0"/>
    </xf>
    <xf borderId="5" fillId="6" fontId="6" numFmtId="1" xfId="0" applyAlignment="1" applyBorder="1" applyFill="1" applyFont="1" applyNumberFormat="1">
      <alignment horizontal="left" shrinkToFit="0" vertical="center" wrapText="0"/>
    </xf>
    <xf borderId="5" fillId="6" fontId="8" numFmtId="167" xfId="0" applyAlignment="1" applyBorder="1" applyFill="1" applyFont="1" applyNumberFormat="1">
      <alignment horizontal="center" shrinkToFit="0" vertical="center" wrapText="0"/>
    </xf>
    <xf borderId="5" fillId="7" fontId="8" numFmtId="169" xfId="0" applyAlignment="1" applyBorder="1" applyFill="1" applyFont="1" applyNumberFormat="1">
      <alignment horizontal="center" shrinkToFit="0" vertical="center" wrapText="0"/>
    </xf>
    <xf borderId="5" fillId="7" fontId="8" numFmtId="167" xfId="0" applyAlignment="1" applyBorder="1" applyFill="1" applyFont="1" applyNumberFormat="1">
      <alignment horizontal="center" shrinkToFit="0" vertical="center" wrapText="0"/>
    </xf>
    <xf borderId="5" fillId="2" fontId="4" numFmtId="0" xfId="0" applyAlignment="1" applyBorder="1" applyFill="1" applyFont="1">
      <alignment horizontal="left" shrinkToFit="0" vertical="center" wrapText="0"/>
    </xf>
    <xf borderId="5" fillId="2" fontId="4" numFmtId="9" xfId="0" applyAlignment="1" applyBorder="1" applyFill="1" applyFont="1" applyNumberFormat="1">
      <alignment horizontal="center" shrinkToFit="0" vertical="center" wrapText="0"/>
    </xf>
    <xf borderId="5" fillId="2" fontId="4" numFmtId="1" xfId="0" applyAlignment="1" applyBorder="1" applyFill="1" applyFont="1" applyNumberFormat="1">
      <alignment horizontal="center" shrinkToFit="0" vertical="center" wrapText="0"/>
    </xf>
    <xf borderId="5" fillId="2" fontId="4" numFmtId="0" xfId="0" applyAlignment="1" applyBorder="1" applyFill="1" applyFont="1">
      <alignment horizontal="center" shrinkToFit="0" vertical="center" wrapText="0"/>
    </xf>
    <xf borderId="5" fillId="2" fontId="4" numFmtId="167" xfId="0" applyAlignment="1" applyBorder="1" applyFill="1" applyFont="1" applyNumberFormat="1">
      <alignment horizontal="center" shrinkToFit="0" vertical="center" wrapText="0"/>
    </xf>
    <xf borderId="5" fillId="6" fontId="8" numFmtId="170" xfId="0" applyAlignment="1" applyBorder="1" applyFill="1" applyFont="1" applyNumberFormat="1">
      <alignment horizontal="center" shrinkToFit="0" vertical="center" wrapText="0"/>
    </xf>
    <xf borderId="5" fillId="7" fontId="8" numFmtId="170" xfId="0" applyAlignment="1" applyBorder="1" applyFill="1" applyFont="1" applyNumberFormat="1">
      <alignment horizontal="center" shrinkToFit="0" vertical="center" wrapText="0"/>
    </xf>
    <xf borderId="5" fillId="2" fontId="4" numFmtId="170" xfId="0" applyAlignment="1" applyBorder="1" applyFill="1" applyFont="1" applyNumberFormat="1">
      <alignment horizontal="center" shrinkToFit="0" vertical="center" wrapText="0"/>
    </xf>
    <xf borderId="5" fillId="2" fontId="4" numFmtId="168" xfId="0" applyAlignment="1" applyBorder="1" applyFill="1" applyFont="1" applyNumberFormat="1">
      <alignment horizontal="center" shrinkToFit="0" vertical="center" wrapText="0"/>
    </xf>
    <xf borderId="4" fillId="6" fontId="18" numFmtId="0" xfId="0" applyAlignment="1" applyBorder="1" applyFill="1" applyFont="1">
      <alignment shrinkToFit="0" vertical="bottom" wrapText="0"/>
    </xf>
    <xf borderId="5" fillId="6" fontId="8" numFmtId="164" xfId="0" applyAlignment="1" applyBorder="1" applyFill="1" applyFont="1" applyNumberFormat="1">
      <alignment horizontal="center" shrinkToFit="0" vertical="center" wrapText="0"/>
    </xf>
    <xf borderId="5" fillId="7" fontId="8" numFmtId="164" xfId="0" applyAlignment="1" applyBorder="1" applyFill="1" applyFont="1" applyNumberFormat="1">
      <alignment horizontal="center" shrinkToFit="0" vertical="center" wrapText="0"/>
    </xf>
    <xf borderId="0" fillId="0" fontId="9" numFmtId="0" xfId="0" applyAlignment="1" applyFont="1">
      <alignment shrinkToFit="0" vertical="bottom" wrapText="0"/>
    </xf>
    <xf borderId="0" fillId="0" fontId="11" numFmtId="0" xfId="0" applyAlignment="1" applyFont="1">
      <alignment shrinkToFit="0" vertical="center" wrapText="1"/>
    </xf>
  </cellXfs>
  <cellStyles count="1">
    <cellStyle xfId="0" name="Normal" builtinId="0"/>
  </cellStyles>
  <dxfs count="7">
    <dxf>
      <font/>
      <fill>
        <patternFill patternType="solid">
          <fgColor rgb="FFFDE9DB"/>
          <bgColor rgb="FFFDE9DB"/>
        </patternFill>
      </fill>
      <border/>
    </dxf>
    <dxf>
      <font>
        <b/>
        <color rgb="FFDC2626"/>
        <name val="Inter Tight"/>
      </font>
      <fill>
        <patternFill patternType="none"/>
      </fill>
      <border/>
    </dxf>
    <dxf>
      <font>
        <b/>
        <color rgb="FFF26A1B"/>
        <name val="Inter Tight"/>
      </font>
      <fill>
        <patternFill patternType="solid">
          <fgColor rgb="FFFDE9DB"/>
          <bgColor rgb="FFFDE9DB"/>
        </patternFill>
      </fill>
      <border/>
    </dxf>
    <dxf>
      <font>
        <b/>
        <color rgb="FFF26A1B"/>
        <name val="Inter Tight"/>
      </font>
      <fill>
        <patternFill patternType="none"/>
      </fill>
      <border/>
    </dxf>
    <dxf>
      <font>
        <b/>
        <color rgb="FFB45309"/>
        <name val="Inter Tight"/>
      </font>
      <fill>
        <patternFill patternType="none"/>
      </fill>
      <border/>
    </dxf>
    <dxf>
      <font>
        <b/>
        <color rgb="FFDC2626"/>
        <name val="Inter Tight"/>
      </font>
      <fill>
        <patternFill patternType="solid">
          <fgColor rgb="FFFEE2E2"/>
          <bgColor rgb="FFFEE2E2"/>
        </patternFill>
      </fill>
      <border/>
    </dxf>
    <dxf>
      <font>
        <color rgb="FF71717A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Số nội dung theo kênh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v>Số nội dung kế hoạch</c:v>
          </c:tx>
          <c:spPr>
            <a:solidFill>
              <a:srgbClr val="F26A1B"/>
            </a:solidFill>
            <a:ln cmpd="sng">
              <a:noFill/>
            </a:ln>
          </c:spPr>
          <c:invertIfNegative val="0"/>
          <c:cat>
            <c:strRef>
              <c:f>'Tổng quan'!$A$41:$A$47</c:f>
            </c:strRef>
          </c:cat>
          <c:val>
            <c:numRef>
              <c:f>'Tổng quan'!$D$41:$D$47</c:f>
              <c:numCache/>
            </c:numRef>
          </c:val>
        </c:ser>
        <c:axId val="518218817"/>
        <c:axId val="856713006"/>
      </c:barChart>
      <c:catAx>
        <c:axId val="51821881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856713006"/>
      </c:catAx>
      <c:valAx>
        <c:axId val="85671300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518218817"/>
        <c:crosses val="max"/>
      </c:valAx>
    </c:plotArea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Lượt tương tác theo tuần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Lượt tương tác</c:v>
          </c:tx>
          <c:spPr>
            <a:solidFill>
              <a:srgbClr val="3F3F46"/>
            </a:solidFill>
            <a:ln cmpd="sng">
              <a:noFill/>
            </a:ln>
          </c:spPr>
          <c:invertIfNegative val="0"/>
          <c:cat>
            <c:strRef>
              <c:f>'Tổng quan'!$A$61:$A$66</c:f>
            </c:strRef>
          </c:cat>
          <c:val>
            <c:numRef>
              <c:f>'Tổng quan'!$H$61:$H$66</c:f>
              <c:numCache/>
            </c:numRef>
          </c:val>
        </c:ser>
        <c:axId val="181545367"/>
        <c:axId val="580719057"/>
      </c:barChart>
      <c:catAx>
        <c:axId val="1815453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580719057"/>
      </c:catAx>
      <c:valAx>
        <c:axId val="5807190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81545367"/>
      </c:valAx>
    </c:plotArea>
    <c:plotVisOnly val="1"/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Tỷ trọng trụ cột: mục tiêu và thực tế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Tỷ trọng mục tiêu</c:v>
          </c:tx>
          <c:spPr>
            <a:solidFill>
              <a:srgbClr val="D4D4D8"/>
            </a:solidFill>
            <a:ln cmpd="sng">
              <a:noFill/>
            </a:ln>
          </c:spPr>
          <c:invertIfNegative val="0"/>
          <c:cat>
            <c:strRef>
              <c:f>'Tổng quan'!$A$29:$A$34</c:f>
            </c:strRef>
          </c:cat>
          <c:val>
            <c:numRef>
              <c:f>'Tổng quan'!$B$29:$B$34</c:f>
              <c:numCache/>
            </c:numRef>
          </c:val>
        </c:ser>
        <c:ser>
          <c:idx val="1"/>
          <c:order val="1"/>
          <c:tx>
            <c:v>Tỷ trọng thực tế</c:v>
          </c:tx>
          <c:spPr>
            <a:solidFill>
              <a:srgbClr val="F26A1B"/>
            </a:solidFill>
            <a:ln cmpd="sng">
              <a:noFill/>
            </a:ln>
          </c:spPr>
          <c:invertIfNegative val="0"/>
          <c:cat>
            <c:strRef>
              <c:f>'Tổng quan'!$A$29:$A$34</c:f>
            </c:strRef>
          </c:cat>
          <c:val>
            <c:numRef>
              <c:f>'Tổng quan'!$D$29:$D$34</c:f>
              <c:numCache/>
            </c:numRef>
          </c:val>
        </c:ser>
        <c:axId val="1068063922"/>
        <c:axId val="1059701759"/>
      </c:barChart>
      <c:catAx>
        <c:axId val="10680639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59701759"/>
      </c:catAx>
      <c:valAx>
        <c:axId val="105970175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68063922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0</xdr:colOff>
      <xdr:row>3</xdr:row>
      <xdr:rowOff>0</xdr:rowOff>
    </xdr:from>
    <xdr:ext cx="5476875" cy="2905125"/>
    <xdr:graphicFrame>
      <xdr:nvGraphicFramePr>
        <xdr:cNvPr id="130813128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13</xdr:col>
      <xdr:colOff>0</xdr:colOff>
      <xdr:row>21</xdr:row>
      <xdr:rowOff>0</xdr:rowOff>
    </xdr:from>
    <xdr:ext cx="5476875" cy="2886075"/>
    <xdr:graphicFrame>
      <xdr:nvGraphicFramePr>
        <xdr:cNvPr id="68287155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13</xdr:col>
      <xdr:colOff>0</xdr:colOff>
      <xdr:row>39</xdr:row>
      <xdr:rowOff>0</xdr:rowOff>
    </xdr:from>
    <xdr:ext cx="5476875" cy="2876550"/>
    <xdr:graphicFrame>
      <xdr:nvGraphicFramePr>
        <xdr:cNvPr id="142305611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2.0"/>
    <col customWidth="1" min="2" max="12" width="15.0"/>
    <col customWidth="1" min="13" max="26" width="8.71"/>
  </cols>
  <sheetData>
    <row r="1" ht="42.0" customHeight="1">
      <c r="A1" s="36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ht="19.5" customHeight="1">
      <c r="A2" s="4" t="str">
        <f>IF(OR(B6="",B7=""),"Chưa nhập kỳ kế hoạch",B5&amp;"  |  "&amp;TEXT(B6,"dd/mm/yyyy")&amp;" – "&amp;TEXT(B7,"dd/mm/yyyy")&amp;"  |  "&amp;B11&amp;" tuần  |  Thương hiệu: "&amp;B4)</f>
        <v>Mùa không khí sạch – Quý 4/2026  |  05/10/2026 – 08/11/2026  |  5 tuần  |  Thương hiệu: ABC – Máy lọc không khí AirPure</v>
      </c>
    </row>
    <row r="4" ht="21.75" customHeight="1">
      <c r="A4" s="7" t="s">
        <v>87</v>
      </c>
      <c r="B4" s="37" t="s">
        <v>89</v>
      </c>
      <c r="C4" s="2"/>
      <c r="D4" s="3"/>
      <c r="F4" s="38" t="s">
        <v>95</v>
      </c>
      <c r="H4" s="39" t="s">
        <v>97</v>
      </c>
      <c r="I4" s="40"/>
      <c r="J4" s="40"/>
      <c r="K4" s="40"/>
      <c r="L4" s="41"/>
    </row>
    <row r="5" ht="21.75" customHeight="1">
      <c r="A5" s="7" t="s">
        <v>98</v>
      </c>
      <c r="B5" s="37" t="s">
        <v>99</v>
      </c>
      <c r="C5" s="2"/>
      <c r="D5" s="3"/>
      <c r="H5" s="42"/>
      <c r="I5" s="43"/>
      <c r="J5" s="43"/>
      <c r="K5" s="43"/>
      <c r="L5" s="44"/>
    </row>
    <row r="6" ht="21.75" customHeight="1">
      <c r="A6" s="7" t="s">
        <v>100</v>
      </c>
      <c r="B6" s="45">
        <v>46300.0</v>
      </c>
      <c r="C6" s="2"/>
      <c r="D6" s="3"/>
      <c r="F6" s="38" t="s">
        <v>102</v>
      </c>
      <c r="H6" s="39" t="s">
        <v>104</v>
      </c>
      <c r="I6" s="40"/>
      <c r="J6" s="40"/>
      <c r="K6" s="40"/>
      <c r="L6" s="41"/>
    </row>
    <row r="7" ht="21.75" customHeight="1">
      <c r="A7" s="7" t="s">
        <v>105</v>
      </c>
      <c r="B7" s="45">
        <v>46334.0</v>
      </c>
      <c r="C7" s="2"/>
      <c r="D7" s="3"/>
      <c r="H7" s="42"/>
      <c r="I7" s="43"/>
      <c r="J7" s="43"/>
      <c r="K7" s="43"/>
      <c r="L7" s="44"/>
    </row>
    <row r="8" ht="21.75" customHeight="1">
      <c r="A8" s="7" t="s">
        <v>106</v>
      </c>
      <c r="B8" s="37" t="s">
        <v>60</v>
      </c>
      <c r="C8" s="2"/>
      <c r="D8" s="3"/>
      <c r="F8" s="38" t="s">
        <v>107</v>
      </c>
      <c r="H8" s="39" t="s">
        <v>108</v>
      </c>
      <c r="I8" s="40"/>
      <c r="J8" s="40"/>
      <c r="K8" s="40"/>
      <c r="L8" s="41"/>
    </row>
    <row r="9" ht="21.75" customHeight="1">
      <c r="A9" s="7" t="s">
        <v>112</v>
      </c>
      <c r="B9" s="45">
        <v>46296.0</v>
      </c>
      <c r="C9" s="2"/>
      <c r="D9" s="3"/>
      <c r="H9" s="42"/>
      <c r="I9" s="43"/>
      <c r="J9" s="43"/>
      <c r="K9" s="43"/>
      <c r="L9" s="44"/>
    </row>
    <row r="10" ht="25.5" customHeight="1">
      <c r="A10" s="7" t="s">
        <v>115</v>
      </c>
      <c r="B10" s="46">
        <v>8.0E7</v>
      </c>
      <c r="C10" s="2"/>
      <c r="D10" s="3"/>
      <c r="F10" s="38" t="s">
        <v>116</v>
      </c>
      <c r="H10" s="47"/>
      <c r="I10" s="2"/>
      <c r="J10" s="2"/>
      <c r="K10" s="2"/>
      <c r="L10" s="3"/>
    </row>
    <row r="11">
      <c r="A11" s="7" t="s">
        <v>117</v>
      </c>
      <c r="B11" s="48">
        <f>IF(OR(B6="",B7=""),0,ROUNDUP((B7-B6+1)/7,0))</f>
        <v>5</v>
      </c>
      <c r="F11" s="7" t="s">
        <v>119</v>
      </c>
      <c r="H11" s="12">
        <f>IF(H10="",TODAY(),H10)</f>
        <v>46325</v>
      </c>
    </row>
    <row r="13" ht="25.5" customHeight="1">
      <c r="A13" s="49" t="s">
        <v>121</v>
      </c>
      <c r="B13" s="50" t="s">
        <v>61</v>
      </c>
      <c r="C13" s="3"/>
      <c r="D13" s="50" t="s">
        <v>122</v>
      </c>
      <c r="E13" s="3"/>
      <c r="F13" s="50" t="s">
        <v>123</v>
      </c>
      <c r="G13" s="3"/>
      <c r="H13" s="50" t="s">
        <v>124</v>
      </c>
      <c r="I13" s="3"/>
      <c r="J13" s="50" t="s">
        <v>125</v>
      </c>
      <c r="K13" s="2"/>
      <c r="L13" s="3"/>
    </row>
    <row r="14">
      <c r="A14" s="51">
        <f>COUNTIFS('Lịch nội dung'!$C$6:$C$105,"&gt;="&amp;'Tổng quan'!$B$6,'Lịch nội dung'!$C$6:$C$105,"&lt;="&amp;'Tổng quan'!$B$7,'Lịch nội dung'!$R$6:$R$105,"&lt;&gt;Hủy")</f>
        <v>21</v>
      </c>
      <c r="B14" s="53">
        <f>COUNTIFS('Lịch nội dung'!$C$6:$C$105,"&gt;="&amp;'Tổng quan'!$B$6,'Lịch nội dung'!$C$6:$C$105,"&lt;="&amp;'Tổng quan'!$B$7,'Lịch nội dung'!$R$6:$R$105,"Đã đăng")</f>
        <v>12</v>
      </c>
      <c r="C14" s="41"/>
      <c r="D14" s="54">
        <f>IF(A14=0,0,B14/A14)</f>
        <v>0.5714285714</v>
      </c>
      <c r="E14" s="41"/>
      <c r="F14" s="53">
        <f>(COUNTIFS('Lịch nội dung'!$C$6:$C$105,"&gt;="&amp;'Tổng quan'!$B$6,'Lịch nội dung'!$C$6:$C$105,"&lt;="&amp;'Tổng quan'!$B$7,'Lịch nội dung'!$R$6:$R$105,"Ý tưởng")+COUNTIFS('Lịch nội dung'!$C$6:$C$105,"&gt;="&amp;'Tổng quan'!$B$6,'Lịch nội dung'!$C$6:$C$105,"&lt;="&amp;'Tổng quan'!$B$7,'Lịch nội dung'!$R$6:$R$105,"Đang viết")+COUNTIFS('Lịch nội dung'!$C$6:$C$105,"&gt;="&amp;'Tổng quan'!$B$6,'Lịch nội dung'!$C$6:$C$105,"&lt;="&amp;'Tổng quan'!$B$7,'Lịch nội dung'!$R$6:$R$105,"Chờ duyệt"))</f>
        <v>7</v>
      </c>
      <c r="G14" s="41"/>
      <c r="H14" s="58">
        <f>SUMPRODUCT(('Lịch nội dung'!$C$6:$C$105&gt;='Tổng quan'!$B$6)*('Lịch nội dung'!$C$6:$C$105&lt;='Tổng quan'!$B$7)*(LEFT('Lịch nội dung'!$S$6:$S$105,3)="Trễ"))</f>
        <v>1</v>
      </c>
      <c r="I14" s="41"/>
      <c r="J14" s="54">
        <f>IF(B10=0,0,(SUMIFS('Lịch nội dung'!$U$6:$U$105,'Lịch nội dung'!$C$6:$C$105,"&gt;="&amp;'Tổng quan'!$B$6,'Lịch nội dung'!$C$6:$C$105,"&lt;="&amp;'Tổng quan'!$B$7,'Lịch nội dung'!$R$6:$R$105,"&lt;&gt;Hủy")+SUMIFS('Lịch nội dung'!$V$6:$V$105,'Lịch nội dung'!$C$6:$C$105,"&gt;="&amp;'Tổng quan'!$B$6,'Lịch nội dung'!$C$6:$C$105,"&lt;="&amp;'Tổng quan'!$B$7,'Lịch nội dung'!$R$6:$R$105,"&lt;&gt;Hủy"))/B10)</f>
        <v>0.7925</v>
      </c>
      <c r="K14" s="40"/>
      <c r="L14" s="41"/>
    </row>
    <row r="15">
      <c r="A15" s="59"/>
      <c r="B15" s="60"/>
      <c r="C15" s="44"/>
      <c r="D15" s="60"/>
      <c r="E15" s="44"/>
      <c r="F15" s="60"/>
      <c r="G15" s="44"/>
      <c r="H15" s="60"/>
      <c r="I15" s="44"/>
      <c r="J15" s="60"/>
      <c r="K15" s="43"/>
      <c r="L15" s="44"/>
    </row>
    <row r="17" ht="24.0" customHeight="1">
      <c r="A17" s="61" t="s">
        <v>174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</row>
    <row r="18" ht="36.0" customHeight="1">
      <c r="A18" s="13" t="s">
        <v>175</v>
      </c>
      <c r="B18" s="13" t="s">
        <v>177</v>
      </c>
      <c r="C18" s="13" t="s">
        <v>178</v>
      </c>
      <c r="D18" s="13" t="s">
        <v>179</v>
      </c>
      <c r="E18" s="13" t="s">
        <v>180</v>
      </c>
    </row>
    <row r="19" ht="24.0" customHeight="1">
      <c r="A19" s="62" t="s">
        <v>181</v>
      </c>
      <c r="B19" s="22">
        <v>21.0</v>
      </c>
      <c r="C19" s="25">
        <f>COUNTIFS('Lịch nội dung'!$C$6:$C$105,"&gt;="&amp;'Tổng quan'!$B$6,'Lịch nội dung'!$C$6:$C$105,"&lt;="&amp;'Tổng quan'!$B$7,'Lịch nội dung'!$R$6:$R$105,"Đã đăng")</f>
        <v>12</v>
      </c>
      <c r="D19" s="63">
        <f t="shared" ref="D19:D24" si="1">IF(N(B19)=0,"",C19/B19)</f>
        <v>0.5714285714</v>
      </c>
      <c r="E19" s="64" t="str">
        <f t="shared" ref="E19:E25" si="2">IF(D19="","Chưa có dữ liệu",IF(D19&gt;=1,"Đạt mục tiêu",IF(D19&gt;=0.7,"Gần đạt","Chưa đạt")))</f>
        <v>Chưa đạt</v>
      </c>
    </row>
    <row r="20" ht="24.0" customHeight="1">
      <c r="A20" s="65" t="s">
        <v>33</v>
      </c>
      <c r="B20" s="32">
        <v>250000.0</v>
      </c>
      <c r="C20" s="35">
        <f>SUMIFS('Lịch nội dung'!$W$6:$W$105,'Lịch nội dung'!$C$6:$C$105,"&gt;="&amp;'Tổng quan'!$B$6,'Lịch nội dung'!$C$6:$C$105,"&lt;="&amp;'Tổng quan'!$B$7,'Lịch nội dung'!$R$6:$R$105,"&lt;&gt;Hủy")</f>
        <v>172700</v>
      </c>
      <c r="D20" s="66">
        <f t="shared" si="1"/>
        <v>0.6908</v>
      </c>
      <c r="E20" s="67" t="str">
        <f t="shared" si="2"/>
        <v>Chưa đạt</v>
      </c>
    </row>
    <row r="21" ht="24.0" customHeight="1">
      <c r="A21" s="62" t="s">
        <v>34</v>
      </c>
      <c r="B21" s="22">
        <v>20000.0</v>
      </c>
      <c r="C21" s="25">
        <f>SUMIFS('Lịch nội dung'!$X$6:$X$105,'Lịch nội dung'!$C$6:$C$105,"&gt;="&amp;'Tổng quan'!$B$6,'Lịch nội dung'!$C$6:$C$105,"&lt;="&amp;'Tổng quan'!$B$7,'Lịch nội dung'!$R$6:$R$105,"&lt;&gt;Hủy")</f>
        <v>14830</v>
      </c>
      <c r="D21" s="63">
        <f t="shared" si="1"/>
        <v>0.7415</v>
      </c>
      <c r="E21" s="64" t="str">
        <f t="shared" si="2"/>
        <v>Gần đạt</v>
      </c>
    </row>
    <row r="22" ht="24.0" customHeight="1">
      <c r="A22" s="65" t="s">
        <v>35</v>
      </c>
      <c r="B22" s="32">
        <v>6000.0</v>
      </c>
      <c r="C22" s="35">
        <f>SUMIFS('Lịch nội dung'!$Y$6:$Y$105,'Lịch nội dung'!$C$6:$C$105,"&gt;="&amp;'Tổng quan'!$B$6,'Lịch nội dung'!$C$6:$C$105,"&lt;="&amp;'Tổng quan'!$B$7,'Lịch nội dung'!$R$6:$R$105,"&lt;&gt;Hủy")</f>
        <v>4245</v>
      </c>
      <c r="D22" s="66">
        <f t="shared" si="1"/>
        <v>0.7075</v>
      </c>
      <c r="E22" s="67" t="str">
        <f t="shared" si="2"/>
        <v>Gần đạt</v>
      </c>
    </row>
    <row r="23" ht="24.0" customHeight="1">
      <c r="A23" s="62" t="s">
        <v>36</v>
      </c>
      <c r="B23" s="22">
        <v>700.0</v>
      </c>
      <c r="C23" s="25">
        <f>SUMIFS('Lịch nội dung'!$Z$6:$Z$105,'Lịch nội dung'!$C$6:$C$105,"&gt;="&amp;'Tổng quan'!$B$6,'Lịch nội dung'!$C$6:$C$105,"&lt;="&amp;'Tổng quan'!$B$7,'Lịch nội dung'!$R$6:$R$105,"&lt;&gt;Hủy")</f>
        <v>450</v>
      </c>
      <c r="D23" s="63">
        <f t="shared" si="1"/>
        <v>0.6428571429</v>
      </c>
      <c r="E23" s="64" t="str">
        <f t="shared" si="2"/>
        <v>Chưa đạt</v>
      </c>
    </row>
    <row r="24" ht="24.0" customHeight="1">
      <c r="A24" s="65" t="s">
        <v>205</v>
      </c>
      <c r="B24" s="68">
        <v>0.08</v>
      </c>
      <c r="C24" s="69">
        <f>IF(C20=0,0,C21/C20)</f>
        <v>0.08587145339</v>
      </c>
      <c r="D24" s="66">
        <f t="shared" si="1"/>
        <v>1.073393167</v>
      </c>
      <c r="E24" s="67" t="str">
        <f t="shared" si="2"/>
        <v>Đạt mục tiêu</v>
      </c>
    </row>
    <row r="25" ht="24.0" customHeight="1">
      <c r="A25" s="62" t="s">
        <v>209</v>
      </c>
      <c r="B25" s="22">
        <v>120000.0</v>
      </c>
      <c r="C25" s="25">
        <f>IF(C23=0,0,(SUMIFS('Lịch nội dung'!$U$6:$U$105,'Lịch nội dung'!$C$6:$C$105,"&gt;="&amp;'Tổng quan'!$B$6,'Lịch nội dung'!$C$6:$C$105,"&lt;="&amp;'Tổng quan'!$B$7,'Lịch nội dung'!$R$6:$R$105,"&lt;&gt;Hủy")+SUMIFS('Lịch nội dung'!$V$6:$V$105,'Lịch nội dung'!$C$6:$C$105,"&gt;="&amp;'Tổng quan'!$B$6,'Lịch nội dung'!$C$6:$C$105,"&lt;="&amp;'Tổng quan'!$B$7,'Lịch nội dung'!$R$6:$R$105,"&lt;&gt;Hủy"))/C23)</f>
        <v>140888.8889</v>
      </c>
      <c r="D25" s="63">
        <f>IF(OR(N(B25)=0,N(C25)=0),"",B25/C25)</f>
        <v>0.8517350158</v>
      </c>
      <c r="E25" s="64" t="str">
        <f t="shared" si="2"/>
        <v>Gần đạt</v>
      </c>
    </row>
    <row r="26" ht="15.75" customHeight="1"/>
    <row r="27" ht="24.0" customHeight="1">
      <c r="A27" s="61" t="s">
        <v>222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</row>
    <row r="28" ht="36.0" customHeight="1">
      <c r="A28" s="13" t="s">
        <v>17</v>
      </c>
      <c r="B28" s="13" t="s">
        <v>223</v>
      </c>
      <c r="C28" s="13" t="s">
        <v>224</v>
      </c>
      <c r="D28" s="13" t="s">
        <v>225</v>
      </c>
      <c r="E28" s="13" t="s">
        <v>226</v>
      </c>
      <c r="F28" s="13" t="s">
        <v>61</v>
      </c>
      <c r="G28" s="13" t="s">
        <v>34</v>
      </c>
      <c r="H28" s="13" t="s">
        <v>38</v>
      </c>
      <c r="I28" s="13" t="s">
        <v>227</v>
      </c>
    </row>
    <row r="29" ht="21.75" customHeight="1">
      <c r="A29" s="62" t="str">
        <f>IF('Cài đặt'!A6="","",'Cài đặt'!A6)</f>
        <v>Giáo dục – Hướng dẫn</v>
      </c>
      <c r="B29" s="63">
        <f>IF($A29="","",'Cài đặt'!C6)</f>
        <v>0.35</v>
      </c>
      <c r="C29" s="52">
        <f>IF($A29="","",COUNTIFS('Lịch nội dung'!$G$6:$G$105,$A29,'Lịch nội dung'!$C$6:$C$105,"&gt;="&amp;'Tổng quan'!$B$6,'Lịch nội dung'!$C$6:$C$105,"&lt;="&amp;'Tổng quan'!$B$7,'Lịch nội dung'!$R$6:$R$105,"&lt;&gt;Hủy"))</f>
        <v>9</v>
      </c>
      <c r="D29" s="63">
        <f t="shared" ref="D29:D36" si="3">IF(OR($A29="",$C$37=0),"",C29/$C$37)</f>
        <v>0.4285714286</v>
      </c>
      <c r="E29" s="71">
        <f t="shared" ref="E29:E36" si="4">IF(OR($A29="",D29=""),"",(D29-B29)*100)</f>
        <v>7.857142857</v>
      </c>
      <c r="F29" s="52">
        <f>IF($A29="","",COUNTIFS('Lịch nội dung'!$G$6:$G$105,$A29,'Lịch nội dung'!$C$6:$C$105,"&gt;="&amp;'Tổng quan'!$B$6,'Lịch nội dung'!$C$6:$C$105,"&lt;="&amp;'Tổng quan'!$B$7,'Lịch nội dung'!$R$6:$R$105,"Đã đăng"))</f>
        <v>5</v>
      </c>
      <c r="G29" s="78">
        <f>IF($A29="","",SUMIFS('Lịch nội dung'!$X$6:$X$105,'Lịch nội dung'!$C$6:$C$105,"&gt;="&amp;'Tổng quan'!$B$6,'Lịch nội dung'!$C$6:$C$105,"&lt;="&amp;'Tổng quan'!$B$7,'Lịch nội dung'!$R$6:$R$105,"&lt;&gt;Hủy",'Lịch nội dung'!$G$6:$G$105,$A29))</f>
        <v>6840</v>
      </c>
      <c r="H29" s="24">
        <f>IF($A29="","",IF(SUMIFS('Lịch nội dung'!$W$6:$W$105,'Lịch nội dung'!$C$6:$C$105,"&gt;="&amp;'Tổng quan'!$B$6,'Lịch nội dung'!$C$6:$C$105,"&lt;="&amp;'Tổng quan'!$B$7,'Lịch nội dung'!$R$6:$R$105,"&lt;&gt;Hủy",'Lịch nội dung'!$G$6:$G$105,$A29)=0,"",G29/SUMIFS('Lịch nội dung'!$W$6:$W$105,'Lịch nội dung'!$C$6:$C$105,"&gt;="&amp;'Tổng quan'!$B$6,'Lịch nội dung'!$C$6:$C$105,"&lt;="&amp;'Tổng quan'!$B$7,'Lịch nội dung'!$R$6:$R$105,"&lt;&gt;Hủy",'Lịch nội dung'!$G$6:$G$105,$A29)))</f>
        <v>0.08825806452</v>
      </c>
      <c r="I29" s="64" t="str">
        <f t="shared" ref="I29:I36" si="5">IF(OR($A29="",E29=""),"",IF(ABS(E29)&lt;=5,"Cân đối",IF(E29&lt;0,"Đang thiếu","Đang vượt")))</f>
        <v>Đang vượt</v>
      </c>
    </row>
    <row r="30" ht="21.75" customHeight="1">
      <c r="A30" s="65" t="str">
        <f>IF('Cài đặt'!A7="","",'Cài đặt'!A7)</f>
        <v>Giới thiệu sản phẩm</v>
      </c>
      <c r="B30" s="66">
        <f>IF($A30="","",'Cài đặt'!C7)</f>
        <v>0.2</v>
      </c>
      <c r="C30" s="56">
        <f>IF($A30="","",COUNTIFS('Lịch nội dung'!$G$6:$G$105,$A30,'Lịch nội dung'!$C$6:$C$105,"&gt;="&amp;'Tổng quan'!$B$6,'Lịch nội dung'!$C$6:$C$105,"&lt;="&amp;'Tổng quan'!$B$7,'Lịch nội dung'!$R$6:$R$105,"&lt;&gt;Hủy"))</f>
        <v>4</v>
      </c>
      <c r="D30" s="66">
        <f t="shared" si="3"/>
        <v>0.1904761905</v>
      </c>
      <c r="E30" s="79">
        <f t="shared" si="4"/>
        <v>-0.9523809524</v>
      </c>
      <c r="F30" s="56">
        <f>IF($A30="","",COUNTIFS('Lịch nội dung'!$G$6:$G$105,$A30,'Lịch nội dung'!$C$6:$C$105,"&gt;="&amp;'Tổng quan'!$B$6,'Lịch nội dung'!$C$6:$C$105,"&lt;="&amp;'Tổng quan'!$B$7,'Lịch nội dung'!$R$6:$R$105,"Đã đăng"))</f>
        <v>2</v>
      </c>
      <c r="G30" s="80">
        <f>IF($A30="","",SUMIFS('Lịch nội dung'!$X$6:$X$105,'Lịch nội dung'!$C$6:$C$105,"&gt;="&amp;'Tổng quan'!$B$6,'Lịch nội dung'!$C$6:$C$105,"&lt;="&amp;'Tổng quan'!$B$7,'Lịch nội dung'!$R$6:$R$105,"&lt;&gt;Hủy",'Lịch nội dung'!$G$6:$G$105,$A30))</f>
        <v>3620</v>
      </c>
      <c r="H30" s="34">
        <f>IF($A30="","",IF(SUMIFS('Lịch nội dung'!$W$6:$W$105,'Lịch nội dung'!$C$6:$C$105,"&gt;="&amp;'Tổng quan'!$B$6,'Lịch nội dung'!$C$6:$C$105,"&lt;="&amp;'Tổng quan'!$B$7,'Lịch nội dung'!$R$6:$R$105,"&lt;&gt;Hủy",'Lịch nội dung'!$G$6:$G$105,$A30)=0,"",G30/SUMIFS('Lịch nội dung'!$W$6:$W$105,'Lịch nội dung'!$C$6:$C$105,"&gt;="&amp;'Tổng quan'!$B$6,'Lịch nội dung'!$C$6:$C$105,"&lt;="&amp;'Tổng quan'!$B$7,'Lịch nội dung'!$R$6:$R$105,"&lt;&gt;Hủy",'Lịch nội dung'!$G$6:$G$105,$A30)))</f>
        <v>0.07801724138</v>
      </c>
      <c r="I30" s="67" t="str">
        <f t="shared" si="5"/>
        <v>Cân đối</v>
      </c>
    </row>
    <row r="31" ht="21.75" customHeight="1">
      <c r="A31" s="62" t="str">
        <f>IF('Cài đặt'!A8="","",'Cài đặt'!A8)</f>
        <v>Câu chuyện khách hàng</v>
      </c>
      <c r="B31" s="63">
        <f>IF($A31="","",'Cài đặt'!C8)</f>
        <v>0.15</v>
      </c>
      <c r="C31" s="52">
        <f>IF($A31="","",COUNTIFS('Lịch nội dung'!$G$6:$G$105,$A31,'Lịch nội dung'!$C$6:$C$105,"&gt;="&amp;'Tổng quan'!$B$6,'Lịch nội dung'!$C$6:$C$105,"&lt;="&amp;'Tổng quan'!$B$7,'Lịch nội dung'!$R$6:$R$105,"&lt;&gt;Hủy"))</f>
        <v>2</v>
      </c>
      <c r="D31" s="63">
        <f t="shared" si="3"/>
        <v>0.09523809524</v>
      </c>
      <c r="E31" s="71">
        <f t="shared" si="4"/>
        <v>-5.476190476</v>
      </c>
      <c r="F31" s="52">
        <f>IF($A31="","",COUNTIFS('Lịch nội dung'!$G$6:$G$105,$A31,'Lịch nội dung'!$C$6:$C$105,"&gt;="&amp;'Tổng quan'!$B$6,'Lịch nội dung'!$C$6:$C$105,"&lt;="&amp;'Tổng quan'!$B$7,'Lịch nội dung'!$R$6:$R$105,"Đã đăng"))</f>
        <v>1</v>
      </c>
      <c r="G31" s="78">
        <f>IF($A31="","",SUMIFS('Lịch nội dung'!$X$6:$X$105,'Lịch nội dung'!$C$6:$C$105,"&gt;="&amp;'Tổng quan'!$B$6,'Lịch nội dung'!$C$6:$C$105,"&lt;="&amp;'Tổng quan'!$B$7,'Lịch nội dung'!$R$6:$R$105,"&lt;&gt;Hủy",'Lịch nội dung'!$G$6:$G$105,$A31))</f>
        <v>1240</v>
      </c>
      <c r="H31" s="24">
        <f>IF($A31="","",IF(SUMIFS('Lịch nội dung'!$W$6:$W$105,'Lịch nội dung'!$C$6:$C$105,"&gt;="&amp;'Tổng quan'!$B$6,'Lịch nội dung'!$C$6:$C$105,"&lt;="&amp;'Tổng quan'!$B$7,'Lịch nội dung'!$R$6:$R$105,"&lt;&gt;Hủy",'Lịch nội dung'!$G$6:$G$105,$A31)=0,"",G31/SUMIFS('Lịch nội dung'!$W$6:$W$105,'Lịch nội dung'!$C$6:$C$105,"&gt;="&amp;'Tổng quan'!$B$6,'Lịch nội dung'!$C$6:$C$105,"&lt;="&amp;'Tổng quan'!$B$7,'Lịch nội dung'!$R$6:$R$105,"&lt;&gt;Hủy",'Lịch nội dung'!$G$6:$G$105,$A31)))</f>
        <v>0.1265306122</v>
      </c>
      <c r="I31" s="64" t="str">
        <f t="shared" si="5"/>
        <v>Đang thiếu</v>
      </c>
    </row>
    <row r="32" ht="21.75" customHeight="1">
      <c r="A32" s="65" t="str">
        <f>IF('Cài đặt'!A9="","",'Cài đặt'!A9)</f>
        <v>Hậu trường – Thương hiệu</v>
      </c>
      <c r="B32" s="66">
        <f>IF($A32="","",'Cài đặt'!C9)</f>
        <v>0.1</v>
      </c>
      <c r="C32" s="56">
        <f>IF($A32="","",COUNTIFS('Lịch nội dung'!$G$6:$G$105,$A32,'Lịch nội dung'!$C$6:$C$105,"&gt;="&amp;'Tổng quan'!$B$6,'Lịch nội dung'!$C$6:$C$105,"&lt;="&amp;'Tổng quan'!$B$7,'Lịch nội dung'!$R$6:$R$105,"&lt;&gt;Hủy"))</f>
        <v>2</v>
      </c>
      <c r="D32" s="66">
        <f t="shared" si="3"/>
        <v>0.09523809524</v>
      </c>
      <c r="E32" s="79">
        <f t="shared" si="4"/>
        <v>-0.4761904762</v>
      </c>
      <c r="F32" s="56">
        <f>IF($A32="","",COUNTIFS('Lịch nội dung'!$G$6:$G$105,$A32,'Lịch nội dung'!$C$6:$C$105,"&gt;="&amp;'Tổng quan'!$B$6,'Lịch nội dung'!$C$6:$C$105,"&lt;="&amp;'Tổng quan'!$B$7,'Lịch nội dung'!$R$6:$R$105,"Đã đăng"))</f>
        <v>2</v>
      </c>
      <c r="G32" s="80">
        <f>IF($A32="","",SUMIFS('Lịch nội dung'!$X$6:$X$105,'Lịch nội dung'!$C$6:$C$105,"&gt;="&amp;'Tổng quan'!$B$6,'Lịch nội dung'!$C$6:$C$105,"&lt;="&amp;'Tổng quan'!$B$7,'Lịch nội dung'!$R$6:$R$105,"&lt;&gt;Hủy",'Lịch nội dung'!$G$6:$G$105,$A32))</f>
        <v>2180</v>
      </c>
      <c r="H32" s="34">
        <f>IF($A32="","",IF(SUMIFS('Lịch nội dung'!$W$6:$W$105,'Lịch nội dung'!$C$6:$C$105,"&gt;="&amp;'Tổng quan'!$B$6,'Lịch nội dung'!$C$6:$C$105,"&lt;="&amp;'Tổng quan'!$B$7,'Lịch nội dung'!$R$6:$R$105,"&lt;&gt;Hủy",'Lịch nội dung'!$G$6:$G$105,$A32)=0,"",G32/SUMIFS('Lịch nội dung'!$W$6:$W$105,'Lịch nội dung'!$C$6:$C$105,"&gt;="&amp;'Tổng quan'!$B$6,'Lịch nội dung'!$C$6:$C$105,"&lt;="&amp;'Tổng quan'!$B$7,'Lịch nội dung'!$R$6:$R$105,"&lt;&gt;Hủy",'Lịch nội dung'!$G$6:$G$105,$A32)))</f>
        <v>0.09909090909</v>
      </c>
      <c r="I32" s="67" t="str">
        <f t="shared" si="5"/>
        <v>Cân đối</v>
      </c>
    </row>
    <row r="33" ht="21.75" customHeight="1">
      <c r="A33" s="62" t="str">
        <f>IF('Cài đặt'!A10="","",'Cài đặt'!A10)</f>
        <v>Khuyến mãi – Chuyển đổi</v>
      </c>
      <c r="B33" s="63">
        <f>IF($A33="","",'Cài đặt'!C10)</f>
        <v>0.15</v>
      </c>
      <c r="C33" s="52">
        <f>IF($A33="","",COUNTIFS('Lịch nội dung'!$G$6:$G$105,$A33,'Lịch nội dung'!$C$6:$C$105,"&gt;="&amp;'Tổng quan'!$B$6,'Lịch nội dung'!$C$6:$C$105,"&lt;="&amp;'Tổng quan'!$B$7,'Lịch nội dung'!$R$6:$R$105,"&lt;&gt;Hủy"))</f>
        <v>2</v>
      </c>
      <c r="D33" s="63">
        <f t="shared" si="3"/>
        <v>0.09523809524</v>
      </c>
      <c r="E33" s="71">
        <f t="shared" si="4"/>
        <v>-5.476190476</v>
      </c>
      <c r="F33" s="52">
        <f>IF($A33="","",COUNTIFS('Lịch nội dung'!$G$6:$G$105,$A33,'Lịch nội dung'!$C$6:$C$105,"&gt;="&amp;'Tổng quan'!$B$6,'Lịch nội dung'!$C$6:$C$105,"&lt;="&amp;'Tổng quan'!$B$7,'Lịch nội dung'!$R$6:$R$105,"Đã đăng"))</f>
        <v>1</v>
      </c>
      <c r="G33" s="78">
        <f>IF($A33="","",SUMIFS('Lịch nội dung'!$X$6:$X$105,'Lịch nội dung'!$C$6:$C$105,"&gt;="&amp;'Tổng quan'!$B$6,'Lịch nội dung'!$C$6:$C$105,"&lt;="&amp;'Tổng quan'!$B$7,'Lịch nội dung'!$R$6:$R$105,"&lt;&gt;Hủy",'Lịch nội dung'!$G$6:$G$105,$A33))</f>
        <v>760</v>
      </c>
      <c r="H33" s="24">
        <f>IF($A33="","",IF(SUMIFS('Lịch nội dung'!$W$6:$W$105,'Lịch nội dung'!$C$6:$C$105,"&gt;="&amp;'Tổng quan'!$B$6,'Lịch nội dung'!$C$6:$C$105,"&lt;="&amp;'Tổng quan'!$B$7,'Lịch nội dung'!$R$6:$R$105,"&lt;&gt;Hủy",'Lịch nội dung'!$G$6:$G$105,$A33)=0,"",G33/SUMIFS('Lịch nội dung'!$W$6:$W$105,'Lịch nội dung'!$C$6:$C$105,"&gt;="&amp;'Tổng quan'!$B$6,'Lịch nội dung'!$C$6:$C$105,"&lt;="&amp;'Tổng quan'!$B$7,'Lịch nội dung'!$R$6:$R$105,"&lt;&gt;Hủy",'Lịch nội dung'!$G$6:$G$105,$A33)))</f>
        <v>0.05390070922</v>
      </c>
      <c r="I33" s="64" t="str">
        <f t="shared" si="5"/>
        <v>Đang thiếu</v>
      </c>
    </row>
    <row r="34" ht="21.75" customHeight="1">
      <c r="A34" s="65" t="str">
        <f>IF('Cài đặt'!A11="","",'Cài đặt'!A11)</f>
        <v>Xu hướng ngành</v>
      </c>
      <c r="B34" s="66">
        <f>IF($A34="","",'Cài đặt'!C11)</f>
        <v>0.05</v>
      </c>
      <c r="C34" s="56">
        <f>IF($A34="","",COUNTIFS('Lịch nội dung'!$G$6:$G$105,$A34,'Lịch nội dung'!$C$6:$C$105,"&gt;="&amp;'Tổng quan'!$B$6,'Lịch nội dung'!$C$6:$C$105,"&lt;="&amp;'Tổng quan'!$B$7,'Lịch nội dung'!$R$6:$R$105,"&lt;&gt;Hủy"))</f>
        <v>2</v>
      </c>
      <c r="D34" s="66">
        <f t="shared" si="3"/>
        <v>0.09523809524</v>
      </c>
      <c r="E34" s="79">
        <f t="shared" si="4"/>
        <v>4.523809524</v>
      </c>
      <c r="F34" s="56">
        <f>IF($A34="","",COUNTIFS('Lịch nội dung'!$G$6:$G$105,$A34,'Lịch nội dung'!$C$6:$C$105,"&gt;="&amp;'Tổng quan'!$B$6,'Lịch nội dung'!$C$6:$C$105,"&lt;="&amp;'Tổng quan'!$B$7,'Lịch nội dung'!$R$6:$R$105,"Đã đăng"))</f>
        <v>1</v>
      </c>
      <c r="G34" s="80">
        <f>IF($A34="","",SUMIFS('Lịch nội dung'!$X$6:$X$105,'Lịch nội dung'!$C$6:$C$105,"&gt;="&amp;'Tổng quan'!$B$6,'Lịch nội dung'!$C$6:$C$105,"&lt;="&amp;'Tổng quan'!$B$7,'Lịch nội dung'!$R$6:$R$105,"&lt;&gt;Hủy",'Lịch nội dung'!$G$6:$G$105,$A34))</f>
        <v>190</v>
      </c>
      <c r="H34" s="34">
        <f>IF($A34="","",IF(SUMIFS('Lịch nội dung'!$W$6:$W$105,'Lịch nội dung'!$C$6:$C$105,"&gt;="&amp;'Tổng quan'!$B$6,'Lịch nội dung'!$C$6:$C$105,"&lt;="&amp;'Tổng quan'!$B$7,'Lịch nội dung'!$R$6:$R$105,"&lt;&gt;Hủy",'Lịch nội dung'!$G$6:$G$105,$A34)=0,"",G34/SUMIFS('Lịch nội dung'!$W$6:$W$105,'Lịch nội dung'!$C$6:$C$105,"&gt;="&amp;'Tổng quan'!$B$6,'Lịch nội dung'!$C$6:$C$105,"&lt;="&amp;'Tổng quan'!$B$7,'Lịch nội dung'!$R$6:$R$105,"&lt;&gt;Hủy",'Lịch nội dung'!$G$6:$G$105,$A34)))</f>
        <v>0.06551724138</v>
      </c>
      <c r="I34" s="67" t="str">
        <f t="shared" si="5"/>
        <v>Cân đối</v>
      </c>
    </row>
    <row r="35" ht="21.75" customHeight="1">
      <c r="A35" s="62" t="str">
        <f>IF('Cài đặt'!A12="","",'Cài đặt'!A12)</f>
        <v/>
      </c>
      <c r="B35" s="63" t="str">
        <f>IF($A35="","",'Cài đặt'!C12)</f>
        <v/>
      </c>
      <c r="C35" s="52" t="str">
        <f>IF($A35="","",COUNTIFS('Lịch nội dung'!$G$6:$G$105,$A35,'Lịch nội dung'!$C$6:$C$105,"&gt;="&amp;'Tổng quan'!$B$6,'Lịch nội dung'!$C$6:$C$105,"&lt;="&amp;'Tổng quan'!$B$7,'Lịch nội dung'!$R$6:$R$105,"&lt;&gt;Hủy"))</f>
        <v/>
      </c>
      <c r="D35" s="63" t="str">
        <f t="shared" si="3"/>
        <v/>
      </c>
      <c r="E35" s="71" t="str">
        <f t="shared" si="4"/>
        <v/>
      </c>
      <c r="F35" s="52" t="str">
        <f>IF($A35="","",COUNTIFS('Lịch nội dung'!$G$6:$G$105,$A35,'Lịch nội dung'!$C$6:$C$105,"&gt;="&amp;'Tổng quan'!$B$6,'Lịch nội dung'!$C$6:$C$105,"&lt;="&amp;'Tổng quan'!$B$7,'Lịch nội dung'!$R$6:$R$105,"Đã đăng"))</f>
        <v/>
      </c>
      <c r="G35" s="78" t="str">
        <f>IF($A35="","",SUMIFS('Lịch nội dung'!$X$6:$X$105,'Lịch nội dung'!$C$6:$C$105,"&gt;="&amp;'Tổng quan'!$B$6,'Lịch nội dung'!$C$6:$C$105,"&lt;="&amp;'Tổng quan'!$B$7,'Lịch nội dung'!$R$6:$R$105,"&lt;&gt;Hủy",'Lịch nội dung'!$G$6:$G$105,$A35))</f>
        <v/>
      </c>
      <c r="H35" s="24" t="str">
        <f>IF($A35="","",IF(SUMIFS('Lịch nội dung'!$W$6:$W$105,'Lịch nội dung'!$C$6:$C$105,"&gt;="&amp;'Tổng quan'!$B$6,'Lịch nội dung'!$C$6:$C$105,"&lt;="&amp;'Tổng quan'!$B$7,'Lịch nội dung'!$R$6:$R$105,"&lt;&gt;Hủy",'Lịch nội dung'!$G$6:$G$105,$A35)=0,"",G35/SUMIFS('Lịch nội dung'!$W$6:$W$105,'Lịch nội dung'!$C$6:$C$105,"&gt;="&amp;'Tổng quan'!$B$6,'Lịch nội dung'!$C$6:$C$105,"&lt;="&amp;'Tổng quan'!$B$7,'Lịch nội dung'!$R$6:$R$105,"&lt;&gt;Hủy",'Lịch nội dung'!$G$6:$G$105,$A35)))</f>
        <v/>
      </c>
      <c r="I35" s="64" t="str">
        <f t="shared" si="5"/>
        <v/>
      </c>
    </row>
    <row r="36" ht="21.75" customHeight="1">
      <c r="A36" s="65" t="str">
        <f>IF('Cài đặt'!A13="","",'Cài đặt'!A13)</f>
        <v/>
      </c>
      <c r="B36" s="66" t="str">
        <f>IF($A36="","",'Cài đặt'!C13)</f>
        <v/>
      </c>
      <c r="C36" s="56" t="str">
        <f>IF($A36="","",COUNTIFS('Lịch nội dung'!$G$6:$G$105,$A36,'Lịch nội dung'!$C$6:$C$105,"&gt;="&amp;'Tổng quan'!$B$6,'Lịch nội dung'!$C$6:$C$105,"&lt;="&amp;'Tổng quan'!$B$7,'Lịch nội dung'!$R$6:$R$105,"&lt;&gt;Hủy"))</f>
        <v/>
      </c>
      <c r="D36" s="66" t="str">
        <f t="shared" si="3"/>
        <v/>
      </c>
      <c r="E36" s="79" t="str">
        <f t="shared" si="4"/>
        <v/>
      </c>
      <c r="F36" s="56" t="str">
        <f>IF($A36="","",COUNTIFS('Lịch nội dung'!$G$6:$G$105,$A36,'Lịch nội dung'!$C$6:$C$105,"&gt;="&amp;'Tổng quan'!$B$6,'Lịch nội dung'!$C$6:$C$105,"&lt;="&amp;'Tổng quan'!$B$7,'Lịch nội dung'!$R$6:$R$105,"Đã đăng"))</f>
        <v/>
      </c>
      <c r="G36" s="80" t="str">
        <f>IF($A36="","",SUMIFS('Lịch nội dung'!$X$6:$X$105,'Lịch nội dung'!$C$6:$C$105,"&gt;="&amp;'Tổng quan'!$B$6,'Lịch nội dung'!$C$6:$C$105,"&lt;="&amp;'Tổng quan'!$B$7,'Lịch nội dung'!$R$6:$R$105,"&lt;&gt;Hủy",'Lịch nội dung'!$G$6:$G$105,$A36))</f>
        <v/>
      </c>
      <c r="H36" s="34" t="str">
        <f>IF($A36="","",IF(SUMIFS('Lịch nội dung'!$W$6:$W$105,'Lịch nội dung'!$C$6:$C$105,"&gt;="&amp;'Tổng quan'!$B$6,'Lịch nội dung'!$C$6:$C$105,"&lt;="&amp;'Tổng quan'!$B$7,'Lịch nội dung'!$R$6:$R$105,"&lt;&gt;Hủy",'Lịch nội dung'!$G$6:$G$105,$A36)=0,"",G36/SUMIFS('Lịch nội dung'!$W$6:$W$105,'Lịch nội dung'!$C$6:$C$105,"&gt;="&amp;'Tổng quan'!$B$6,'Lịch nội dung'!$C$6:$C$105,"&lt;="&amp;'Tổng quan'!$B$7,'Lịch nội dung'!$R$6:$R$105,"&lt;&gt;Hủy",'Lịch nội dung'!$G$6:$G$105,$A36)))</f>
        <v/>
      </c>
      <c r="I36" s="67" t="str">
        <f t="shared" si="5"/>
        <v/>
      </c>
    </row>
    <row r="37" ht="15.75" customHeight="1">
      <c r="A37" s="81" t="s">
        <v>323</v>
      </c>
      <c r="B37" s="82">
        <f t="shared" ref="B37:D37" si="6">SUM(B29:B36)</f>
        <v>1</v>
      </c>
      <c r="C37" s="83">
        <f t="shared" si="6"/>
        <v>21</v>
      </c>
      <c r="D37" s="82">
        <f t="shared" si="6"/>
        <v>1</v>
      </c>
      <c r="E37" s="84"/>
      <c r="F37" s="83">
        <f t="shared" ref="F37:G37" si="7">SUM(F29:F36)</f>
        <v>12</v>
      </c>
      <c r="G37" s="85">
        <f t="shared" si="7"/>
        <v>14830</v>
      </c>
      <c r="H37" s="84"/>
      <c r="I37" s="84"/>
    </row>
    <row r="38" ht="15.75" customHeight="1"/>
    <row r="39" ht="24.0" customHeight="1">
      <c r="A39" s="61" t="s">
        <v>324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3"/>
    </row>
    <row r="40" ht="43.5" customHeight="1">
      <c r="A40" s="13" t="s">
        <v>19</v>
      </c>
      <c r="B40" s="13" t="s">
        <v>325</v>
      </c>
      <c r="C40" s="13" t="s">
        <v>326</v>
      </c>
      <c r="D40" s="13" t="s">
        <v>224</v>
      </c>
      <c r="E40" s="13" t="s">
        <v>61</v>
      </c>
      <c r="F40" s="13" t="s">
        <v>327</v>
      </c>
      <c r="G40" s="13" t="s">
        <v>328</v>
      </c>
      <c r="H40" s="13" t="s">
        <v>34</v>
      </c>
      <c r="I40" s="13" t="s">
        <v>38</v>
      </c>
      <c r="J40" s="13" t="s">
        <v>329</v>
      </c>
      <c r="K40" s="13" t="s">
        <v>330</v>
      </c>
      <c r="L40" s="13" t="s">
        <v>40</v>
      </c>
    </row>
    <row r="41" ht="21.75" customHeight="1">
      <c r="A41" s="62" t="str">
        <f>IF('Cài đặt'!A18="","",'Cài đặt'!A18)</f>
        <v>Website/Blog</v>
      </c>
      <c r="B41" s="86">
        <f>IF($A41="","",'Cài đặt'!C18)</f>
        <v>1</v>
      </c>
      <c r="C41" s="86">
        <f t="shared" ref="C41:C48" si="8">IF($A41="","",B41*$B$11)</f>
        <v>5</v>
      </c>
      <c r="D41" s="52">
        <f>IF($A41="","",COUNTIFS('Lịch nội dung'!$I$6:$I$105,$A41,'Lịch nội dung'!$C$6:$C$105,"&gt;="&amp;'Tổng quan'!$B$6,'Lịch nội dung'!$C$6:$C$105,"&lt;="&amp;'Tổng quan'!$B$7,'Lịch nội dung'!$R$6:$R$105,"&lt;&gt;Hủy"))</f>
        <v>3</v>
      </c>
      <c r="E41" s="52">
        <f>IF($A41="","",COUNTIFS('Lịch nội dung'!$I$6:$I$105,$A41,'Lịch nội dung'!$C$6:$C$105,"&gt;="&amp;'Tổng quan'!$B$6,'Lịch nội dung'!$C$6:$C$105,"&lt;="&amp;'Tổng quan'!$B$7,'Lịch nội dung'!$R$6:$R$105,"Đã đăng"))</f>
        <v>2</v>
      </c>
      <c r="F41" s="63">
        <f t="shared" ref="F41:F48" si="9">IF(OR($A41="",N(C41)=0),"",E41/C41)</f>
        <v>0.4</v>
      </c>
      <c r="G41" s="78">
        <f>IF($A41="","",SUMIFS('Lịch nội dung'!$W$6:$W$105,'Lịch nội dung'!$C$6:$C$105,"&gt;="&amp;'Tổng quan'!$B$6,'Lịch nội dung'!$C$6:$C$105,"&lt;="&amp;'Tổng quan'!$B$7,'Lịch nội dung'!$R$6:$R$105,"&lt;&gt;Hủy",'Lịch nội dung'!$I$6:$I$105,$A41))</f>
        <v>7800</v>
      </c>
      <c r="H41" s="78">
        <f>IF($A41="","",SUMIFS('Lịch nội dung'!$X$6:$X$105,'Lịch nội dung'!$C$6:$C$105,"&gt;="&amp;'Tổng quan'!$B$6,'Lịch nội dung'!$C$6:$C$105,"&lt;="&amp;'Tổng quan'!$B$7,'Lịch nội dung'!$R$6:$R$105,"&lt;&gt;Hủy",'Lịch nội dung'!$I$6:$I$105,$A41))</f>
        <v>520</v>
      </c>
      <c r="I41" s="24">
        <f t="shared" ref="I41:I48" si="10">IF(OR($A41="",N(G41)=0),"",H41/G41)</f>
        <v>0.06666666667</v>
      </c>
      <c r="J41" s="78">
        <f>IF($A41="","",SUMIFS('Lịch nội dung'!$Z$6:$Z$105,'Lịch nội dung'!$C$6:$C$105,"&gt;="&amp;'Tổng quan'!$B$6,'Lịch nội dung'!$C$6:$C$105,"&lt;="&amp;'Tổng quan'!$B$7,'Lịch nội dung'!$R$6:$R$105,"&lt;&gt;Hủy",'Lịch nội dung'!$I$6:$I$105,$A41))</f>
        <v>87</v>
      </c>
      <c r="K41" s="25">
        <f>IF($A41="","",SUMIFS('Lịch nội dung'!$U$6:$U$105,'Lịch nội dung'!$C$6:$C$105,"&gt;="&amp;'Tổng quan'!$B$6,'Lịch nội dung'!$C$6:$C$105,"&lt;="&amp;'Tổng quan'!$B$7,'Lịch nội dung'!$R$6:$R$105,"&lt;&gt;Hủy",'Lịch nội dung'!$I$6:$I$105,$A41)+SUMIFS('Lịch nội dung'!$V$6:$V$105,'Lịch nội dung'!$C$6:$C$105,"&gt;="&amp;'Tổng quan'!$B$6,'Lịch nội dung'!$C$6:$C$105,"&lt;="&amp;'Tổng quan'!$B$7,'Lịch nội dung'!$R$6:$R$105,"&lt;&gt;Hủy",'Lịch nội dung'!$I$6:$I$105,$A41))</f>
        <v>5900000</v>
      </c>
      <c r="L41" s="25">
        <f t="shared" ref="L41:L48" si="11">IF(OR($A41="",N(J41)=0),"",K41/J41)</f>
        <v>67816.09195</v>
      </c>
    </row>
    <row r="42" ht="21.75" customHeight="1">
      <c r="A42" s="65" t="str">
        <f>IF('Cài đặt'!A19="","",'Cài đặt'!A19)</f>
        <v>Facebook</v>
      </c>
      <c r="B42" s="87">
        <f>IF($A42="","",'Cài đặt'!C19)</f>
        <v>2</v>
      </c>
      <c r="C42" s="87">
        <f t="shared" si="8"/>
        <v>10</v>
      </c>
      <c r="D42" s="56">
        <f>IF($A42="","",COUNTIFS('Lịch nội dung'!$I$6:$I$105,$A42,'Lịch nội dung'!$C$6:$C$105,"&gt;="&amp;'Tổng quan'!$B$6,'Lịch nội dung'!$C$6:$C$105,"&lt;="&amp;'Tổng quan'!$B$7,'Lịch nội dung'!$R$6:$R$105,"&lt;&gt;Hủy"))</f>
        <v>6</v>
      </c>
      <c r="E42" s="56">
        <f>IF($A42="","",COUNTIFS('Lịch nội dung'!$I$6:$I$105,$A42,'Lịch nội dung'!$C$6:$C$105,"&gt;="&amp;'Tổng quan'!$B$6,'Lịch nội dung'!$C$6:$C$105,"&lt;="&amp;'Tổng quan'!$B$7,'Lịch nội dung'!$R$6:$R$105,"Đã đăng"))</f>
        <v>4</v>
      </c>
      <c r="F42" s="66">
        <f t="shared" si="9"/>
        <v>0.4</v>
      </c>
      <c r="G42" s="80">
        <f>IF($A42="","",SUMIFS('Lịch nội dung'!$W$6:$W$105,'Lịch nội dung'!$C$6:$C$105,"&gt;="&amp;'Tổng quan'!$B$6,'Lịch nội dung'!$C$6:$C$105,"&lt;="&amp;'Tổng quan'!$B$7,'Lịch nội dung'!$R$6:$R$105,"&lt;&gt;Hủy",'Lịch nội dung'!$I$6:$I$105,$A42))</f>
        <v>43200</v>
      </c>
      <c r="H42" s="80">
        <f>IF($A42="","",SUMIFS('Lịch nội dung'!$X$6:$X$105,'Lịch nội dung'!$C$6:$C$105,"&gt;="&amp;'Tổng quan'!$B$6,'Lịch nội dung'!$C$6:$C$105,"&lt;="&amp;'Tổng quan'!$B$7,'Lịch nội dung'!$R$6:$R$105,"&lt;&gt;Hủy",'Lịch nội dung'!$I$6:$I$105,$A42))</f>
        <v>3440</v>
      </c>
      <c r="I42" s="34">
        <f t="shared" si="10"/>
        <v>0.07962962963</v>
      </c>
      <c r="J42" s="80">
        <f>IF($A42="","",SUMIFS('Lịch nội dung'!$Z$6:$Z$105,'Lịch nội dung'!$C$6:$C$105,"&gt;="&amp;'Tổng quan'!$B$6,'Lịch nội dung'!$C$6:$C$105,"&lt;="&amp;'Tổng quan'!$B$7,'Lịch nội dung'!$R$6:$R$105,"&lt;&gt;Hủy",'Lịch nội dung'!$I$6:$I$105,$A42))</f>
        <v>173</v>
      </c>
      <c r="K42" s="35">
        <f>IF($A42="","",SUMIFS('Lịch nội dung'!$U$6:$U$105,'Lịch nội dung'!$C$6:$C$105,"&gt;="&amp;'Tổng quan'!$B$6,'Lịch nội dung'!$C$6:$C$105,"&lt;="&amp;'Tổng quan'!$B$7,'Lịch nội dung'!$R$6:$R$105,"&lt;&gt;Hủy",'Lịch nội dung'!$I$6:$I$105,$A42)+SUMIFS('Lịch nội dung'!$V$6:$V$105,'Lịch nội dung'!$C$6:$C$105,"&gt;="&amp;'Tổng quan'!$B$6,'Lịch nội dung'!$C$6:$C$105,"&lt;="&amp;'Tổng quan'!$B$7,'Lịch nội dung'!$R$6:$R$105,"&lt;&gt;Hủy",'Lịch nội dung'!$I$6:$I$105,$A42))</f>
        <v>19700000</v>
      </c>
      <c r="L42" s="35">
        <f t="shared" si="11"/>
        <v>113872.8324</v>
      </c>
    </row>
    <row r="43" ht="21.75" customHeight="1">
      <c r="A43" s="62" t="str">
        <f>IF('Cài đặt'!A20="","",'Cài đặt'!A20)</f>
        <v>Instagram</v>
      </c>
      <c r="B43" s="86">
        <f>IF($A43="","",'Cài đặt'!C20)</f>
        <v>1</v>
      </c>
      <c r="C43" s="86">
        <f t="shared" si="8"/>
        <v>5</v>
      </c>
      <c r="D43" s="52">
        <f>IF($A43="","",COUNTIFS('Lịch nội dung'!$I$6:$I$105,$A43,'Lịch nội dung'!$C$6:$C$105,"&gt;="&amp;'Tổng quan'!$B$6,'Lịch nội dung'!$C$6:$C$105,"&lt;="&amp;'Tổng quan'!$B$7,'Lịch nội dung'!$R$6:$R$105,"&lt;&gt;Hủy"))</f>
        <v>3</v>
      </c>
      <c r="E43" s="52">
        <f>IF($A43="","",COUNTIFS('Lịch nội dung'!$I$6:$I$105,$A43,'Lịch nội dung'!$C$6:$C$105,"&gt;="&amp;'Tổng quan'!$B$6,'Lịch nội dung'!$C$6:$C$105,"&lt;="&amp;'Tổng quan'!$B$7,'Lịch nội dung'!$R$6:$R$105,"Đã đăng"))</f>
        <v>1</v>
      </c>
      <c r="F43" s="63">
        <f t="shared" si="9"/>
        <v>0.2</v>
      </c>
      <c r="G43" s="78">
        <f>IF($A43="","",SUMIFS('Lịch nội dung'!$W$6:$W$105,'Lịch nội dung'!$C$6:$C$105,"&gt;="&amp;'Tổng quan'!$B$6,'Lịch nội dung'!$C$6:$C$105,"&lt;="&amp;'Tổng quan'!$B$7,'Lịch nội dung'!$R$6:$R$105,"&lt;&gt;Hủy",'Lịch nội dung'!$I$6:$I$105,$A43))</f>
        <v>15200</v>
      </c>
      <c r="H43" s="78">
        <f>IF($A43="","",SUMIFS('Lịch nội dung'!$X$6:$X$105,'Lịch nội dung'!$C$6:$C$105,"&gt;="&amp;'Tổng quan'!$B$6,'Lịch nội dung'!$C$6:$C$105,"&lt;="&amp;'Tổng quan'!$B$7,'Lịch nội dung'!$R$6:$R$105,"&lt;&gt;Hủy",'Lịch nội dung'!$I$6:$I$105,$A43))</f>
        <v>1620</v>
      </c>
      <c r="I43" s="24">
        <f t="shared" si="10"/>
        <v>0.1065789474</v>
      </c>
      <c r="J43" s="78">
        <f>IF($A43="","",SUMIFS('Lịch nội dung'!$Z$6:$Z$105,'Lịch nội dung'!$C$6:$C$105,"&gt;="&amp;'Tổng quan'!$B$6,'Lịch nội dung'!$C$6:$C$105,"&lt;="&amp;'Tổng quan'!$B$7,'Lịch nội dung'!$R$6:$R$105,"&lt;&gt;Hủy",'Lịch nội dung'!$I$6:$I$105,$A43))</f>
        <v>9</v>
      </c>
      <c r="K43" s="25">
        <f>IF($A43="","",SUMIFS('Lịch nội dung'!$U$6:$U$105,'Lịch nội dung'!$C$6:$C$105,"&gt;="&amp;'Tổng quan'!$B$6,'Lịch nội dung'!$C$6:$C$105,"&lt;="&amp;'Tổng quan'!$B$7,'Lịch nội dung'!$R$6:$R$105,"&lt;&gt;Hủy",'Lịch nội dung'!$I$6:$I$105,$A43)+SUMIFS('Lịch nội dung'!$V$6:$V$105,'Lịch nội dung'!$C$6:$C$105,"&gt;="&amp;'Tổng quan'!$B$6,'Lịch nội dung'!$C$6:$C$105,"&lt;="&amp;'Tổng quan'!$B$7,'Lịch nội dung'!$R$6:$R$105,"&lt;&gt;Hủy",'Lịch nội dung'!$I$6:$I$105,$A43))</f>
        <v>5500000</v>
      </c>
      <c r="L43" s="25">
        <f t="shared" si="11"/>
        <v>611111.1111</v>
      </c>
    </row>
    <row r="44" ht="21.75" customHeight="1">
      <c r="A44" s="65" t="str">
        <f>IF('Cài đặt'!A21="","",'Cài đặt'!A21)</f>
        <v>TikTok</v>
      </c>
      <c r="B44" s="87">
        <f>IF($A44="","",'Cài đặt'!C21)</f>
        <v>1</v>
      </c>
      <c r="C44" s="87">
        <f t="shared" si="8"/>
        <v>5</v>
      </c>
      <c r="D44" s="56">
        <f>IF($A44="","",COUNTIFS('Lịch nội dung'!$I$6:$I$105,$A44,'Lịch nội dung'!$C$6:$C$105,"&gt;="&amp;'Tổng quan'!$B$6,'Lịch nội dung'!$C$6:$C$105,"&lt;="&amp;'Tổng quan'!$B$7,'Lịch nội dung'!$R$6:$R$105,"&lt;&gt;Hủy"))</f>
        <v>3</v>
      </c>
      <c r="E44" s="56">
        <f>IF($A44="","",COUNTIFS('Lịch nội dung'!$I$6:$I$105,$A44,'Lịch nội dung'!$C$6:$C$105,"&gt;="&amp;'Tổng quan'!$B$6,'Lịch nội dung'!$C$6:$C$105,"&lt;="&amp;'Tổng quan'!$B$7,'Lịch nội dung'!$R$6:$R$105,"Đã đăng"))</f>
        <v>2</v>
      </c>
      <c r="F44" s="66">
        <f t="shared" si="9"/>
        <v>0.4</v>
      </c>
      <c r="G44" s="80">
        <f>IF($A44="","",SUMIFS('Lịch nội dung'!$W$6:$W$105,'Lịch nội dung'!$C$6:$C$105,"&gt;="&amp;'Tổng quan'!$B$6,'Lịch nội dung'!$C$6:$C$105,"&lt;="&amp;'Tổng quan'!$B$7,'Lịch nội dung'!$R$6:$R$105,"&lt;&gt;Hủy",'Lịch nội dung'!$I$6:$I$105,$A44))</f>
        <v>90000</v>
      </c>
      <c r="H44" s="80">
        <f>IF($A44="","",SUMIFS('Lịch nội dung'!$X$6:$X$105,'Lịch nội dung'!$C$6:$C$105,"&gt;="&amp;'Tổng quan'!$B$6,'Lịch nội dung'!$C$6:$C$105,"&lt;="&amp;'Tổng quan'!$B$7,'Lịch nội dung'!$R$6:$R$105,"&lt;&gt;Hủy",'Lịch nội dung'!$I$6:$I$105,$A44))</f>
        <v>7900</v>
      </c>
      <c r="I44" s="34">
        <f t="shared" si="10"/>
        <v>0.08777777778</v>
      </c>
      <c r="J44" s="80">
        <f>IF($A44="","",SUMIFS('Lịch nội dung'!$Z$6:$Z$105,'Lịch nội dung'!$C$6:$C$105,"&gt;="&amp;'Tổng quan'!$B$6,'Lịch nội dung'!$C$6:$C$105,"&lt;="&amp;'Tổng quan'!$B$7,'Lịch nội dung'!$R$6:$R$105,"&lt;&gt;Hủy",'Lịch nội dung'!$I$6:$I$105,$A44))</f>
        <v>56</v>
      </c>
      <c r="K44" s="35">
        <f>IF($A44="","",SUMIFS('Lịch nội dung'!$U$6:$U$105,'Lịch nội dung'!$C$6:$C$105,"&gt;="&amp;'Tổng quan'!$B$6,'Lịch nội dung'!$C$6:$C$105,"&lt;="&amp;'Tổng quan'!$B$7,'Lịch nội dung'!$R$6:$R$105,"&lt;&gt;Hủy",'Lịch nội dung'!$I$6:$I$105,$A44)+SUMIFS('Lịch nội dung'!$V$6:$V$105,'Lịch nội dung'!$C$6:$C$105,"&gt;="&amp;'Tổng quan'!$B$6,'Lịch nội dung'!$C$6:$C$105,"&lt;="&amp;'Tổng quan'!$B$7,'Lịch nội dung'!$R$6:$R$105,"&lt;&gt;Hủy",'Lịch nội dung'!$I$6:$I$105,$A44))</f>
        <v>14000000</v>
      </c>
      <c r="L44" s="35">
        <f t="shared" si="11"/>
        <v>250000</v>
      </c>
    </row>
    <row r="45" ht="21.75" customHeight="1">
      <c r="A45" s="62" t="str">
        <f>IF('Cài đặt'!A22="","",'Cài đặt'!A22)</f>
        <v>YouTube</v>
      </c>
      <c r="B45" s="86">
        <f>IF($A45="","",'Cài đặt'!C22)</f>
        <v>0.5</v>
      </c>
      <c r="C45" s="86">
        <f t="shared" si="8"/>
        <v>2.5</v>
      </c>
      <c r="D45" s="52">
        <f>IF($A45="","",COUNTIFS('Lịch nội dung'!$I$6:$I$105,$A45,'Lịch nội dung'!$C$6:$C$105,"&gt;="&amp;'Tổng quan'!$B$6,'Lịch nội dung'!$C$6:$C$105,"&lt;="&amp;'Tổng quan'!$B$7,'Lịch nội dung'!$R$6:$R$105,"&lt;&gt;Hủy"))</f>
        <v>2</v>
      </c>
      <c r="E45" s="52">
        <f>IF($A45="","",COUNTIFS('Lịch nội dung'!$I$6:$I$105,$A45,'Lịch nội dung'!$C$6:$C$105,"&gt;="&amp;'Tổng quan'!$B$6,'Lịch nội dung'!$C$6:$C$105,"&lt;="&amp;'Tổng quan'!$B$7,'Lịch nội dung'!$R$6:$R$105,"Đã đăng"))</f>
        <v>1</v>
      </c>
      <c r="F45" s="63">
        <f t="shared" si="9"/>
        <v>0.4</v>
      </c>
      <c r="G45" s="78">
        <f>IF($A45="","",SUMIFS('Lịch nội dung'!$W$6:$W$105,'Lịch nội dung'!$C$6:$C$105,"&gt;="&amp;'Tổng quan'!$B$6,'Lịch nội dung'!$C$6:$C$105,"&lt;="&amp;'Tổng quan'!$B$7,'Lịch nội dung'!$R$6:$R$105,"&lt;&gt;Hủy",'Lịch nội dung'!$I$6:$I$105,$A45))</f>
        <v>8400</v>
      </c>
      <c r="H45" s="78">
        <f>IF($A45="","",SUMIFS('Lịch nội dung'!$X$6:$X$105,'Lịch nội dung'!$C$6:$C$105,"&gt;="&amp;'Tổng quan'!$B$6,'Lịch nội dung'!$C$6:$C$105,"&lt;="&amp;'Tổng quan'!$B$7,'Lịch nội dung'!$R$6:$R$105,"&lt;&gt;Hủy",'Lịch nội dung'!$I$6:$I$105,$A45))</f>
        <v>520</v>
      </c>
      <c r="I45" s="24">
        <f t="shared" si="10"/>
        <v>0.0619047619</v>
      </c>
      <c r="J45" s="78">
        <f>IF($A45="","",SUMIFS('Lịch nội dung'!$Z$6:$Z$105,'Lịch nội dung'!$C$6:$C$105,"&gt;="&amp;'Tổng quan'!$B$6,'Lịch nội dung'!$C$6:$C$105,"&lt;="&amp;'Tổng quan'!$B$7,'Lịch nội dung'!$R$6:$R$105,"&lt;&gt;Hủy",'Lịch nội dung'!$I$6:$I$105,$A45))</f>
        <v>57</v>
      </c>
      <c r="K45" s="25">
        <f>IF($A45="","",SUMIFS('Lịch nội dung'!$U$6:$U$105,'Lịch nội dung'!$C$6:$C$105,"&gt;="&amp;'Tổng quan'!$B$6,'Lịch nội dung'!$C$6:$C$105,"&lt;="&amp;'Tổng quan'!$B$7,'Lịch nội dung'!$R$6:$R$105,"&lt;&gt;Hủy",'Lịch nội dung'!$I$6:$I$105,$A45)+SUMIFS('Lịch nội dung'!$V$6:$V$105,'Lịch nội dung'!$C$6:$C$105,"&gt;="&amp;'Tổng quan'!$B$6,'Lịch nội dung'!$C$6:$C$105,"&lt;="&amp;'Tổng quan'!$B$7,'Lịch nội dung'!$R$6:$R$105,"&lt;&gt;Hủy",'Lịch nội dung'!$I$6:$I$105,$A45))</f>
        <v>16000000</v>
      </c>
      <c r="L45" s="25">
        <f t="shared" si="11"/>
        <v>280701.7544</v>
      </c>
    </row>
    <row r="46" ht="21.75" customHeight="1">
      <c r="A46" s="65" t="str">
        <f>IF('Cài đặt'!A23="","",'Cài đặt'!A23)</f>
        <v>Email</v>
      </c>
      <c r="B46" s="87">
        <f>IF($A46="","",'Cài đặt'!C23)</f>
        <v>1</v>
      </c>
      <c r="C46" s="87">
        <f t="shared" si="8"/>
        <v>5</v>
      </c>
      <c r="D46" s="56">
        <f>IF($A46="","",COUNTIFS('Lịch nội dung'!$I$6:$I$105,$A46,'Lịch nội dung'!$C$6:$C$105,"&gt;="&amp;'Tổng quan'!$B$6,'Lịch nội dung'!$C$6:$C$105,"&lt;="&amp;'Tổng quan'!$B$7,'Lịch nội dung'!$R$6:$R$105,"&lt;&gt;Hủy"))</f>
        <v>3</v>
      </c>
      <c r="E46" s="56">
        <f>IF($A46="","",COUNTIFS('Lịch nội dung'!$I$6:$I$105,$A46,'Lịch nội dung'!$C$6:$C$105,"&gt;="&amp;'Tổng quan'!$B$6,'Lịch nội dung'!$C$6:$C$105,"&lt;="&amp;'Tổng quan'!$B$7,'Lịch nội dung'!$R$6:$R$105,"Đã đăng"))</f>
        <v>1</v>
      </c>
      <c r="F46" s="66">
        <f t="shared" si="9"/>
        <v>0.2</v>
      </c>
      <c r="G46" s="80">
        <f>IF($A46="","",SUMIFS('Lịch nội dung'!$W$6:$W$105,'Lịch nội dung'!$C$6:$C$105,"&gt;="&amp;'Tổng quan'!$B$6,'Lịch nội dung'!$C$6:$C$105,"&lt;="&amp;'Tổng quan'!$B$7,'Lịch nội dung'!$R$6:$R$105,"&lt;&gt;Hủy",'Lịch nội dung'!$I$6:$I$105,$A46))</f>
        <v>5200</v>
      </c>
      <c r="H46" s="80">
        <f>IF($A46="","",SUMIFS('Lịch nội dung'!$X$6:$X$105,'Lịch nội dung'!$C$6:$C$105,"&gt;="&amp;'Tổng quan'!$B$6,'Lịch nội dung'!$C$6:$C$105,"&lt;="&amp;'Tổng quan'!$B$7,'Lịch nội dung'!$R$6:$R$105,"&lt;&gt;Hủy",'Lịch nội dung'!$I$6:$I$105,$A46))</f>
        <v>640</v>
      </c>
      <c r="I46" s="34">
        <f t="shared" si="10"/>
        <v>0.1230769231</v>
      </c>
      <c r="J46" s="80">
        <f>IF($A46="","",SUMIFS('Lịch nội dung'!$Z$6:$Z$105,'Lịch nội dung'!$C$6:$C$105,"&gt;="&amp;'Tổng quan'!$B$6,'Lịch nội dung'!$C$6:$C$105,"&lt;="&amp;'Tổng quan'!$B$7,'Lịch nội dung'!$R$6:$R$105,"&lt;&gt;Hủy",'Lịch nội dung'!$I$6:$I$105,$A46))</f>
        <v>61</v>
      </c>
      <c r="K46" s="35">
        <f>IF($A46="","",SUMIFS('Lịch nội dung'!$U$6:$U$105,'Lịch nội dung'!$C$6:$C$105,"&gt;="&amp;'Tổng quan'!$B$6,'Lịch nội dung'!$C$6:$C$105,"&lt;="&amp;'Tổng quan'!$B$7,'Lịch nội dung'!$R$6:$R$105,"&lt;&gt;Hủy",'Lịch nội dung'!$I$6:$I$105,$A46)+SUMIFS('Lịch nội dung'!$V$6:$V$105,'Lịch nội dung'!$C$6:$C$105,"&gt;="&amp;'Tổng quan'!$B$6,'Lịch nội dung'!$C$6:$C$105,"&lt;="&amp;'Tổng quan'!$B$7,'Lịch nội dung'!$R$6:$R$105,"&lt;&gt;Hủy",'Lịch nội dung'!$I$6:$I$105,$A46))</f>
        <v>1200000</v>
      </c>
      <c r="L46" s="35">
        <f t="shared" si="11"/>
        <v>19672.13115</v>
      </c>
    </row>
    <row r="47" ht="21.75" customHeight="1">
      <c r="A47" s="62" t="str">
        <f>IF('Cài đặt'!A24="","",'Cài đặt'!A24)</f>
        <v>LinkedIn</v>
      </c>
      <c r="B47" s="86">
        <f>IF($A47="","",'Cài đặt'!C24)</f>
        <v>0.5</v>
      </c>
      <c r="C47" s="86">
        <f t="shared" si="8"/>
        <v>2.5</v>
      </c>
      <c r="D47" s="52">
        <f>IF($A47="","",COUNTIFS('Lịch nội dung'!$I$6:$I$105,$A47,'Lịch nội dung'!$C$6:$C$105,"&gt;="&amp;'Tổng quan'!$B$6,'Lịch nội dung'!$C$6:$C$105,"&lt;="&amp;'Tổng quan'!$B$7,'Lịch nội dung'!$R$6:$R$105,"&lt;&gt;Hủy"))</f>
        <v>1</v>
      </c>
      <c r="E47" s="52">
        <f>IF($A47="","",COUNTIFS('Lịch nội dung'!$I$6:$I$105,$A47,'Lịch nội dung'!$C$6:$C$105,"&gt;="&amp;'Tổng quan'!$B$6,'Lịch nội dung'!$C$6:$C$105,"&lt;="&amp;'Tổng quan'!$B$7,'Lịch nội dung'!$R$6:$R$105,"Đã đăng"))</f>
        <v>1</v>
      </c>
      <c r="F47" s="63">
        <f t="shared" si="9"/>
        <v>0.4</v>
      </c>
      <c r="G47" s="78">
        <f>IF($A47="","",SUMIFS('Lịch nội dung'!$W$6:$W$105,'Lịch nội dung'!$C$6:$C$105,"&gt;="&amp;'Tổng quan'!$B$6,'Lịch nội dung'!$C$6:$C$105,"&lt;="&amp;'Tổng quan'!$B$7,'Lịch nội dung'!$R$6:$R$105,"&lt;&gt;Hủy",'Lịch nội dung'!$I$6:$I$105,$A47))</f>
        <v>2900</v>
      </c>
      <c r="H47" s="78">
        <f>IF($A47="","",SUMIFS('Lịch nội dung'!$X$6:$X$105,'Lịch nội dung'!$C$6:$C$105,"&gt;="&amp;'Tổng quan'!$B$6,'Lịch nội dung'!$C$6:$C$105,"&lt;="&amp;'Tổng quan'!$B$7,'Lịch nội dung'!$R$6:$R$105,"&lt;&gt;Hủy",'Lịch nội dung'!$I$6:$I$105,$A47))</f>
        <v>190</v>
      </c>
      <c r="I47" s="24">
        <f t="shared" si="10"/>
        <v>0.06551724138</v>
      </c>
      <c r="J47" s="78">
        <f>IF($A47="","",SUMIFS('Lịch nội dung'!$Z$6:$Z$105,'Lịch nội dung'!$C$6:$C$105,"&gt;="&amp;'Tổng quan'!$B$6,'Lịch nội dung'!$C$6:$C$105,"&lt;="&amp;'Tổng quan'!$B$7,'Lịch nội dung'!$R$6:$R$105,"&lt;&gt;Hủy",'Lịch nội dung'!$I$6:$I$105,$A47))</f>
        <v>7</v>
      </c>
      <c r="K47" s="25">
        <f>IF($A47="","",SUMIFS('Lịch nội dung'!$U$6:$U$105,'Lịch nội dung'!$C$6:$C$105,"&gt;="&amp;'Tổng quan'!$B$6,'Lịch nội dung'!$C$6:$C$105,"&lt;="&amp;'Tổng quan'!$B$7,'Lịch nội dung'!$R$6:$R$105,"&lt;&gt;Hủy",'Lịch nội dung'!$I$6:$I$105,$A47)+SUMIFS('Lịch nội dung'!$V$6:$V$105,'Lịch nội dung'!$C$6:$C$105,"&gt;="&amp;'Tổng quan'!$B$6,'Lịch nội dung'!$C$6:$C$105,"&lt;="&amp;'Tổng quan'!$B$7,'Lịch nội dung'!$R$6:$R$105,"&lt;&gt;Hủy",'Lịch nội dung'!$I$6:$I$105,$A47))</f>
        <v>1100000</v>
      </c>
      <c r="L47" s="25">
        <f t="shared" si="11"/>
        <v>157142.8571</v>
      </c>
    </row>
    <row r="48" ht="21.75" customHeight="1">
      <c r="A48" s="65" t="str">
        <f>IF('Cài đặt'!A25="","",'Cài đặt'!A25)</f>
        <v/>
      </c>
      <c r="B48" s="87" t="str">
        <f>IF($A48="","",'Cài đặt'!C25)</f>
        <v/>
      </c>
      <c r="C48" s="87" t="str">
        <f t="shared" si="8"/>
        <v/>
      </c>
      <c r="D48" s="56" t="str">
        <f>IF($A48="","",COUNTIFS('Lịch nội dung'!$I$6:$I$105,$A48,'Lịch nội dung'!$C$6:$C$105,"&gt;="&amp;'Tổng quan'!$B$6,'Lịch nội dung'!$C$6:$C$105,"&lt;="&amp;'Tổng quan'!$B$7,'Lịch nội dung'!$R$6:$R$105,"&lt;&gt;Hủy"))</f>
        <v/>
      </c>
      <c r="E48" s="56" t="str">
        <f>IF($A48="","",COUNTIFS('Lịch nội dung'!$I$6:$I$105,$A48,'Lịch nội dung'!$C$6:$C$105,"&gt;="&amp;'Tổng quan'!$B$6,'Lịch nội dung'!$C$6:$C$105,"&lt;="&amp;'Tổng quan'!$B$7,'Lịch nội dung'!$R$6:$R$105,"Đã đăng"))</f>
        <v/>
      </c>
      <c r="F48" s="66" t="str">
        <f t="shared" si="9"/>
        <v/>
      </c>
      <c r="G48" s="80" t="str">
        <f>IF($A48="","",SUMIFS('Lịch nội dung'!$W$6:$W$105,'Lịch nội dung'!$C$6:$C$105,"&gt;="&amp;'Tổng quan'!$B$6,'Lịch nội dung'!$C$6:$C$105,"&lt;="&amp;'Tổng quan'!$B$7,'Lịch nội dung'!$R$6:$R$105,"&lt;&gt;Hủy",'Lịch nội dung'!$I$6:$I$105,$A48))</f>
        <v/>
      </c>
      <c r="H48" s="80" t="str">
        <f>IF($A48="","",SUMIFS('Lịch nội dung'!$X$6:$X$105,'Lịch nội dung'!$C$6:$C$105,"&gt;="&amp;'Tổng quan'!$B$6,'Lịch nội dung'!$C$6:$C$105,"&lt;="&amp;'Tổng quan'!$B$7,'Lịch nội dung'!$R$6:$R$105,"&lt;&gt;Hủy",'Lịch nội dung'!$I$6:$I$105,$A48))</f>
        <v/>
      </c>
      <c r="I48" s="34" t="str">
        <f t="shared" si="10"/>
        <v/>
      </c>
      <c r="J48" s="80" t="str">
        <f>IF($A48="","",SUMIFS('Lịch nội dung'!$Z$6:$Z$105,'Lịch nội dung'!$C$6:$C$105,"&gt;="&amp;'Tổng quan'!$B$6,'Lịch nội dung'!$C$6:$C$105,"&lt;="&amp;'Tổng quan'!$B$7,'Lịch nội dung'!$R$6:$R$105,"&lt;&gt;Hủy",'Lịch nội dung'!$I$6:$I$105,$A48))</f>
        <v/>
      </c>
      <c r="K48" s="35" t="str">
        <f>IF($A48="","",SUMIFS('Lịch nội dung'!$U$6:$U$105,'Lịch nội dung'!$C$6:$C$105,"&gt;="&amp;'Tổng quan'!$B$6,'Lịch nội dung'!$C$6:$C$105,"&lt;="&amp;'Tổng quan'!$B$7,'Lịch nội dung'!$R$6:$R$105,"&lt;&gt;Hủy",'Lịch nội dung'!$I$6:$I$105,$A48)+SUMIFS('Lịch nội dung'!$V$6:$V$105,'Lịch nội dung'!$C$6:$C$105,"&gt;="&amp;'Tổng quan'!$B$6,'Lịch nội dung'!$C$6:$C$105,"&lt;="&amp;'Tổng quan'!$B$7,'Lịch nội dung'!$R$6:$R$105,"&lt;&gt;Hủy",'Lịch nội dung'!$I$6:$I$105,$A48))</f>
        <v/>
      </c>
      <c r="L48" s="35" t="str">
        <f t="shared" si="11"/>
        <v/>
      </c>
    </row>
    <row r="49" ht="15.75" customHeight="1">
      <c r="A49" s="81" t="s">
        <v>323</v>
      </c>
      <c r="B49" s="84"/>
      <c r="C49" s="88">
        <f t="shared" ref="C49:E49" si="12">SUM(C41:C48)</f>
        <v>35</v>
      </c>
      <c r="D49" s="83">
        <f t="shared" si="12"/>
        <v>21</v>
      </c>
      <c r="E49" s="83">
        <f t="shared" si="12"/>
        <v>12</v>
      </c>
      <c r="F49" s="82">
        <f>IF(N(C49)=0,"",E49/C49)</f>
        <v>0.3428571429</v>
      </c>
      <c r="G49" s="85">
        <f t="shared" ref="G49:H49" si="13">SUM(G41:G48)</f>
        <v>172700</v>
      </c>
      <c r="H49" s="85">
        <f t="shared" si="13"/>
        <v>14830</v>
      </c>
      <c r="I49" s="89">
        <f>IF(N(G49)=0,"",H49/G49)</f>
        <v>0.08587145339</v>
      </c>
      <c r="J49" s="85">
        <f t="shared" ref="J49:K49" si="14">SUM(J41:J48)</f>
        <v>450</v>
      </c>
      <c r="K49" s="85">
        <f t="shared" si="14"/>
        <v>63400000</v>
      </c>
      <c r="L49" s="85">
        <f>IF(N(J49)=0,"",K49/J49)</f>
        <v>140888.8889</v>
      </c>
    </row>
    <row r="50" ht="15.75" customHeight="1"/>
    <row r="51" ht="24.0" customHeight="1">
      <c r="A51" s="61" t="s">
        <v>331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</row>
    <row r="52" ht="36.0" customHeight="1">
      <c r="A52" s="13" t="s">
        <v>21</v>
      </c>
      <c r="B52" s="13" t="s">
        <v>332</v>
      </c>
      <c r="C52" s="13" t="s">
        <v>333</v>
      </c>
      <c r="D52" s="13" t="s">
        <v>61</v>
      </c>
      <c r="E52" s="13" t="s">
        <v>329</v>
      </c>
      <c r="F52" s="90"/>
      <c r="G52" s="13" t="s">
        <v>334</v>
      </c>
      <c r="H52" s="13" t="s">
        <v>332</v>
      </c>
      <c r="I52" s="13" t="s">
        <v>333</v>
      </c>
      <c r="J52" s="13" t="s">
        <v>61</v>
      </c>
      <c r="K52" s="13" t="s">
        <v>329</v>
      </c>
    </row>
    <row r="53" ht="21.75" customHeight="1">
      <c r="A53" s="62" t="str">
        <f>IF('Cài đặt'!A51="","",'Cài đặt'!A51)</f>
        <v>TOFU – Nhận diện</v>
      </c>
      <c r="B53" s="52">
        <f>IF($A53="","",COUNTIFS('Lịch nội dung'!$K$6:$K$105,$A53,'Lịch nội dung'!$C$6:$C$105,"&gt;="&amp;'Tổng quan'!$B$6,'Lịch nội dung'!$C$6:$C$105,"&lt;="&amp;'Tổng quan'!$B$7,'Lịch nội dung'!$R$6:$R$105,"&lt;&gt;Hủy"))</f>
        <v>7</v>
      </c>
      <c r="C53" s="63">
        <f t="shared" ref="C53:C56" si="15">IF(OR($A53="",$C$37=0),"",B53/$C$37)</f>
        <v>0.3333333333</v>
      </c>
      <c r="D53" s="52">
        <f>IF($A53="","",COUNTIFS('Lịch nội dung'!$K$6:$K$105,$A53,'Lịch nội dung'!$C$6:$C$105,"&gt;="&amp;'Tổng quan'!$B$6,'Lịch nội dung'!$C$6:$C$105,"&lt;="&amp;'Tổng quan'!$B$7,'Lịch nội dung'!$R$6:$R$105,"Đã đăng"))</f>
        <v>5</v>
      </c>
      <c r="E53" s="78">
        <f>IF($A53="","",SUMIFS('Lịch nội dung'!$Z$6:$Z$105,'Lịch nội dung'!$C$6:$C$105,"&gt;="&amp;'Tổng quan'!$B$6,'Lịch nội dung'!$C$6:$C$105,"&lt;="&amp;'Tổng quan'!$B$7,'Lịch nội dung'!$R$6:$R$105,"&lt;&gt;Hủy",'Lịch nội dung'!$K$6:$K$105,$A53))</f>
        <v>107</v>
      </c>
      <c r="G53" s="62" t="str">
        <f>IF('Cài đặt'!A58="","",'Cài đặt'!A58)</f>
        <v>Nhận diện</v>
      </c>
      <c r="H53" s="52">
        <f>IF($G53="","",COUNTIFS('Lịch nội dung'!$L$6:$L$105,$G53,'Lịch nội dung'!$C$6:$C$105,"&gt;="&amp;'Tổng quan'!$B$6,'Lịch nội dung'!$C$6:$C$105,"&lt;="&amp;'Tổng quan'!$B$7,'Lịch nội dung'!$R$6:$R$105,"&lt;&gt;Hủy"))</f>
        <v>4</v>
      </c>
      <c r="I53" s="63">
        <f t="shared" ref="I53:I57" si="16">IF(OR($G53="",$C$37=0),"",H53/$C$37)</f>
        <v>0.1904761905</v>
      </c>
      <c r="J53" s="52">
        <f>IF($G53="","",COUNTIFS('Lịch nội dung'!$L$6:$L$105,$G53,'Lịch nội dung'!$C$6:$C$105,"&gt;="&amp;'Tổng quan'!$B$6,'Lịch nội dung'!$C$6:$C$105,"&lt;="&amp;'Tổng quan'!$B$7,'Lịch nội dung'!$R$6:$R$105,"Đã đăng"))</f>
        <v>3</v>
      </c>
      <c r="K53" s="78">
        <f>IF($G53="","",SUMIFS('Lịch nội dung'!$Z$6:$Z$105,'Lịch nội dung'!$C$6:$C$105,"&gt;="&amp;'Tổng quan'!$B$6,'Lịch nội dung'!$C$6:$C$105,"&lt;="&amp;'Tổng quan'!$B$7,'Lịch nội dung'!$R$6:$R$105,"&lt;&gt;Hủy",'Lịch nội dung'!$L$6:$L$105,$G53))</f>
        <v>64</v>
      </c>
    </row>
    <row r="54" ht="21.75" customHeight="1">
      <c r="A54" s="65" t="str">
        <f>IF('Cài đặt'!A52="","",'Cài đặt'!A52)</f>
        <v>MOFU – Cân nhắc</v>
      </c>
      <c r="B54" s="56">
        <f>IF($A54="","",COUNTIFS('Lịch nội dung'!$K$6:$K$105,$A54,'Lịch nội dung'!$C$6:$C$105,"&gt;="&amp;'Tổng quan'!$B$6,'Lịch nội dung'!$C$6:$C$105,"&lt;="&amp;'Tổng quan'!$B$7,'Lịch nội dung'!$R$6:$R$105,"&lt;&gt;Hủy"))</f>
        <v>10</v>
      </c>
      <c r="C54" s="66">
        <f t="shared" si="15"/>
        <v>0.4761904762</v>
      </c>
      <c r="D54" s="56">
        <f>IF($A54="","",COUNTIFS('Lịch nội dung'!$K$6:$K$105,$A54,'Lịch nội dung'!$C$6:$C$105,"&gt;="&amp;'Tổng quan'!$B$6,'Lịch nội dung'!$C$6:$C$105,"&lt;="&amp;'Tổng quan'!$B$7,'Lịch nội dung'!$R$6:$R$105,"Đã đăng"))</f>
        <v>5</v>
      </c>
      <c r="E54" s="80">
        <f>IF($A54="","",SUMIFS('Lịch nội dung'!$Z$6:$Z$105,'Lịch nội dung'!$C$6:$C$105,"&gt;="&amp;'Tổng quan'!$B$6,'Lịch nội dung'!$C$6:$C$105,"&lt;="&amp;'Tổng quan'!$B$7,'Lịch nội dung'!$R$6:$R$105,"&lt;&gt;Hủy",'Lịch nội dung'!$K$6:$K$105,$A54))</f>
        <v>168</v>
      </c>
      <c r="G54" s="65" t="str">
        <f>IF('Cài đặt'!A59="","",'Cài đặt'!A59)</f>
        <v>Tương tác</v>
      </c>
      <c r="H54" s="56">
        <f>IF($G54="","",COUNTIFS('Lịch nội dung'!$L$6:$L$105,$G54,'Lịch nội dung'!$C$6:$C$105,"&gt;="&amp;'Tổng quan'!$B$6,'Lịch nội dung'!$C$6:$C$105,"&lt;="&amp;'Tổng quan'!$B$7,'Lịch nội dung'!$R$6:$R$105,"&lt;&gt;Hủy"))</f>
        <v>8</v>
      </c>
      <c r="I54" s="66">
        <f t="shared" si="16"/>
        <v>0.380952381</v>
      </c>
      <c r="J54" s="56">
        <f>IF($G54="","",COUNTIFS('Lịch nội dung'!$L$6:$L$105,$G54,'Lịch nội dung'!$C$6:$C$105,"&gt;="&amp;'Tổng quan'!$B$6,'Lịch nội dung'!$C$6:$C$105,"&lt;="&amp;'Tổng quan'!$B$7,'Lịch nội dung'!$R$6:$R$105,"Đã đăng"))</f>
        <v>5</v>
      </c>
      <c r="K54" s="80">
        <f>IF($G54="","",SUMIFS('Lịch nội dung'!$Z$6:$Z$105,'Lịch nội dung'!$C$6:$C$105,"&gt;="&amp;'Tổng quan'!$B$6,'Lịch nội dung'!$C$6:$C$105,"&lt;="&amp;'Tổng quan'!$B$7,'Lịch nội dung'!$R$6:$R$105,"&lt;&gt;Hủy",'Lịch nội dung'!$L$6:$L$105,$G54))</f>
        <v>111</v>
      </c>
    </row>
    <row r="55" ht="21.75" customHeight="1">
      <c r="A55" s="62" t="str">
        <f>IF('Cài đặt'!A53="","",'Cài đặt'!A53)</f>
        <v>BOFU – Chuyển đổi</v>
      </c>
      <c r="B55" s="52">
        <f>IF($A55="","",COUNTIFS('Lịch nội dung'!$K$6:$K$105,$A55,'Lịch nội dung'!$C$6:$C$105,"&gt;="&amp;'Tổng quan'!$B$6,'Lịch nội dung'!$C$6:$C$105,"&lt;="&amp;'Tổng quan'!$B$7,'Lịch nội dung'!$R$6:$R$105,"&lt;&gt;Hủy"))</f>
        <v>4</v>
      </c>
      <c r="C55" s="63">
        <f t="shared" si="15"/>
        <v>0.1904761905</v>
      </c>
      <c r="D55" s="52">
        <f>IF($A55="","",COUNTIFS('Lịch nội dung'!$K$6:$K$105,$A55,'Lịch nội dung'!$C$6:$C$105,"&gt;="&amp;'Tổng quan'!$B$6,'Lịch nội dung'!$C$6:$C$105,"&lt;="&amp;'Tổng quan'!$B$7,'Lịch nội dung'!$R$6:$R$105,"Đã đăng"))</f>
        <v>2</v>
      </c>
      <c r="E55" s="78">
        <f>IF($A55="","",SUMIFS('Lịch nội dung'!$Z$6:$Z$105,'Lịch nội dung'!$C$6:$C$105,"&gt;="&amp;'Tổng quan'!$B$6,'Lịch nội dung'!$C$6:$C$105,"&lt;="&amp;'Tổng quan'!$B$7,'Lịch nội dung'!$R$6:$R$105,"&lt;&gt;Hủy",'Lịch nội dung'!$K$6:$K$105,$A55))</f>
        <v>175</v>
      </c>
      <c r="G55" s="62" t="str">
        <f>IF('Cài đặt'!A60="","",'Cài đặt'!A60)</f>
        <v>Thu lead</v>
      </c>
      <c r="H55" s="52">
        <f>IF($G55="","",COUNTIFS('Lịch nội dung'!$L$6:$L$105,$G55,'Lịch nội dung'!$C$6:$C$105,"&gt;="&amp;'Tổng quan'!$B$6,'Lịch nội dung'!$C$6:$C$105,"&lt;="&amp;'Tổng quan'!$B$7,'Lịch nội dung'!$R$6:$R$105,"&lt;&gt;Hủy"))</f>
        <v>5</v>
      </c>
      <c r="I55" s="63">
        <f t="shared" si="16"/>
        <v>0.2380952381</v>
      </c>
      <c r="J55" s="52">
        <f>IF($G55="","",COUNTIFS('Lịch nội dung'!$L$6:$L$105,$G55,'Lịch nội dung'!$C$6:$C$105,"&gt;="&amp;'Tổng quan'!$B$6,'Lịch nội dung'!$C$6:$C$105,"&lt;="&amp;'Tổng quan'!$B$7,'Lịch nội dung'!$R$6:$R$105,"Đã đăng"))</f>
        <v>2</v>
      </c>
      <c r="K55" s="78">
        <f>IF($G55="","",SUMIFS('Lịch nội dung'!$Z$6:$Z$105,'Lịch nội dung'!$C$6:$C$105,"&gt;="&amp;'Tổng quan'!$B$6,'Lịch nội dung'!$C$6:$C$105,"&lt;="&amp;'Tổng quan'!$B$7,'Lịch nội dung'!$R$6:$R$105,"&lt;&gt;Hủy",'Lịch nội dung'!$L$6:$L$105,$G55))</f>
        <v>100</v>
      </c>
    </row>
    <row r="56" ht="21.75" customHeight="1">
      <c r="A56" s="65" t="str">
        <f>IF('Cài đặt'!A54="","",'Cài đặt'!A54)</f>
        <v/>
      </c>
      <c r="B56" s="56" t="str">
        <f>IF($A56="","",COUNTIFS('Lịch nội dung'!$K$6:$K$105,$A56,'Lịch nội dung'!$C$6:$C$105,"&gt;="&amp;'Tổng quan'!$B$6,'Lịch nội dung'!$C$6:$C$105,"&lt;="&amp;'Tổng quan'!$B$7,'Lịch nội dung'!$R$6:$R$105,"&lt;&gt;Hủy"))</f>
        <v/>
      </c>
      <c r="C56" s="66" t="str">
        <f t="shared" si="15"/>
        <v/>
      </c>
      <c r="D56" s="56" t="str">
        <f>IF($A56="","",COUNTIFS('Lịch nội dung'!$K$6:$K$105,$A56,'Lịch nội dung'!$C$6:$C$105,"&gt;="&amp;'Tổng quan'!$B$6,'Lịch nội dung'!$C$6:$C$105,"&lt;="&amp;'Tổng quan'!$B$7,'Lịch nội dung'!$R$6:$R$105,"Đã đăng"))</f>
        <v/>
      </c>
      <c r="E56" s="80" t="str">
        <f>IF($A56="","",SUMIFS('Lịch nội dung'!$Z$6:$Z$105,'Lịch nội dung'!$C$6:$C$105,"&gt;="&amp;'Tổng quan'!$B$6,'Lịch nội dung'!$C$6:$C$105,"&lt;="&amp;'Tổng quan'!$B$7,'Lịch nội dung'!$R$6:$R$105,"&lt;&gt;Hủy",'Lịch nội dung'!$K$6:$K$105,$A56))</f>
        <v/>
      </c>
      <c r="G56" s="65" t="str">
        <f>IF('Cài đặt'!A61="","",'Cài đặt'!A61)</f>
        <v>Chuyển đổi</v>
      </c>
      <c r="H56" s="56">
        <f>IF($G56="","",COUNTIFS('Lịch nội dung'!$L$6:$L$105,$G56,'Lịch nội dung'!$C$6:$C$105,"&gt;="&amp;'Tổng quan'!$B$6,'Lịch nội dung'!$C$6:$C$105,"&lt;="&amp;'Tổng quan'!$B$7,'Lịch nội dung'!$R$6:$R$105,"&lt;&gt;Hủy"))</f>
        <v>4</v>
      </c>
      <c r="I56" s="66">
        <f t="shared" si="16"/>
        <v>0.1904761905</v>
      </c>
      <c r="J56" s="56">
        <f>IF($G56="","",COUNTIFS('Lịch nội dung'!$L$6:$L$105,$G56,'Lịch nội dung'!$C$6:$C$105,"&gt;="&amp;'Tổng quan'!$B$6,'Lịch nội dung'!$C$6:$C$105,"&lt;="&amp;'Tổng quan'!$B$7,'Lịch nội dung'!$R$6:$R$105,"Đã đăng"))</f>
        <v>2</v>
      </c>
      <c r="K56" s="80">
        <f>IF($G56="","",SUMIFS('Lịch nội dung'!$Z$6:$Z$105,'Lịch nội dung'!$C$6:$C$105,"&gt;="&amp;'Tổng quan'!$B$6,'Lịch nội dung'!$C$6:$C$105,"&lt;="&amp;'Tổng quan'!$B$7,'Lịch nội dung'!$R$6:$R$105,"&lt;&gt;Hủy",'Lịch nội dung'!$L$6:$L$105,$G56))</f>
        <v>175</v>
      </c>
    </row>
    <row r="57" ht="21.75" customHeight="1">
      <c r="G57" s="62" t="str">
        <f>IF('Cài đặt'!A62="","",'Cài đặt'!A62)</f>
        <v>Giữ chân</v>
      </c>
      <c r="H57" s="52">
        <f>IF($G57="","",COUNTIFS('Lịch nội dung'!$L$6:$L$105,$G57,'Lịch nội dung'!$C$6:$C$105,"&gt;="&amp;'Tổng quan'!$B$6,'Lịch nội dung'!$C$6:$C$105,"&lt;="&amp;'Tổng quan'!$B$7,'Lịch nội dung'!$R$6:$R$105,"&lt;&gt;Hủy"))</f>
        <v>0</v>
      </c>
      <c r="I57" s="63">
        <f t="shared" si="16"/>
        <v>0</v>
      </c>
      <c r="J57" s="52">
        <f>IF($G57="","",COUNTIFS('Lịch nội dung'!$L$6:$L$105,$G57,'Lịch nội dung'!$C$6:$C$105,"&gt;="&amp;'Tổng quan'!$B$6,'Lịch nội dung'!$C$6:$C$105,"&lt;="&amp;'Tổng quan'!$B$7,'Lịch nội dung'!$R$6:$R$105,"Đã đăng"))</f>
        <v>0</v>
      </c>
      <c r="K57" s="78">
        <f>IF($G57="","",SUMIFS('Lịch nội dung'!$Z$6:$Z$105,'Lịch nội dung'!$C$6:$C$105,"&gt;="&amp;'Tổng quan'!$B$6,'Lịch nội dung'!$C$6:$C$105,"&lt;="&amp;'Tổng quan'!$B$7,'Lịch nội dung'!$R$6:$R$105,"&lt;&gt;Hủy",'Lịch nội dung'!$L$6:$L$105,$G57))</f>
        <v>0</v>
      </c>
    </row>
    <row r="58" ht="15.75" customHeight="1"/>
    <row r="59" ht="24.0" customHeight="1">
      <c r="A59" s="61" t="s">
        <v>335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</row>
    <row r="60" ht="36.0" customHeight="1">
      <c r="A60" s="13" t="s">
        <v>336</v>
      </c>
      <c r="B60" s="13" t="s">
        <v>337</v>
      </c>
      <c r="C60" s="13" t="s">
        <v>338</v>
      </c>
      <c r="D60" s="13" t="s">
        <v>332</v>
      </c>
      <c r="E60" s="13" t="s">
        <v>61</v>
      </c>
      <c r="F60" s="13" t="s">
        <v>339</v>
      </c>
      <c r="G60" s="13" t="s">
        <v>328</v>
      </c>
      <c r="H60" s="13" t="s">
        <v>34</v>
      </c>
      <c r="I60" s="13" t="s">
        <v>329</v>
      </c>
      <c r="J60" s="13" t="s">
        <v>330</v>
      </c>
    </row>
    <row r="61" ht="21.75" customHeight="1">
      <c r="A61" s="62" t="str">
        <f>IF($B$11&gt;=1,"Tuần 1","")</f>
        <v>Tuần 1</v>
      </c>
      <c r="B61" s="91">
        <f>IF($B$11&gt;=1,$B$6+0,"")</f>
        <v>46300</v>
      </c>
      <c r="C61" s="91">
        <f>IF($B$11&gt;=1,MIN($B$6+6,$B$7),"")</f>
        <v>46306</v>
      </c>
      <c r="D61" s="52">
        <f>IF($B$11&gt;=1,COUNTIFS('Lịch nội dung'!$C$6:$C$105,"&gt;="&amp;$B61,'Lịch nội dung'!$C$6:$C$105,"&lt;="&amp;$C61,'Lịch nội dung'!$R$6:$R$105,"&lt;&gt;Hủy"),"")</f>
        <v>3</v>
      </c>
      <c r="E61" s="52">
        <f>IF($B$11&gt;=1,COUNTIFS('Lịch nội dung'!$C$6:$C$105,"&gt;="&amp;$B61,'Lịch nội dung'!$C$6:$C$105,"&lt;="&amp;$C61,'Lịch nội dung'!$R$6:$R$105,"Đã đăng"),"")</f>
        <v>3</v>
      </c>
      <c r="F61" s="52">
        <f>IF($B$11&gt;=1,D61-E61,"")</f>
        <v>0</v>
      </c>
      <c r="G61" s="78">
        <f>IF($B$11&gt;=1,SUMIFS('Lịch nội dung'!$W$6:$W$105,'Lịch nội dung'!$C$6:$C$105,"&gt;="&amp;$B61,'Lịch nội dung'!$C$6:$C$105,"&lt;="&amp;$C61,'Lịch nội dung'!$R$6:$R$105,"&lt;&gt;Hủy"),"")</f>
        <v>54700</v>
      </c>
      <c r="H61" s="78">
        <f>IF($B$11&gt;=1,SUMIFS('Lịch nội dung'!$X$6:$X$105,'Lịch nội dung'!$C$6:$C$105,"&gt;="&amp;$B61,'Lịch nội dung'!$C$6:$C$105,"&lt;="&amp;$C61,'Lịch nội dung'!$R$6:$R$105,"&lt;&gt;Hủy"),"")</f>
        <v>4290</v>
      </c>
      <c r="I61" s="78">
        <f>IF($B$11&gt;=1,SUMIFS('Lịch nội dung'!$Z$6:$Z$105,'Lịch nội dung'!$C$6:$C$105,"&gt;="&amp;$B61,'Lịch nội dung'!$C$6:$C$105,"&lt;="&amp;$C61,'Lịch nội dung'!$R$6:$R$105,"&lt;&gt;Hủy"),"")</f>
        <v>85</v>
      </c>
      <c r="J61" s="25">
        <f>IF($B$11&gt;=1,SUMIFS('Lịch nội dung'!$U$6:$U$105,'Lịch nội dung'!$C$6:$C$105,"&gt;="&amp;$B61,'Lịch nội dung'!$C$6:$C$105,"&lt;="&amp;$C61,'Lịch nội dung'!$R$6:$R$105,"&lt;&gt;Hủy")+SUMIFS('Lịch nội dung'!$V$6:$V$105,'Lịch nội dung'!$C$6:$C$105,"&gt;="&amp;$B61,'Lịch nội dung'!$C$6:$C$105,"&lt;="&amp;$C61,'Lịch nội dung'!$R$6:$R$105,"&lt;&gt;Hủy"),"")</f>
        <v>9900000</v>
      </c>
    </row>
    <row r="62" ht="21.75" customHeight="1">
      <c r="A62" s="65" t="str">
        <f>IF($B$11&gt;=2,"Tuần 2","")</f>
        <v>Tuần 2</v>
      </c>
      <c r="B62" s="92">
        <f>IF($B$11&gt;=2,$B$6+7,"")</f>
        <v>46307</v>
      </c>
      <c r="C62" s="92">
        <f>IF($B$11&gt;=2,MIN($B$6+13,$B$7),"")</f>
        <v>46313</v>
      </c>
      <c r="D62" s="56">
        <f>IF($B$11&gt;=2,COUNTIFS('Lịch nội dung'!$C$6:$C$105,"&gt;="&amp;$B62,'Lịch nội dung'!$C$6:$C$105,"&lt;="&amp;$C62,'Lịch nội dung'!$R$6:$R$105,"&lt;&gt;Hủy"),"")</f>
        <v>4</v>
      </c>
      <c r="E62" s="56">
        <f>IF($B$11&gt;=2,COUNTIFS('Lịch nội dung'!$C$6:$C$105,"&gt;="&amp;$B62,'Lịch nội dung'!$C$6:$C$105,"&lt;="&amp;$C62,'Lịch nội dung'!$R$6:$R$105,"Đã đăng"),"")</f>
        <v>4</v>
      </c>
      <c r="F62" s="56">
        <f>IF($B$11&gt;=2,D62-E62,"")</f>
        <v>0</v>
      </c>
      <c r="G62" s="80">
        <f>IF($B$11&gt;=2,SUMIFS('Lịch nội dung'!$W$6:$W$105,'Lịch nội dung'!$C$6:$C$105,"&gt;="&amp;$B62,'Lịch nội dung'!$C$6:$C$105,"&lt;="&amp;$C62,'Lịch nội dung'!$R$6:$R$105,"&lt;&gt;Hủy"),"")</f>
        <v>38600</v>
      </c>
      <c r="H62" s="80">
        <f>IF($B$11&gt;=2,SUMIFS('Lịch nội dung'!$X$6:$X$105,'Lịch nội dung'!$C$6:$C$105,"&gt;="&amp;$B62,'Lịch nội dung'!$C$6:$C$105,"&lt;="&amp;$C62,'Lịch nội dung'!$R$6:$R$105,"&lt;&gt;Hủy"),"")</f>
        <v>4020</v>
      </c>
      <c r="I62" s="80">
        <f>IF($B$11&gt;=2,SUMIFS('Lịch nội dung'!$Z$6:$Z$105,'Lịch nội dung'!$C$6:$C$105,"&gt;="&amp;$B62,'Lịch nội dung'!$C$6:$C$105,"&lt;="&amp;$C62,'Lịch nội dung'!$R$6:$R$105,"&lt;&gt;Hủy"),"")</f>
        <v>160</v>
      </c>
      <c r="J62" s="35">
        <f>IF($B$11&gt;=2,SUMIFS('Lịch nội dung'!$U$6:$U$105,'Lịch nội dung'!$C$6:$C$105,"&gt;="&amp;$B62,'Lịch nội dung'!$C$6:$C$105,"&lt;="&amp;$C62,'Lịch nội dung'!$R$6:$R$105,"&lt;&gt;Hủy")+SUMIFS('Lịch nội dung'!$V$6:$V$105,'Lịch nội dung'!$C$6:$C$105,"&gt;="&amp;$B62,'Lịch nội dung'!$C$6:$C$105,"&lt;="&amp;$C62,'Lịch nội dung'!$R$6:$R$105,"&lt;&gt;Hủy"),"")</f>
        <v>15400000</v>
      </c>
    </row>
    <row r="63" ht="21.75" customHeight="1">
      <c r="A63" s="62" t="str">
        <f>IF($B$11&gt;=3,"Tuần 3","")</f>
        <v>Tuần 3</v>
      </c>
      <c r="B63" s="91">
        <f>IF($B$11&gt;=3,$B$6+14,"")</f>
        <v>46314</v>
      </c>
      <c r="C63" s="91">
        <f>IF($B$11&gt;=3,MIN($B$6+20,$B$7),"")</f>
        <v>46320</v>
      </c>
      <c r="D63" s="52">
        <f>IF($B$11&gt;=3,COUNTIFS('Lịch nội dung'!$C$6:$C$105,"&gt;="&amp;$B63,'Lịch nội dung'!$C$6:$C$105,"&lt;="&amp;$C63,'Lịch nội dung'!$R$6:$R$105,"&lt;&gt;Hủy"),"")</f>
        <v>3</v>
      </c>
      <c r="E63" s="52">
        <f>IF($B$11&gt;=3,COUNTIFS('Lịch nội dung'!$C$6:$C$105,"&gt;="&amp;$B63,'Lịch nội dung'!$C$6:$C$105,"&lt;="&amp;$C63,'Lịch nội dung'!$R$6:$R$105,"Đã đăng"),"")</f>
        <v>3</v>
      </c>
      <c r="F63" s="52">
        <f>IF($B$11&gt;=3,D63-E63,"")</f>
        <v>0</v>
      </c>
      <c r="G63" s="78">
        <f>IF($B$11&gt;=3,SUMIFS('Lịch nội dung'!$W$6:$W$105,'Lịch nội dung'!$C$6:$C$105,"&gt;="&amp;$B63,'Lịch nội dung'!$C$6:$C$105,"&lt;="&amp;$C63,'Lịch nội dung'!$R$6:$R$105,"&lt;&gt;Hủy"),"")</f>
        <v>69700</v>
      </c>
      <c r="H63" s="78">
        <f>IF($B$11&gt;=3,SUMIFS('Lịch nội dung'!$X$6:$X$105,'Lịch nội dung'!$C$6:$C$105,"&gt;="&amp;$B63,'Lịch nội dung'!$C$6:$C$105,"&lt;="&amp;$C63,'Lịch nội dung'!$R$6:$R$105,"&lt;&gt;Hủy"),"")</f>
        <v>5770</v>
      </c>
      <c r="I63" s="78">
        <f>IF($B$11&gt;=3,SUMIFS('Lịch nội dung'!$Z$6:$Z$105,'Lịch nội dung'!$C$6:$C$105,"&gt;="&amp;$B63,'Lịch nội dung'!$C$6:$C$105,"&lt;="&amp;$C63,'Lịch nội dung'!$R$6:$R$105,"&lt;&gt;Hủy"),"")</f>
        <v>188</v>
      </c>
      <c r="J63" s="25">
        <f>IF($B$11&gt;=3,SUMIFS('Lịch nội dung'!$U$6:$U$105,'Lịch nội dung'!$C$6:$C$105,"&gt;="&amp;$B63,'Lịch nội dung'!$C$6:$C$105,"&lt;="&amp;$C63,'Lịch nội dung'!$R$6:$R$105,"&lt;&gt;Hủy")+SUMIFS('Lịch nội dung'!$V$6:$V$105,'Lịch nội dung'!$C$6:$C$105,"&gt;="&amp;$B63,'Lịch nội dung'!$C$6:$C$105,"&lt;="&amp;$C63,'Lịch nội dung'!$R$6:$R$105,"&lt;&gt;Hủy"),"")</f>
        <v>11300000</v>
      </c>
    </row>
    <row r="64" ht="21.75" customHeight="1">
      <c r="A64" s="65" t="str">
        <f>IF($B$11&gt;=4,"Tuần 4","")</f>
        <v>Tuần 4</v>
      </c>
      <c r="B64" s="92">
        <f>IF($B$11&gt;=4,$B$6+21,"")</f>
        <v>46321</v>
      </c>
      <c r="C64" s="92">
        <f>IF($B$11&gt;=4,MIN($B$6+27,$B$7),"")</f>
        <v>46327</v>
      </c>
      <c r="D64" s="56">
        <f>IF($B$11&gt;=4,COUNTIFS('Lịch nội dung'!$C$6:$C$105,"&gt;="&amp;$B64,'Lịch nội dung'!$C$6:$C$105,"&lt;="&amp;$C64,'Lịch nội dung'!$R$6:$R$105,"&lt;&gt;Hủy"),"")</f>
        <v>4</v>
      </c>
      <c r="E64" s="56">
        <f>IF($B$11&gt;=4,COUNTIFS('Lịch nội dung'!$C$6:$C$105,"&gt;="&amp;$B64,'Lịch nội dung'!$C$6:$C$105,"&lt;="&amp;$C64,'Lịch nội dung'!$R$6:$R$105,"Đã đăng"),"")</f>
        <v>2</v>
      </c>
      <c r="F64" s="56">
        <f>IF($B$11&gt;=4,D64-E64,"")</f>
        <v>2</v>
      </c>
      <c r="G64" s="80">
        <f>IF($B$11&gt;=4,SUMIFS('Lịch nội dung'!$W$6:$W$105,'Lịch nội dung'!$C$6:$C$105,"&gt;="&amp;$B64,'Lịch nội dung'!$C$6:$C$105,"&lt;="&amp;$C64,'Lịch nội dung'!$R$6:$R$105,"&lt;&gt;Hủy"),"")</f>
        <v>9700</v>
      </c>
      <c r="H64" s="80">
        <f>IF($B$11&gt;=4,SUMIFS('Lịch nội dung'!$X$6:$X$105,'Lịch nội dung'!$C$6:$C$105,"&gt;="&amp;$B64,'Lịch nội dung'!$C$6:$C$105,"&lt;="&amp;$C64,'Lịch nội dung'!$R$6:$R$105,"&lt;&gt;Hủy"),"")</f>
        <v>750</v>
      </c>
      <c r="I64" s="80">
        <f>IF($B$11&gt;=4,SUMIFS('Lịch nội dung'!$Z$6:$Z$105,'Lịch nội dung'!$C$6:$C$105,"&gt;="&amp;$B64,'Lịch nội dung'!$C$6:$C$105,"&lt;="&amp;$C64,'Lịch nội dung'!$R$6:$R$105,"&lt;&gt;Hủy"),"")</f>
        <v>17</v>
      </c>
      <c r="J64" s="35">
        <f>IF($B$11&gt;=4,SUMIFS('Lịch nội dung'!$U$6:$U$105,'Lịch nội dung'!$C$6:$C$105,"&gt;="&amp;$B64,'Lịch nội dung'!$C$6:$C$105,"&lt;="&amp;$C64,'Lịch nội dung'!$R$6:$R$105,"&lt;&gt;Hủy")+SUMIFS('Lịch nội dung'!$V$6:$V$105,'Lịch nội dung'!$C$6:$C$105,"&gt;="&amp;$B64,'Lịch nội dung'!$C$6:$C$105,"&lt;="&amp;$C64,'Lịch nội dung'!$R$6:$R$105,"&lt;&gt;Hủy"),"")</f>
        <v>4700000</v>
      </c>
    </row>
    <row r="65" ht="21.75" customHeight="1">
      <c r="A65" s="62" t="str">
        <f>IF($B$11&gt;=5,"Tuần 5","")</f>
        <v>Tuần 5</v>
      </c>
      <c r="B65" s="91">
        <f>IF($B$11&gt;=5,$B$6+28,"")</f>
        <v>46328</v>
      </c>
      <c r="C65" s="91">
        <f>IF($B$11&gt;=5,MIN($B$6+34,$B$7),"")</f>
        <v>46334</v>
      </c>
      <c r="D65" s="52">
        <f>IF($B$11&gt;=5,COUNTIFS('Lịch nội dung'!$C$6:$C$105,"&gt;="&amp;$B65,'Lịch nội dung'!$C$6:$C$105,"&lt;="&amp;$C65,'Lịch nội dung'!$R$6:$R$105,"&lt;&gt;Hủy"),"")</f>
        <v>7</v>
      </c>
      <c r="E65" s="52">
        <f>IF($B$11&gt;=5,COUNTIFS('Lịch nội dung'!$C$6:$C$105,"&gt;="&amp;$B65,'Lịch nội dung'!$C$6:$C$105,"&lt;="&amp;$C65,'Lịch nội dung'!$R$6:$R$105,"Đã đăng"),"")</f>
        <v>0</v>
      </c>
      <c r="F65" s="52">
        <f>IF($B$11&gt;=5,D65-E65,"")</f>
        <v>7</v>
      </c>
      <c r="G65" s="78">
        <f>IF($B$11&gt;=5,SUMIFS('Lịch nội dung'!$W$6:$W$105,'Lịch nội dung'!$C$6:$C$105,"&gt;="&amp;$B65,'Lịch nội dung'!$C$6:$C$105,"&lt;="&amp;$C65,'Lịch nội dung'!$R$6:$R$105,"&lt;&gt;Hủy"),"")</f>
        <v>0</v>
      </c>
      <c r="H65" s="78">
        <f>IF($B$11&gt;=5,SUMIFS('Lịch nội dung'!$X$6:$X$105,'Lịch nội dung'!$C$6:$C$105,"&gt;="&amp;$B65,'Lịch nội dung'!$C$6:$C$105,"&lt;="&amp;$C65,'Lịch nội dung'!$R$6:$R$105,"&lt;&gt;Hủy"),"")</f>
        <v>0</v>
      </c>
      <c r="I65" s="78">
        <f>IF($B$11&gt;=5,SUMIFS('Lịch nội dung'!$Z$6:$Z$105,'Lịch nội dung'!$C$6:$C$105,"&gt;="&amp;$B65,'Lịch nội dung'!$C$6:$C$105,"&lt;="&amp;$C65,'Lịch nội dung'!$R$6:$R$105,"&lt;&gt;Hủy"),"")</f>
        <v>0</v>
      </c>
      <c r="J65" s="25">
        <f>IF($B$11&gt;=5,SUMIFS('Lịch nội dung'!$U$6:$U$105,'Lịch nội dung'!$C$6:$C$105,"&gt;="&amp;$B65,'Lịch nội dung'!$C$6:$C$105,"&lt;="&amp;$C65,'Lịch nội dung'!$R$6:$R$105,"&lt;&gt;Hủy")+SUMIFS('Lịch nội dung'!$V$6:$V$105,'Lịch nội dung'!$C$6:$C$105,"&gt;="&amp;$B65,'Lịch nội dung'!$C$6:$C$105,"&lt;="&amp;$C65,'Lịch nội dung'!$R$6:$R$105,"&lt;&gt;Hủy"),"")</f>
        <v>22100000</v>
      </c>
    </row>
    <row r="66" ht="21.75" customHeight="1">
      <c r="A66" s="65" t="str">
        <f>IF($B$11&gt;=6,"Tuần 6","")</f>
        <v/>
      </c>
      <c r="B66" s="92" t="str">
        <f>IF($B$11&gt;=6,$B$6+35,"")</f>
        <v/>
      </c>
      <c r="C66" s="92" t="str">
        <f>IF($B$11&gt;=6,MIN($B$6+41,$B$7),"")</f>
        <v/>
      </c>
      <c r="D66" s="56" t="str">
        <f>IF($B$11&gt;=6,COUNTIFS('Lịch nội dung'!$C$6:$C$105,"&gt;="&amp;$B66,'Lịch nội dung'!$C$6:$C$105,"&lt;="&amp;$C66,'Lịch nội dung'!$R$6:$R$105,"&lt;&gt;Hủy"),"")</f>
        <v/>
      </c>
      <c r="E66" s="56" t="str">
        <f>IF($B$11&gt;=6,COUNTIFS('Lịch nội dung'!$C$6:$C$105,"&gt;="&amp;$B66,'Lịch nội dung'!$C$6:$C$105,"&lt;="&amp;$C66,'Lịch nội dung'!$R$6:$R$105,"Đã đăng"),"")</f>
        <v/>
      </c>
      <c r="F66" s="56" t="str">
        <f>IF($B$11&gt;=6,D66-E66,"")</f>
        <v/>
      </c>
      <c r="G66" s="80" t="str">
        <f>IF($B$11&gt;=6,SUMIFS('Lịch nội dung'!$W$6:$W$105,'Lịch nội dung'!$C$6:$C$105,"&gt;="&amp;$B66,'Lịch nội dung'!$C$6:$C$105,"&lt;="&amp;$C66,'Lịch nội dung'!$R$6:$R$105,"&lt;&gt;Hủy"),"")</f>
        <v/>
      </c>
      <c r="H66" s="80" t="str">
        <f>IF($B$11&gt;=6,SUMIFS('Lịch nội dung'!$X$6:$X$105,'Lịch nội dung'!$C$6:$C$105,"&gt;="&amp;$B66,'Lịch nội dung'!$C$6:$C$105,"&lt;="&amp;$C66,'Lịch nội dung'!$R$6:$R$105,"&lt;&gt;Hủy"),"")</f>
        <v/>
      </c>
      <c r="I66" s="80" t="str">
        <f>IF($B$11&gt;=6,SUMIFS('Lịch nội dung'!$Z$6:$Z$105,'Lịch nội dung'!$C$6:$C$105,"&gt;="&amp;$B66,'Lịch nội dung'!$C$6:$C$105,"&lt;="&amp;$C66,'Lịch nội dung'!$R$6:$R$105,"&lt;&gt;Hủy"),"")</f>
        <v/>
      </c>
      <c r="J66" s="35" t="str">
        <f>IF($B$11&gt;=6,SUMIFS('Lịch nội dung'!$U$6:$U$105,'Lịch nội dung'!$C$6:$C$105,"&gt;="&amp;$B66,'Lịch nội dung'!$C$6:$C$105,"&lt;="&amp;$C66,'Lịch nội dung'!$R$6:$R$105,"&lt;&gt;Hủy")+SUMIFS('Lịch nội dung'!$V$6:$V$105,'Lịch nội dung'!$C$6:$C$105,"&gt;="&amp;$B66,'Lịch nội dung'!$C$6:$C$105,"&lt;="&amp;$C66,'Lịch nội dung'!$R$6:$R$105,"&lt;&gt;Hủy"),"")</f>
        <v/>
      </c>
    </row>
    <row r="67" ht="15.75" customHeight="1">
      <c r="A67" s="81" t="s">
        <v>323</v>
      </c>
      <c r="B67" s="84"/>
      <c r="C67" s="84"/>
      <c r="D67" s="83">
        <f t="shared" ref="D67:J67" si="17">SUM(D61:D66)</f>
        <v>21</v>
      </c>
      <c r="E67" s="83">
        <f t="shared" si="17"/>
        <v>12</v>
      </c>
      <c r="F67" s="83">
        <f t="shared" si="17"/>
        <v>9</v>
      </c>
      <c r="G67" s="85">
        <f t="shared" si="17"/>
        <v>172700</v>
      </c>
      <c r="H67" s="85">
        <f t="shared" si="17"/>
        <v>14830</v>
      </c>
      <c r="I67" s="85">
        <f t="shared" si="17"/>
        <v>450</v>
      </c>
      <c r="J67" s="85">
        <f t="shared" si="17"/>
        <v>63400000</v>
      </c>
    </row>
    <row r="68" ht="15.75" customHeight="1">
      <c r="A68" s="70" t="s">
        <v>340</v>
      </c>
    </row>
    <row r="69" ht="15.75" customHeight="1"/>
    <row r="70" ht="15.75" customHeight="1">
      <c r="A70" s="93" t="s">
        <v>341</v>
      </c>
    </row>
    <row r="71" ht="25.5" customHeight="1">
      <c r="A71" s="94" t="s">
        <v>342</v>
      </c>
    </row>
    <row r="72" ht="25.5" customHeight="1">
      <c r="A72" s="94" t="s">
        <v>343</v>
      </c>
    </row>
    <row r="73" ht="25.5" customHeight="1">
      <c r="A73" s="94" t="s">
        <v>344</v>
      </c>
    </row>
    <row r="74" ht="25.5" customHeight="1">
      <c r="A74" s="94" t="s">
        <v>345</v>
      </c>
    </row>
    <row r="75" ht="25.5" customHeight="1">
      <c r="A75" s="94" t="s">
        <v>346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2:L2"/>
    <mergeCell ref="B4:D4"/>
    <mergeCell ref="F4:G5"/>
    <mergeCell ref="H4:L5"/>
    <mergeCell ref="B5:D5"/>
    <mergeCell ref="B6:D6"/>
    <mergeCell ref="A1:W1"/>
    <mergeCell ref="F8:G9"/>
    <mergeCell ref="F10:G10"/>
    <mergeCell ref="F11:G11"/>
    <mergeCell ref="F13:G13"/>
    <mergeCell ref="H13:I13"/>
    <mergeCell ref="J13:L13"/>
    <mergeCell ref="F6:G7"/>
    <mergeCell ref="H6:L7"/>
    <mergeCell ref="B7:D7"/>
    <mergeCell ref="B8:D8"/>
    <mergeCell ref="H8:L9"/>
    <mergeCell ref="B9:D9"/>
    <mergeCell ref="H10:L10"/>
    <mergeCell ref="H11:L11"/>
    <mergeCell ref="B10:D10"/>
    <mergeCell ref="B11:D11"/>
    <mergeCell ref="B13:C13"/>
    <mergeCell ref="D13:E13"/>
    <mergeCell ref="A14:A15"/>
    <mergeCell ref="B14:C15"/>
    <mergeCell ref="D14:E15"/>
    <mergeCell ref="A59:L59"/>
    <mergeCell ref="A71:L71"/>
    <mergeCell ref="A72:L72"/>
    <mergeCell ref="A73:L73"/>
    <mergeCell ref="A74:L74"/>
    <mergeCell ref="A75:L75"/>
    <mergeCell ref="F14:G15"/>
    <mergeCell ref="H14:I15"/>
    <mergeCell ref="J14:L15"/>
    <mergeCell ref="A17:L17"/>
    <mergeCell ref="A27:L27"/>
    <mergeCell ref="A39:L39"/>
    <mergeCell ref="A51:L51"/>
  </mergeCells>
  <conditionalFormatting sqref="E19:E25">
    <cfRule type="cellIs" dxfId="3" priority="1" operator="equal">
      <formula>"Đạt mục tiêu"</formula>
    </cfRule>
  </conditionalFormatting>
  <conditionalFormatting sqref="E19:E25">
    <cfRule type="cellIs" dxfId="1" priority="2" operator="equal">
      <formula>"Chưa đạt"</formula>
    </cfRule>
  </conditionalFormatting>
  <conditionalFormatting sqref="I29:I36">
    <cfRule type="cellIs" dxfId="1" priority="3" operator="equal">
      <formula>"Đang thiếu"</formula>
    </cfRule>
  </conditionalFormatting>
  <conditionalFormatting sqref="I29:I36">
    <cfRule type="cellIs" dxfId="4" priority="4" operator="equal">
      <formula>"Đang vượt"</formula>
    </cfRule>
  </conditionalFormatting>
  <conditionalFormatting sqref="I29:I36">
    <cfRule type="cellIs" dxfId="3" priority="5" operator="equal">
      <formula>"Cân đối"</formula>
    </cfRule>
  </conditionalFormatting>
  <dataValidations>
    <dataValidation type="date" operator="greaterThan" allowBlank="1" sqref="B6:B7">
      <formula1>36526.0</formula1>
    </dataValidation>
  </dataValidations>
  <printOptions/>
  <pageMargins bottom="1.0" footer="0.0" header="0.0" left="0.75" right="0.75" top="1.0"/>
  <pageSetup fitToHeight="0"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F3F46"/>
    <pageSetUpPr fitToPage="1"/>
  </sheetPr>
  <sheetViews>
    <sheetView showGridLines="0" workbookViewId="0">
      <pane xSplit="6.0" ySplit="5.0" topLeftCell="G6" activePane="bottomRight" state="frozen"/>
      <selection activeCell="G1" sqref="G1" pane="topRight"/>
      <selection activeCell="A6" sqref="A6" pane="bottomLeft"/>
      <selection activeCell="G6" sqref="G6" pane="bottomRight"/>
    </sheetView>
  </sheetViews>
  <sheetFormatPr customHeight="1" defaultColWidth="14.43" defaultRowHeight="15.0"/>
  <cols>
    <col customWidth="1" min="1" max="1" width="6.0"/>
    <col customWidth="1" min="2" max="2" width="9.0"/>
    <col customWidth="1" min="3" max="3" width="12.0"/>
    <col customWidth="1" min="4" max="4" width="8.0"/>
    <col customWidth="1" min="5" max="5" width="11.0"/>
    <col customWidth="1" min="6" max="6" width="40.0"/>
    <col customWidth="1" min="7" max="7" width="22.0"/>
    <col customWidth="1" min="8" max="9" width="15.0"/>
    <col customWidth="1" min="10" max="10" width="20.0"/>
    <col customWidth="1" min="11" max="11" width="16.0"/>
    <col customWidth="1" min="12" max="12" width="13.0"/>
    <col customWidth="1" min="13" max="13" width="26.0"/>
    <col customWidth="1" min="14" max="14" width="24.0"/>
    <col customWidth="1" min="15" max="16" width="18.0"/>
    <col customWidth="1" min="17" max="17" width="12.0"/>
    <col customWidth="1" min="18" max="18" width="13.0"/>
    <col customWidth="1" min="19" max="19" width="24.0"/>
    <col customWidth="1" min="20" max="20" width="26.0"/>
    <col customWidth="1" min="21" max="22" width="14.0"/>
    <col customWidth="1" min="23" max="24" width="12.0"/>
    <col customWidth="1" min="25" max="25" width="10.0"/>
    <col customWidth="1" min="26" max="27" width="11.0"/>
    <col customWidth="1" min="28" max="28" width="10.0"/>
    <col customWidth="1" min="29" max="29" width="14.0"/>
    <col customWidth="1" min="30" max="30" width="26.0"/>
  </cols>
  <sheetData>
    <row r="1" ht="42.0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ht="19.5" customHeight="1">
      <c r="A2" s="4" t="s">
        <v>2</v>
      </c>
    </row>
    <row r="4" ht="24.0" customHeight="1">
      <c r="A4" s="5" t="s">
        <v>3</v>
      </c>
      <c r="B4" s="2"/>
      <c r="C4" s="2"/>
      <c r="D4" s="2"/>
      <c r="E4" s="2"/>
      <c r="F4" s="3"/>
      <c r="G4" s="6" t="s">
        <v>4</v>
      </c>
      <c r="H4" s="2"/>
      <c r="I4" s="2"/>
      <c r="J4" s="2"/>
      <c r="K4" s="2"/>
      <c r="L4" s="2"/>
      <c r="M4" s="2"/>
      <c r="N4" s="3"/>
      <c r="O4" s="5" t="s">
        <v>5</v>
      </c>
      <c r="P4" s="2"/>
      <c r="Q4" s="2"/>
      <c r="R4" s="2"/>
      <c r="S4" s="2"/>
      <c r="T4" s="3"/>
      <c r="U4" s="6" t="s">
        <v>7</v>
      </c>
      <c r="V4" s="3"/>
      <c r="W4" s="5" t="s">
        <v>8</v>
      </c>
      <c r="X4" s="2"/>
      <c r="Y4" s="2"/>
      <c r="Z4" s="2"/>
      <c r="AA4" s="2"/>
      <c r="AB4" s="2"/>
      <c r="AC4" s="3"/>
      <c r="AD4" s="10" t="s">
        <v>10</v>
      </c>
    </row>
    <row r="5" ht="48.0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11" t="s">
        <v>25</v>
      </c>
      <c r="P5" s="11" t="s">
        <v>26</v>
      </c>
      <c r="Q5" s="11" t="s">
        <v>27</v>
      </c>
      <c r="R5" s="11" t="s">
        <v>28</v>
      </c>
      <c r="S5" s="11" t="s">
        <v>29</v>
      </c>
      <c r="T5" s="11" t="s">
        <v>30</v>
      </c>
      <c r="U5" s="11" t="s">
        <v>31</v>
      </c>
      <c r="V5" s="11" t="s">
        <v>32</v>
      </c>
      <c r="W5" s="11" t="s">
        <v>33</v>
      </c>
      <c r="X5" s="11" t="s">
        <v>34</v>
      </c>
      <c r="Y5" s="11" t="s">
        <v>35</v>
      </c>
      <c r="Z5" s="11" t="s">
        <v>36</v>
      </c>
      <c r="AA5" s="11" t="s">
        <v>38</v>
      </c>
      <c r="AB5" s="11" t="s">
        <v>39</v>
      </c>
      <c r="AC5" s="11" t="s">
        <v>40</v>
      </c>
      <c r="AD5" s="11" t="s">
        <v>41</v>
      </c>
    </row>
    <row r="6" ht="31.5" customHeight="1">
      <c r="A6" s="15">
        <f t="shared" ref="A6:A105" si="1">IF($F6="","",ROW()-5)</f>
        <v>1</v>
      </c>
      <c r="B6" s="16" t="s">
        <v>49</v>
      </c>
      <c r="C6" s="17">
        <v>46301.0</v>
      </c>
      <c r="D6" s="15" t="str">
        <f t="shared" ref="D6:D105" si="2">IF($C6="","",CHOOSE(WEEKDAY($C6,2),"Thứ 2","Thứ 3","Thứ 4","Thứ 5","Thứ 6","Thứ 7","CN"))</f>
        <v>Thứ 3</v>
      </c>
      <c r="E6" s="15" t="str">
        <f>IF(OR($C6="",'Tổng quan'!$B$6="",'Tổng quan'!$B$7=""),"",IF(OR($C6&lt;'Tổng quan'!$B$6,$C6&gt;'Tổng quan'!$B$7),"Ngoài kỳ","Tuần "&amp;(INT(($C6-'Tổng quan'!$B$6)/7)+1)))</f>
        <v>Tuần 1</v>
      </c>
      <c r="F6" s="19" t="s">
        <v>50</v>
      </c>
      <c r="G6" s="19" t="s">
        <v>51</v>
      </c>
      <c r="H6" s="16" t="s">
        <v>52</v>
      </c>
      <c r="I6" s="16" t="s">
        <v>53</v>
      </c>
      <c r="J6" s="19" t="s">
        <v>54</v>
      </c>
      <c r="K6" s="16" t="s">
        <v>55</v>
      </c>
      <c r="L6" s="16" t="s">
        <v>56</v>
      </c>
      <c r="M6" s="19" t="s">
        <v>57</v>
      </c>
      <c r="N6" s="19" t="s">
        <v>58</v>
      </c>
      <c r="O6" s="20" t="s">
        <v>59</v>
      </c>
      <c r="P6" s="20" t="s">
        <v>60</v>
      </c>
      <c r="Q6" s="17">
        <v>46297.0</v>
      </c>
      <c r="R6" s="16" t="s">
        <v>61</v>
      </c>
      <c r="S6" s="15" t="str">
        <f>IF($F6="","",IF($R6="Hủy","Đã hủy",IF($R6="Đã đăng",IF($T6="","Đã đăng – thiếu link","Đã đăng"),IF($C6="","Chưa có ngày đăng",IF($C6&lt;'Tổng quan'!$H$11,"Trễ lịch đăng "&amp;('Tổng quan'!$H$11-$C6)&amp;" ngày",IF(AND($Q6&lt;&gt;"",$Q6&lt;'Tổng quan'!$H$11,OR($R6="Ý tưởng",$R6="Đang viết",$R6="")),"Trễ hạn nháp "&amp;('Tổng quan'!$H$11-$Q6)&amp;" ngày",IF($C6='Tổng quan'!$H$11,"Đăng hôm nay",IF($C6-'Tổng quan'!$H$11&lt;='Cài đặt'!$B$102,"Sắp đăng ("&amp;($C6-'Tổng quan'!$H$11)&amp;" ngày)","Còn "&amp;($C6-'Tổng quan'!$H$11)&amp;" ngày"))))))))</f>
        <v>Đã đăng</v>
      </c>
      <c r="T6" s="20" t="s">
        <v>62</v>
      </c>
      <c r="U6" s="22">
        <v>800000.0</v>
      </c>
      <c r="V6" s="22">
        <v>1500000.0</v>
      </c>
      <c r="W6" s="23">
        <v>4200.0</v>
      </c>
      <c r="X6" s="23">
        <v>310.0</v>
      </c>
      <c r="Y6" s="23">
        <v>260.0</v>
      </c>
      <c r="Z6" s="23">
        <v>48.0</v>
      </c>
      <c r="AA6" s="24">
        <f t="shared" ref="AA6:AA105" si="3">IF(OR($F6="",N($W6)=0),"",$X6/$W6)</f>
        <v>0.07380952381</v>
      </c>
      <c r="AB6" s="24">
        <f t="shared" ref="AB6:AB105" si="4">IF(OR($F6="",N($W6)=0),"",$Y6/$W6)</f>
        <v>0.0619047619</v>
      </c>
      <c r="AC6" s="25">
        <f t="shared" ref="AC6:AC105" si="5">IF(OR($F6="",N($Z6)=0),"",(N($U6)+N($V6))/$Z6)</f>
        <v>47916.66667</v>
      </c>
      <c r="AD6" s="19"/>
    </row>
    <row r="7" ht="31.5" customHeight="1">
      <c r="A7" s="26">
        <f t="shared" si="1"/>
        <v>2</v>
      </c>
      <c r="B7" s="27" t="s">
        <v>63</v>
      </c>
      <c r="C7" s="28">
        <v>46302.0</v>
      </c>
      <c r="D7" s="26" t="str">
        <f t="shared" si="2"/>
        <v>Thứ 4</v>
      </c>
      <c r="E7" s="26" t="str">
        <f>IF(OR($C7="",'Tổng quan'!$B$6="",'Tổng quan'!$B$7=""),"",IF(OR($C7&lt;'Tổng quan'!$B$6,$C7&gt;'Tổng quan'!$B$7),"Ngoài kỳ","Tuần "&amp;(INT(($C7-'Tổng quan'!$B$6)/7)+1)))</f>
        <v>Tuần 1</v>
      </c>
      <c r="F7" s="29" t="s">
        <v>64</v>
      </c>
      <c r="G7" s="29" t="s">
        <v>51</v>
      </c>
      <c r="H7" s="27" t="s">
        <v>65</v>
      </c>
      <c r="I7" s="27" t="s">
        <v>66</v>
      </c>
      <c r="J7" s="29" t="s">
        <v>54</v>
      </c>
      <c r="K7" s="27" t="s">
        <v>55</v>
      </c>
      <c r="L7" s="27" t="s">
        <v>67</v>
      </c>
      <c r="M7" s="29" t="s">
        <v>68</v>
      </c>
      <c r="N7" s="29" t="s">
        <v>69</v>
      </c>
      <c r="O7" s="30" t="s">
        <v>70</v>
      </c>
      <c r="P7" s="30" t="s">
        <v>60</v>
      </c>
      <c r="Q7" s="28">
        <v>46298.0</v>
      </c>
      <c r="R7" s="27" t="s">
        <v>61</v>
      </c>
      <c r="S7" s="26" t="str">
        <f>IF($F7="","",IF($R7="Hủy","Đã hủy",IF($R7="Đã đăng",IF($T7="","Đã đăng – thiếu link","Đã đăng"),IF($C7="","Chưa có ngày đăng",IF($C7&lt;'Tổng quan'!$H$11,"Trễ lịch đăng "&amp;('Tổng quan'!$H$11-$C7)&amp;" ngày",IF(AND($Q7&lt;&gt;"",$Q7&lt;'Tổng quan'!$H$11,OR($R7="Ý tưởng",$R7="Đang viết",$R7="")),"Trễ hạn nháp "&amp;('Tổng quan'!$H$11-$Q7)&amp;" ngày",IF($C7='Tổng quan'!$H$11,"Đăng hôm nay",IF($C7-'Tổng quan'!$H$11&lt;='Cài đặt'!$B$102,"Sắp đăng ("&amp;($C7-'Tổng quan'!$H$11)&amp;" ngày)","Còn "&amp;($C7-'Tổng quan'!$H$11)&amp;" ngày"))))))))</f>
        <v>Đã đăng</v>
      </c>
      <c r="T7" s="30" t="s">
        <v>71</v>
      </c>
      <c r="U7" s="32">
        <v>600000.0</v>
      </c>
      <c r="V7" s="32">
        <v>2000000.0</v>
      </c>
      <c r="W7" s="33">
        <v>12500.0</v>
      </c>
      <c r="X7" s="33">
        <v>880.0</v>
      </c>
      <c r="Y7" s="33">
        <v>190.0</v>
      </c>
      <c r="Z7" s="33">
        <v>12.0</v>
      </c>
      <c r="AA7" s="34">
        <f t="shared" si="3"/>
        <v>0.0704</v>
      </c>
      <c r="AB7" s="34">
        <f t="shared" si="4"/>
        <v>0.0152</v>
      </c>
      <c r="AC7" s="35">
        <f t="shared" si="5"/>
        <v>216666.6667</v>
      </c>
      <c r="AD7" s="29"/>
    </row>
    <row r="8" ht="31.5" customHeight="1">
      <c r="A8" s="15">
        <f t="shared" si="1"/>
        <v>3</v>
      </c>
      <c r="B8" s="16" t="s">
        <v>72</v>
      </c>
      <c r="C8" s="17">
        <v>46304.0</v>
      </c>
      <c r="D8" s="15" t="str">
        <f t="shared" si="2"/>
        <v>Thứ 6</v>
      </c>
      <c r="E8" s="15" t="str">
        <f>IF(OR($C8="",'Tổng quan'!$B$6="",'Tổng quan'!$B$7=""),"",IF(OR($C8&lt;'Tổng quan'!$B$6,$C8&gt;'Tổng quan'!$B$7),"Ngoài kỳ","Tuần "&amp;(INT(($C8-'Tổng quan'!$B$6)/7)+1)))</f>
        <v>Tuần 1</v>
      </c>
      <c r="F8" s="19" t="s">
        <v>73</v>
      </c>
      <c r="G8" s="19" t="s">
        <v>74</v>
      </c>
      <c r="H8" s="16" t="s">
        <v>75</v>
      </c>
      <c r="I8" s="16" t="s">
        <v>76</v>
      </c>
      <c r="J8" s="19" t="s">
        <v>77</v>
      </c>
      <c r="K8" s="16" t="s">
        <v>78</v>
      </c>
      <c r="L8" s="16" t="s">
        <v>67</v>
      </c>
      <c r="M8" s="19" t="s">
        <v>79</v>
      </c>
      <c r="N8" s="19" t="s">
        <v>80</v>
      </c>
      <c r="O8" s="20" t="s">
        <v>81</v>
      </c>
      <c r="P8" s="20" t="s">
        <v>60</v>
      </c>
      <c r="Q8" s="17">
        <v>46300.0</v>
      </c>
      <c r="R8" s="16" t="s">
        <v>61</v>
      </c>
      <c r="S8" s="15" t="str">
        <f>IF($F8="","",IF($R8="Hủy","Đã hủy",IF($R8="Đã đăng",IF($T8="","Đã đăng – thiếu link","Đã đăng"),IF($C8="","Chưa có ngày đăng",IF($C8&lt;'Tổng quan'!$H$11,"Trễ lịch đăng "&amp;('Tổng quan'!$H$11-$C8)&amp;" ngày",IF(AND($Q8&lt;&gt;"",$Q8&lt;'Tổng quan'!$H$11,OR($R8="Ý tưởng",$R8="Đang viết",$R8="")),"Trễ hạn nháp "&amp;('Tổng quan'!$H$11-$Q8)&amp;" ngày",IF($C8='Tổng quan'!$H$11,"Đăng hôm nay",IF($C8-'Tổng quan'!$H$11&lt;='Cài đặt'!$B$102,"Sắp đăng ("&amp;($C8-'Tổng quan'!$H$11)&amp;" ngày)","Còn "&amp;($C8-'Tổng quan'!$H$11)&amp;" ngày"))))))))</f>
        <v>Đã đăng</v>
      </c>
      <c r="T8" s="20" t="s">
        <v>83</v>
      </c>
      <c r="U8" s="22">
        <v>2000000.0</v>
      </c>
      <c r="V8" s="22">
        <v>3000000.0</v>
      </c>
      <c r="W8" s="23">
        <v>38000.0</v>
      </c>
      <c r="X8" s="23">
        <v>3100.0</v>
      </c>
      <c r="Y8" s="23">
        <v>420.0</v>
      </c>
      <c r="Z8" s="23">
        <v>25.0</v>
      </c>
      <c r="AA8" s="24">
        <f t="shared" si="3"/>
        <v>0.08157894737</v>
      </c>
      <c r="AB8" s="24">
        <f t="shared" si="4"/>
        <v>0.01105263158</v>
      </c>
      <c r="AC8" s="25">
        <f t="shared" si="5"/>
        <v>200000</v>
      </c>
      <c r="AD8" s="19" t="s">
        <v>84</v>
      </c>
    </row>
    <row r="9" ht="31.5" customHeight="1">
      <c r="A9" s="26">
        <f t="shared" si="1"/>
        <v>4</v>
      </c>
      <c r="B9" s="27" t="s">
        <v>85</v>
      </c>
      <c r="C9" s="28">
        <v>46308.0</v>
      </c>
      <c r="D9" s="26" t="str">
        <f t="shared" si="2"/>
        <v>Thứ 3</v>
      </c>
      <c r="E9" s="26" t="str">
        <f>IF(OR($C9="",'Tổng quan'!$B$6="",'Tổng quan'!$B$7=""),"",IF(OR($C9&lt;'Tổng quan'!$B$6,$C9&gt;'Tổng quan'!$B$7),"Ngoài kỳ","Tuần "&amp;(INT(($C9-'Tổng quan'!$B$6)/7)+1)))</f>
        <v>Tuần 2</v>
      </c>
      <c r="F9" s="29" t="s">
        <v>86</v>
      </c>
      <c r="G9" s="29" t="s">
        <v>51</v>
      </c>
      <c r="H9" s="27" t="s">
        <v>88</v>
      </c>
      <c r="I9" s="27" t="s">
        <v>90</v>
      </c>
      <c r="J9" s="29" t="s">
        <v>91</v>
      </c>
      <c r="K9" s="27" t="s">
        <v>78</v>
      </c>
      <c r="L9" s="27" t="s">
        <v>92</v>
      </c>
      <c r="M9" s="29" t="s">
        <v>93</v>
      </c>
      <c r="N9" s="29" t="s">
        <v>94</v>
      </c>
      <c r="O9" s="30" t="s">
        <v>96</v>
      </c>
      <c r="P9" s="30" t="s">
        <v>60</v>
      </c>
      <c r="Q9" s="28">
        <v>46304.0</v>
      </c>
      <c r="R9" s="27" t="s">
        <v>61</v>
      </c>
      <c r="S9" s="26" t="str">
        <f>IF($F9="","",IF($R9="Hủy","Đã hủy",IF($R9="Đã đăng",IF($T9="","Đã đăng – thiếu link","Đã đăng"),IF($C9="","Chưa có ngày đăng",IF($C9&lt;'Tổng quan'!$H$11,"Trễ lịch đăng "&amp;('Tổng quan'!$H$11-$C9)&amp;" ngày",IF(AND($Q9&lt;&gt;"",$Q9&lt;'Tổng quan'!$H$11,OR($R9="Ý tưởng",$R9="Đang viết",$R9="")),"Trễ hạn nháp "&amp;('Tổng quan'!$H$11-$Q9)&amp;" ngày",IF($C9='Tổng quan'!$H$11,"Đăng hôm nay",IF($C9-'Tổng quan'!$H$11&lt;='Cài đặt'!$B$102,"Sắp đăng ("&amp;($C9-'Tổng quan'!$H$11)&amp;" ngày)","Còn "&amp;($C9-'Tổng quan'!$H$11)&amp;" ngày"))))))))</f>
        <v>Đã đăng</v>
      </c>
      <c r="T9" s="30" t="s">
        <v>101</v>
      </c>
      <c r="U9" s="32">
        <v>500000.0</v>
      </c>
      <c r="V9" s="32">
        <v>0.0</v>
      </c>
      <c r="W9" s="33">
        <v>5200.0</v>
      </c>
      <c r="X9" s="33">
        <v>640.0</v>
      </c>
      <c r="Y9" s="33">
        <v>520.0</v>
      </c>
      <c r="Z9" s="33">
        <v>61.0</v>
      </c>
      <c r="AA9" s="34">
        <f t="shared" si="3"/>
        <v>0.1230769231</v>
      </c>
      <c r="AB9" s="34">
        <f t="shared" si="4"/>
        <v>0.1</v>
      </c>
      <c r="AC9" s="35">
        <f t="shared" si="5"/>
        <v>8196.721311</v>
      </c>
      <c r="AD9" s="29"/>
    </row>
    <row r="10" ht="31.5" customHeight="1">
      <c r="A10" s="15">
        <f t="shared" si="1"/>
        <v>5</v>
      </c>
      <c r="B10" s="16" t="s">
        <v>103</v>
      </c>
      <c r="C10" s="17">
        <v>46309.0</v>
      </c>
      <c r="D10" s="15" t="str">
        <f t="shared" si="2"/>
        <v>Thứ 4</v>
      </c>
      <c r="E10" s="15" t="str">
        <f>IF(OR($C10="",'Tổng quan'!$B$6="",'Tổng quan'!$B$7=""),"",IF(OR($C10&lt;'Tổng quan'!$B$6,$C10&gt;'Tổng quan'!$B$7),"Ngoài kỳ","Tuần "&amp;(INT(($C10-'Tổng quan'!$B$6)/7)+1)))</f>
        <v>Tuần 2</v>
      </c>
      <c r="F10" s="19" t="s">
        <v>109</v>
      </c>
      <c r="G10" s="19" t="s">
        <v>110</v>
      </c>
      <c r="H10" s="16" t="s">
        <v>111</v>
      </c>
      <c r="I10" s="16" t="s">
        <v>66</v>
      </c>
      <c r="J10" s="19" t="s">
        <v>54</v>
      </c>
      <c r="K10" s="16" t="s">
        <v>78</v>
      </c>
      <c r="L10" s="16" t="s">
        <v>67</v>
      </c>
      <c r="M10" s="19" t="s">
        <v>113</v>
      </c>
      <c r="N10" s="19" t="s">
        <v>114</v>
      </c>
      <c r="O10" s="20" t="s">
        <v>59</v>
      </c>
      <c r="P10" s="20" t="s">
        <v>60</v>
      </c>
      <c r="Q10" s="17">
        <v>46305.0</v>
      </c>
      <c r="R10" s="16" t="s">
        <v>61</v>
      </c>
      <c r="S10" s="15" t="str">
        <f>IF($F10="","",IF($R10="Hủy","Đã hủy",IF($R10="Đã đăng",IF($T10="","Đã đăng – thiếu link","Đã đăng"),IF($C10="","Chưa có ngày đăng",IF($C10&lt;'Tổng quan'!$H$11,"Trễ lịch đăng "&amp;('Tổng quan'!$H$11-$C10)&amp;" ngày",IF(AND($Q10&lt;&gt;"",$Q10&lt;'Tổng quan'!$H$11,OR($R10="Ý tưởng",$R10="Đang viết",$R10="")),"Trễ hạn nháp "&amp;('Tổng quan'!$H$11-$Q10)&amp;" ngày",IF($C10='Tổng quan'!$H$11,"Đăng hôm nay",IF($C10-'Tổng quan'!$H$11&lt;='Cài đặt'!$B$102,"Sắp đăng ("&amp;($C10-'Tổng quan'!$H$11)&amp;" ngày)","Còn "&amp;($C10-'Tổng quan'!$H$11)&amp;" ngày"))))))))</f>
        <v>Đã đăng</v>
      </c>
      <c r="T10" s="20" t="s">
        <v>118</v>
      </c>
      <c r="U10" s="22">
        <v>700000.0</v>
      </c>
      <c r="V10" s="22">
        <v>2000000.0</v>
      </c>
      <c r="W10" s="23">
        <v>9800.0</v>
      </c>
      <c r="X10" s="23">
        <v>1240.0</v>
      </c>
      <c r="Y10" s="23">
        <v>310.0</v>
      </c>
      <c r="Z10" s="23">
        <v>33.0</v>
      </c>
      <c r="AA10" s="24">
        <f t="shared" si="3"/>
        <v>0.1265306122</v>
      </c>
      <c r="AB10" s="24">
        <f t="shared" si="4"/>
        <v>0.03163265306</v>
      </c>
      <c r="AC10" s="25">
        <f t="shared" si="5"/>
        <v>81818.18182</v>
      </c>
      <c r="AD10" s="19"/>
    </row>
    <row r="11" ht="31.5" customHeight="1">
      <c r="A11" s="26">
        <f t="shared" si="1"/>
        <v>6</v>
      </c>
      <c r="B11" s="27" t="s">
        <v>120</v>
      </c>
      <c r="C11" s="28">
        <v>46310.0</v>
      </c>
      <c r="D11" s="26" t="str">
        <f t="shared" si="2"/>
        <v>Thứ 5</v>
      </c>
      <c r="E11" s="26" t="str">
        <f>IF(OR($C11="",'Tổng quan'!$B$6="",'Tổng quan'!$B$7=""),"",IF(OR($C11&lt;'Tổng quan'!$B$6,$C11&gt;'Tổng quan'!$B$7),"Ngoài kỳ","Tuần "&amp;(INT(($C11-'Tổng quan'!$B$6)/7)+1)))</f>
        <v>Tuần 2</v>
      </c>
      <c r="F11" s="29" t="s">
        <v>126</v>
      </c>
      <c r="G11" s="29" t="s">
        <v>51</v>
      </c>
      <c r="H11" s="27" t="s">
        <v>127</v>
      </c>
      <c r="I11" s="27" t="s">
        <v>66</v>
      </c>
      <c r="J11" s="29" t="s">
        <v>54</v>
      </c>
      <c r="K11" s="27" t="s">
        <v>78</v>
      </c>
      <c r="L11" s="27" t="s">
        <v>67</v>
      </c>
      <c r="M11" s="29"/>
      <c r="N11" s="29"/>
      <c r="O11" s="30" t="s">
        <v>60</v>
      </c>
      <c r="P11" s="30" t="s">
        <v>60</v>
      </c>
      <c r="Q11" s="28">
        <v>46305.0</v>
      </c>
      <c r="R11" s="27" t="s">
        <v>128</v>
      </c>
      <c r="S11" s="26" t="str">
        <f>IF($F11="","",IF($R11="Hủy","Đã hủy",IF($R11="Đã đăng",IF($T11="","Đã đăng – thiếu link","Đã đăng"),IF($C11="","Chưa có ngày đăng",IF($C11&lt;'Tổng quan'!$H$11,"Trễ lịch đăng "&amp;('Tổng quan'!$H$11-$C11)&amp;" ngày",IF(AND($Q11&lt;&gt;"",$Q11&lt;'Tổng quan'!$H$11,OR($R11="Ý tưởng",$R11="Đang viết",$R11="")),"Trễ hạn nháp "&amp;('Tổng quan'!$H$11-$Q11)&amp;" ngày",IF($C11='Tổng quan'!$H$11,"Đăng hôm nay",IF($C11-'Tổng quan'!$H$11&lt;='Cài đặt'!$B$102,"Sắp đăng ("&amp;($C11-'Tổng quan'!$H$11)&amp;" ngày)","Còn "&amp;($C11-'Tổng quan'!$H$11)&amp;" ngày"))))))))</f>
        <v>Đã hủy</v>
      </c>
      <c r="T11" s="30"/>
      <c r="U11" s="32">
        <v>0.0</v>
      </c>
      <c r="V11" s="32">
        <v>0.0</v>
      </c>
      <c r="W11" s="33"/>
      <c r="X11" s="33"/>
      <c r="Y11" s="33"/>
      <c r="Z11" s="33"/>
      <c r="AA11" s="34" t="str">
        <f t="shared" si="3"/>
        <v/>
      </c>
      <c r="AB11" s="34" t="str">
        <f t="shared" si="4"/>
        <v/>
      </c>
      <c r="AC11" s="35" t="str">
        <f t="shared" si="5"/>
        <v/>
      </c>
      <c r="AD11" s="29" t="s">
        <v>141</v>
      </c>
    </row>
    <row r="12" ht="31.5" customHeight="1">
      <c r="A12" s="15">
        <f t="shared" si="1"/>
        <v>7</v>
      </c>
      <c r="B12" s="16" t="s">
        <v>142</v>
      </c>
      <c r="C12" s="17">
        <v>46311.0</v>
      </c>
      <c r="D12" s="15" t="str">
        <f t="shared" si="2"/>
        <v>Thứ 6</v>
      </c>
      <c r="E12" s="15" t="str">
        <f>IF(OR($C12="",'Tổng quan'!$B$6="",'Tổng quan'!$B$7=""),"",IF(OR($C12&lt;'Tổng quan'!$B$6,$C12&gt;'Tổng quan'!$B$7),"Ngoài kỳ","Tuần "&amp;(INT(($C12-'Tổng quan'!$B$6)/7)+1)))</f>
        <v>Tuần 2</v>
      </c>
      <c r="F12" s="19" t="s">
        <v>143</v>
      </c>
      <c r="G12" s="19" t="s">
        <v>144</v>
      </c>
      <c r="H12" s="16" t="s">
        <v>75</v>
      </c>
      <c r="I12" s="16" t="s">
        <v>145</v>
      </c>
      <c r="J12" s="19" t="s">
        <v>77</v>
      </c>
      <c r="K12" s="16" t="s">
        <v>55</v>
      </c>
      <c r="L12" s="16" t="s">
        <v>56</v>
      </c>
      <c r="M12" s="19" t="s">
        <v>146</v>
      </c>
      <c r="N12" s="19" t="s">
        <v>147</v>
      </c>
      <c r="O12" s="20" t="s">
        <v>81</v>
      </c>
      <c r="P12" s="20" t="s">
        <v>60</v>
      </c>
      <c r="Q12" s="17">
        <v>46307.0</v>
      </c>
      <c r="R12" s="16" t="s">
        <v>61</v>
      </c>
      <c r="S12" s="15" t="str">
        <f>IF($F12="","",IF($R12="Hủy","Đã hủy",IF($R12="Đã đăng",IF($T12="","Đã đăng – thiếu link","Đã đăng"),IF($C12="","Chưa có ngày đăng",IF($C12&lt;'Tổng quan'!$H$11,"Trễ lịch đăng "&amp;('Tổng quan'!$H$11-$C12)&amp;" ngày",IF(AND($Q12&lt;&gt;"",$Q12&lt;'Tổng quan'!$H$11,OR($R12="Ý tưởng",$R12="Đang viết",$R12="")),"Trễ hạn nháp "&amp;('Tổng quan'!$H$11-$Q12)&amp;" ngày",IF($C12='Tổng quan'!$H$11,"Đăng hôm nay",IF($C12-'Tổng quan'!$H$11&lt;='Cài đặt'!$B$102,"Sắp đăng ("&amp;($C12-'Tổng quan'!$H$11)&amp;" ngày)","Còn "&amp;($C12-'Tổng quan'!$H$11)&amp;" ngày"))))))))</f>
        <v>Đã đăng</v>
      </c>
      <c r="T12" s="20" t="s">
        <v>148</v>
      </c>
      <c r="U12" s="22">
        <v>1200000.0</v>
      </c>
      <c r="V12" s="22">
        <v>1000000.0</v>
      </c>
      <c r="W12" s="23">
        <v>15200.0</v>
      </c>
      <c r="X12" s="23">
        <v>1620.0</v>
      </c>
      <c r="Y12" s="23">
        <v>140.0</v>
      </c>
      <c r="Z12" s="23">
        <v>9.0</v>
      </c>
      <c r="AA12" s="24">
        <f t="shared" si="3"/>
        <v>0.1065789474</v>
      </c>
      <c r="AB12" s="24">
        <f t="shared" si="4"/>
        <v>0.009210526316</v>
      </c>
      <c r="AC12" s="25">
        <f t="shared" si="5"/>
        <v>244444.4444</v>
      </c>
      <c r="AD12" s="19"/>
    </row>
    <row r="13" ht="31.5" customHeight="1">
      <c r="A13" s="26">
        <f t="shared" si="1"/>
        <v>8</v>
      </c>
      <c r="B13" s="27" t="s">
        <v>149</v>
      </c>
      <c r="C13" s="28">
        <v>46312.0</v>
      </c>
      <c r="D13" s="26" t="str">
        <f t="shared" si="2"/>
        <v>Thứ 7</v>
      </c>
      <c r="E13" s="26" t="str">
        <f>IF(OR($C13="",'Tổng quan'!$B$6="",'Tổng quan'!$B$7=""),"",IF(OR($C13&lt;'Tổng quan'!$B$6,$C13&gt;'Tổng quan'!$B$7),"Ngoài kỳ","Tuần "&amp;(INT(($C13-'Tổng quan'!$B$6)/7)+1)))</f>
        <v>Tuần 2</v>
      </c>
      <c r="F13" s="29" t="s">
        <v>150</v>
      </c>
      <c r="G13" s="29" t="s">
        <v>74</v>
      </c>
      <c r="H13" s="27" t="s">
        <v>152</v>
      </c>
      <c r="I13" s="27" t="s">
        <v>153</v>
      </c>
      <c r="J13" s="29" t="s">
        <v>91</v>
      </c>
      <c r="K13" s="27" t="s">
        <v>154</v>
      </c>
      <c r="L13" s="27" t="s">
        <v>155</v>
      </c>
      <c r="M13" s="29" t="s">
        <v>156</v>
      </c>
      <c r="N13" s="29" t="s">
        <v>157</v>
      </c>
      <c r="O13" s="30" t="s">
        <v>81</v>
      </c>
      <c r="P13" s="30" t="s">
        <v>60</v>
      </c>
      <c r="Q13" s="28">
        <v>46307.0</v>
      </c>
      <c r="R13" s="27" t="s">
        <v>61</v>
      </c>
      <c r="S13" s="26" t="str">
        <f>IF($F13="","",IF($R13="Hủy","Đã hủy",IF($R13="Đã đăng",IF($T13="","Đã đăng – thiếu link","Đã đăng"),IF($C13="","Chưa có ngày đăng",IF($C13&lt;'Tổng quan'!$H$11,"Trễ lịch đăng "&amp;('Tổng quan'!$H$11-$C13)&amp;" ngày",IF(AND($Q13&lt;&gt;"",$Q13&lt;'Tổng quan'!$H$11,OR($R13="Ý tưởng",$R13="Đang viết",$R13="")),"Trễ hạn nháp "&amp;('Tổng quan'!$H$11-$Q13)&amp;" ngày",IF($C13='Tổng quan'!$H$11,"Đăng hôm nay",IF($C13-'Tổng quan'!$H$11&lt;='Cài đặt'!$B$102,"Sắp đăng ("&amp;($C13-'Tổng quan'!$H$11)&amp;" ngày)","Còn "&amp;($C13-'Tổng quan'!$H$11)&amp;" ngày"))))))))</f>
        <v>Đã đăng</v>
      </c>
      <c r="T13" s="30" t="s">
        <v>161</v>
      </c>
      <c r="U13" s="32">
        <v>6000000.0</v>
      </c>
      <c r="V13" s="32">
        <v>4000000.0</v>
      </c>
      <c r="W13" s="33">
        <v>8400.0</v>
      </c>
      <c r="X13" s="33">
        <v>520.0</v>
      </c>
      <c r="Y13" s="33">
        <v>390.0</v>
      </c>
      <c r="Z13" s="33">
        <v>57.0</v>
      </c>
      <c r="AA13" s="34">
        <f t="shared" si="3"/>
        <v>0.0619047619</v>
      </c>
      <c r="AB13" s="34">
        <f t="shared" si="4"/>
        <v>0.04642857143</v>
      </c>
      <c r="AC13" s="35">
        <f t="shared" si="5"/>
        <v>175438.5965</v>
      </c>
      <c r="AD13" s="29"/>
    </row>
    <row r="14" ht="31.5" customHeight="1">
      <c r="A14" s="15">
        <f t="shared" si="1"/>
        <v>9</v>
      </c>
      <c r="B14" s="16" t="s">
        <v>162</v>
      </c>
      <c r="C14" s="17">
        <v>46315.0</v>
      </c>
      <c r="D14" s="15" t="str">
        <f t="shared" si="2"/>
        <v>Thứ 3</v>
      </c>
      <c r="E14" s="15" t="str">
        <f>IF(OR($C14="",'Tổng quan'!$B$6="",'Tổng quan'!$B$7=""),"",IF(OR($C14&lt;'Tổng quan'!$B$6,$C14&gt;'Tổng quan'!$B$7),"Ngoài kỳ","Tuần "&amp;(INT(($C14-'Tổng quan'!$B$6)/7)+1)))</f>
        <v>Tuần 3</v>
      </c>
      <c r="F14" s="19" t="s">
        <v>165</v>
      </c>
      <c r="G14" s="19" t="s">
        <v>51</v>
      </c>
      <c r="H14" s="16" t="s">
        <v>52</v>
      </c>
      <c r="I14" s="16" t="s">
        <v>53</v>
      </c>
      <c r="J14" s="19" t="s">
        <v>77</v>
      </c>
      <c r="K14" s="16" t="s">
        <v>78</v>
      </c>
      <c r="L14" s="16" t="s">
        <v>92</v>
      </c>
      <c r="M14" s="19" t="s">
        <v>168</v>
      </c>
      <c r="N14" s="19" t="s">
        <v>169</v>
      </c>
      <c r="O14" s="20" t="s">
        <v>59</v>
      </c>
      <c r="P14" s="20" t="s">
        <v>60</v>
      </c>
      <c r="Q14" s="17">
        <v>46311.0</v>
      </c>
      <c r="R14" s="16" t="s">
        <v>61</v>
      </c>
      <c r="S14" s="15" t="str">
        <f>IF($F14="","",IF($R14="Hủy","Đã hủy",IF($R14="Đã đăng",IF($T14="","Đã đăng – thiếu link","Đã đăng"),IF($C14="","Chưa có ngày đăng",IF($C14&lt;'Tổng quan'!$H$11,"Trễ lịch đăng "&amp;('Tổng quan'!$H$11-$C14)&amp;" ngày",IF(AND($Q14&lt;&gt;"",$Q14&lt;'Tổng quan'!$H$11,OR($R14="Ý tưởng",$R14="Đang viết",$R14="")),"Trễ hạn nháp "&amp;('Tổng quan'!$H$11-$Q14)&amp;" ngày",IF($C14='Tổng quan'!$H$11,"Đăng hôm nay",IF($C14-'Tổng quan'!$H$11&lt;='Cài đặt'!$B$102,"Sắp đăng ("&amp;($C14-'Tổng quan'!$H$11)&amp;" ngày)","Còn "&amp;($C14-'Tổng quan'!$H$11)&amp;" ngày"))))))))</f>
        <v>Đã đăng</v>
      </c>
      <c r="T14" s="20" t="s">
        <v>176</v>
      </c>
      <c r="U14" s="22">
        <v>800000.0</v>
      </c>
      <c r="V14" s="22">
        <v>1000000.0</v>
      </c>
      <c r="W14" s="23">
        <v>3600.0</v>
      </c>
      <c r="X14" s="23">
        <v>210.0</v>
      </c>
      <c r="Y14" s="23">
        <v>280.0</v>
      </c>
      <c r="Z14" s="23">
        <v>39.0</v>
      </c>
      <c r="AA14" s="24">
        <f t="shared" si="3"/>
        <v>0.05833333333</v>
      </c>
      <c r="AB14" s="24">
        <f t="shared" si="4"/>
        <v>0.07777777778</v>
      </c>
      <c r="AC14" s="25">
        <f t="shared" si="5"/>
        <v>46153.84615</v>
      </c>
      <c r="AD14" s="19"/>
    </row>
    <row r="15" ht="31.5" customHeight="1">
      <c r="A15" s="26">
        <f t="shared" si="1"/>
        <v>10</v>
      </c>
      <c r="B15" s="27" t="s">
        <v>185</v>
      </c>
      <c r="C15" s="28">
        <v>46316.0</v>
      </c>
      <c r="D15" s="26" t="str">
        <f t="shared" si="2"/>
        <v>Thứ 4</v>
      </c>
      <c r="E15" s="26" t="str">
        <f>IF(OR($C15="",'Tổng quan'!$B$6="",'Tổng quan'!$B$7=""),"",IF(OR($C15&lt;'Tổng quan'!$B$6,$C15&gt;'Tổng quan'!$B$7),"Ngoài kỳ","Tuần "&amp;(INT(($C15-'Tổng quan'!$B$6)/7)+1)))</f>
        <v>Tuần 3</v>
      </c>
      <c r="F15" s="29" t="s">
        <v>186</v>
      </c>
      <c r="G15" s="29" t="s">
        <v>51</v>
      </c>
      <c r="H15" s="27" t="s">
        <v>75</v>
      </c>
      <c r="I15" s="27" t="s">
        <v>76</v>
      </c>
      <c r="J15" s="29" t="s">
        <v>54</v>
      </c>
      <c r="K15" s="27" t="s">
        <v>55</v>
      </c>
      <c r="L15" s="27" t="s">
        <v>67</v>
      </c>
      <c r="M15" s="29" t="s">
        <v>187</v>
      </c>
      <c r="N15" s="29" t="s">
        <v>188</v>
      </c>
      <c r="O15" s="30" t="s">
        <v>81</v>
      </c>
      <c r="P15" s="30" t="s">
        <v>60</v>
      </c>
      <c r="Q15" s="28">
        <v>46312.0</v>
      </c>
      <c r="R15" s="27" t="s">
        <v>61</v>
      </c>
      <c r="S15" s="26" t="str">
        <f>IF($F15="","",IF($R15="Hủy","Đã hủy",IF($R15="Đã đăng",IF($T15="","Đã đăng – thiếu link","Đã đăng"),IF($C15="","Chưa có ngày đăng",IF($C15&lt;'Tổng quan'!$H$11,"Trễ lịch đăng "&amp;('Tổng quan'!$H$11-$C15)&amp;" ngày",IF(AND($Q15&lt;&gt;"",$Q15&lt;'Tổng quan'!$H$11,OR($R15="Ý tưởng",$R15="Đang viết",$R15="")),"Trễ hạn nháp "&amp;('Tổng quan'!$H$11-$Q15)&amp;" ngày",IF($C15='Tổng quan'!$H$11,"Đăng hôm nay",IF($C15-'Tổng quan'!$H$11&lt;='Cài đặt'!$B$102,"Sắp đăng ("&amp;($C15-'Tổng quan'!$H$11)&amp;" ngày)","Còn "&amp;($C15-'Tổng quan'!$H$11)&amp;" ngày"))))))))</f>
        <v>Đã đăng</v>
      </c>
      <c r="T15" s="30" t="s">
        <v>189</v>
      </c>
      <c r="U15" s="32">
        <v>1500000.0</v>
      </c>
      <c r="V15" s="32">
        <v>2500000.0</v>
      </c>
      <c r="W15" s="33">
        <v>52000.0</v>
      </c>
      <c r="X15" s="33">
        <v>4800.0</v>
      </c>
      <c r="Y15" s="33">
        <v>510.0</v>
      </c>
      <c r="Z15" s="33">
        <v>31.0</v>
      </c>
      <c r="AA15" s="34">
        <f t="shared" si="3"/>
        <v>0.09230769231</v>
      </c>
      <c r="AB15" s="34">
        <f t="shared" si="4"/>
        <v>0.009807692308</v>
      </c>
      <c r="AC15" s="35">
        <f t="shared" si="5"/>
        <v>129032.2581</v>
      </c>
      <c r="AD15" s="29"/>
    </row>
    <row r="16" ht="31.5" customHeight="1">
      <c r="A16" s="15">
        <f t="shared" si="1"/>
        <v>11</v>
      </c>
      <c r="B16" s="16" t="s">
        <v>190</v>
      </c>
      <c r="C16" s="17">
        <v>46318.0</v>
      </c>
      <c r="D16" s="15" t="str">
        <f t="shared" si="2"/>
        <v>Thứ 6</v>
      </c>
      <c r="E16" s="15" t="str">
        <f>IF(OR($C16="",'Tổng quan'!$B$6="",'Tổng quan'!$B$7=""),"",IF(OR($C16&lt;'Tổng quan'!$B$6,$C16&gt;'Tổng quan'!$B$7),"Ngoài kỳ","Tuần "&amp;(INT(($C16-'Tổng quan'!$B$6)/7)+1)))</f>
        <v>Tuần 3</v>
      </c>
      <c r="F16" s="19" t="s">
        <v>191</v>
      </c>
      <c r="G16" s="19" t="s">
        <v>183</v>
      </c>
      <c r="H16" s="16" t="s">
        <v>111</v>
      </c>
      <c r="I16" s="16" t="s">
        <v>66</v>
      </c>
      <c r="J16" s="19" t="s">
        <v>77</v>
      </c>
      <c r="K16" s="16" t="s">
        <v>154</v>
      </c>
      <c r="L16" s="16" t="s">
        <v>155</v>
      </c>
      <c r="M16" s="19" t="s">
        <v>192</v>
      </c>
      <c r="N16" s="19" t="s">
        <v>193</v>
      </c>
      <c r="O16" s="20" t="s">
        <v>70</v>
      </c>
      <c r="P16" s="20" t="s">
        <v>60</v>
      </c>
      <c r="Q16" s="17">
        <v>46314.0</v>
      </c>
      <c r="R16" s="16" t="s">
        <v>61</v>
      </c>
      <c r="S16" s="15" t="str">
        <f>IF($F16="","",IF($R16="Hủy","Đã hủy",IF($R16="Đã đăng",IF($T16="","Đã đăng – thiếu link","Đã đăng"),IF($C16="","Chưa có ngày đăng",IF($C16&lt;'Tổng quan'!$H$11,"Trễ lịch đăng "&amp;('Tổng quan'!$H$11-$C16)&amp;" ngày",IF(AND($Q16&lt;&gt;"",$Q16&lt;'Tổng quan'!$H$11,OR($R16="Ý tưởng",$R16="Đang viết",$R16="")),"Trễ hạn nháp "&amp;('Tổng quan'!$H$11-$Q16)&amp;" ngày",IF($C16='Tổng quan'!$H$11,"Đăng hôm nay",IF($C16-'Tổng quan'!$H$11&lt;='Cài đặt'!$B$102,"Sắp đăng ("&amp;($C16-'Tổng quan'!$H$11)&amp;" ngày)","Còn "&amp;($C16-'Tổng quan'!$H$11)&amp;" ngày"))))))))</f>
        <v>Đã đăng</v>
      </c>
      <c r="T16" s="20" t="s">
        <v>194</v>
      </c>
      <c r="U16" s="22">
        <v>500000.0</v>
      </c>
      <c r="V16" s="22">
        <v>5000000.0</v>
      </c>
      <c r="W16" s="23">
        <v>14100.0</v>
      </c>
      <c r="X16" s="23">
        <v>760.0</v>
      </c>
      <c r="Y16" s="23">
        <v>1020.0</v>
      </c>
      <c r="Z16" s="23">
        <v>118.0</v>
      </c>
      <c r="AA16" s="24">
        <f t="shared" si="3"/>
        <v>0.05390070922</v>
      </c>
      <c r="AB16" s="24">
        <f t="shared" si="4"/>
        <v>0.07234042553</v>
      </c>
      <c r="AC16" s="25">
        <f t="shared" si="5"/>
        <v>46610.16949</v>
      </c>
      <c r="AD16" s="19"/>
    </row>
    <row r="17" ht="31.5" customHeight="1">
      <c r="A17" s="26">
        <f t="shared" si="1"/>
        <v>12</v>
      </c>
      <c r="B17" s="27" t="s">
        <v>195</v>
      </c>
      <c r="C17" s="28">
        <v>46322.0</v>
      </c>
      <c r="D17" s="26" t="str">
        <f t="shared" si="2"/>
        <v>Thứ 3</v>
      </c>
      <c r="E17" s="26" t="str">
        <f>IF(OR($C17="",'Tổng quan'!$B$6="",'Tổng quan'!$B$7=""),"",IF(OR($C17&lt;'Tổng quan'!$B$6,$C17&gt;'Tổng quan'!$B$7),"Ngoài kỳ","Tuần "&amp;(INT(($C17-'Tổng quan'!$B$6)/7)+1)))</f>
        <v>Tuần 4</v>
      </c>
      <c r="F17" s="29" t="s">
        <v>196</v>
      </c>
      <c r="G17" s="29" t="s">
        <v>197</v>
      </c>
      <c r="H17" s="27" t="s">
        <v>111</v>
      </c>
      <c r="I17" s="27" t="s">
        <v>198</v>
      </c>
      <c r="J17" s="29" t="s">
        <v>91</v>
      </c>
      <c r="K17" s="27" t="s">
        <v>55</v>
      </c>
      <c r="L17" s="27" t="s">
        <v>56</v>
      </c>
      <c r="M17" s="29" t="s">
        <v>200</v>
      </c>
      <c r="N17" s="29" t="s">
        <v>201</v>
      </c>
      <c r="O17" s="30" t="s">
        <v>59</v>
      </c>
      <c r="P17" s="30" t="s">
        <v>60</v>
      </c>
      <c r="Q17" s="28">
        <v>46318.0</v>
      </c>
      <c r="R17" s="27" t="s">
        <v>61</v>
      </c>
      <c r="S17" s="26" t="str">
        <f>IF($F17="","",IF($R17="Hủy","Đã hủy",IF($R17="Đã đăng",IF($T17="","Đã đăng – thiếu link","Đã đăng"),IF($C17="","Chưa có ngày đăng",IF($C17&lt;'Tổng quan'!$H$11,"Trễ lịch đăng "&amp;('Tổng quan'!$H$11-$C17)&amp;" ngày",IF(AND($Q17&lt;&gt;"",$Q17&lt;'Tổng quan'!$H$11,OR($R17="Ý tưởng",$R17="Đang viết",$R17="")),"Trễ hạn nháp "&amp;('Tổng quan'!$H$11-$Q17)&amp;" ngày",IF($C17='Tổng quan'!$H$11,"Đăng hôm nay",IF($C17-'Tổng quan'!$H$11&lt;='Cài đặt'!$B$102,"Sắp đăng ("&amp;($C17-'Tổng quan'!$H$11)&amp;" ngày)","Còn "&amp;($C17-'Tổng quan'!$H$11)&amp;" ngày"))))))))</f>
        <v>Đã đăng</v>
      </c>
      <c r="T17" s="30" t="s">
        <v>203</v>
      </c>
      <c r="U17" s="32">
        <v>600000.0</v>
      </c>
      <c r="V17" s="32">
        <v>500000.0</v>
      </c>
      <c r="W17" s="33">
        <v>2900.0</v>
      </c>
      <c r="X17" s="33">
        <v>190.0</v>
      </c>
      <c r="Y17" s="33">
        <v>85.0</v>
      </c>
      <c r="Z17" s="33">
        <v>7.0</v>
      </c>
      <c r="AA17" s="34">
        <f t="shared" si="3"/>
        <v>0.06551724138</v>
      </c>
      <c r="AB17" s="34">
        <f t="shared" si="4"/>
        <v>0.02931034483</v>
      </c>
      <c r="AC17" s="35">
        <f t="shared" si="5"/>
        <v>157142.8571</v>
      </c>
      <c r="AD17" s="29"/>
    </row>
    <row r="18" ht="31.5" customHeight="1">
      <c r="A18" s="15">
        <f t="shared" si="1"/>
        <v>13</v>
      </c>
      <c r="B18" s="16" t="s">
        <v>204</v>
      </c>
      <c r="C18" s="17">
        <v>46323.0</v>
      </c>
      <c r="D18" s="15" t="str">
        <f t="shared" si="2"/>
        <v>Thứ 4</v>
      </c>
      <c r="E18" s="15" t="str">
        <f>IF(OR($C18="",'Tổng quan'!$B$6="",'Tổng quan'!$B$7=""),"",IF(OR($C18&lt;'Tổng quan'!$B$6,$C18&gt;'Tổng quan'!$B$7),"Ngoài kỳ","Tuần "&amp;(INT(($C18-'Tổng quan'!$B$6)/7)+1)))</f>
        <v>Tuần 4</v>
      </c>
      <c r="F18" s="19" t="s">
        <v>206</v>
      </c>
      <c r="G18" s="19" t="s">
        <v>144</v>
      </c>
      <c r="H18" s="16" t="s">
        <v>75</v>
      </c>
      <c r="I18" s="16" t="s">
        <v>66</v>
      </c>
      <c r="J18" s="19" t="s">
        <v>54</v>
      </c>
      <c r="K18" s="16" t="s">
        <v>78</v>
      </c>
      <c r="L18" s="16" t="s">
        <v>67</v>
      </c>
      <c r="M18" s="19" t="s">
        <v>207</v>
      </c>
      <c r="N18" s="19" t="s">
        <v>208</v>
      </c>
      <c r="O18" s="20" t="s">
        <v>81</v>
      </c>
      <c r="P18" s="20" t="s">
        <v>60</v>
      </c>
      <c r="Q18" s="17">
        <v>46319.0</v>
      </c>
      <c r="R18" s="16" t="s">
        <v>61</v>
      </c>
      <c r="S18" s="15" t="str">
        <f>IF($F18="","",IF($R18="Hủy","Đã hủy",IF($R18="Đã đăng",IF($T18="","Đã đăng – thiếu link","Đã đăng"),IF($C18="","Chưa có ngày đăng",IF($C18&lt;'Tổng quan'!$H$11,"Trễ lịch đăng "&amp;('Tổng quan'!$H$11-$C18)&amp;" ngày",IF(AND($Q18&lt;&gt;"",$Q18&lt;'Tổng quan'!$H$11,OR($R18="Ý tưởng",$R18="Đang viết",$R18="")),"Trễ hạn nháp "&amp;('Tổng quan'!$H$11-$Q18)&amp;" ngày",IF($C18='Tổng quan'!$H$11,"Đăng hôm nay",IF($C18-'Tổng quan'!$H$11&lt;='Cài đặt'!$B$102,"Sắp đăng ("&amp;($C18-'Tổng quan'!$H$11)&amp;" ngày)","Còn "&amp;($C18-'Tổng quan'!$H$11)&amp;" ngày"))))))))</f>
        <v>Đã đăng – thiếu link</v>
      </c>
      <c r="T18" s="20"/>
      <c r="U18" s="22">
        <v>900000.0</v>
      </c>
      <c r="V18" s="22">
        <v>1000000.0</v>
      </c>
      <c r="W18" s="23">
        <v>6800.0</v>
      </c>
      <c r="X18" s="23">
        <v>560.0</v>
      </c>
      <c r="Y18" s="23">
        <v>120.0</v>
      </c>
      <c r="Z18" s="23">
        <v>10.0</v>
      </c>
      <c r="AA18" s="24">
        <f t="shared" si="3"/>
        <v>0.08235294118</v>
      </c>
      <c r="AB18" s="24">
        <f t="shared" si="4"/>
        <v>0.01764705882</v>
      </c>
      <c r="AC18" s="25">
        <f t="shared" si="5"/>
        <v>190000</v>
      </c>
      <c r="AD18" s="19" t="s">
        <v>210</v>
      </c>
    </row>
    <row r="19" ht="31.5" customHeight="1">
      <c r="A19" s="26">
        <f t="shared" si="1"/>
        <v>14</v>
      </c>
      <c r="B19" s="27" t="s">
        <v>211</v>
      </c>
      <c r="C19" s="28">
        <v>46325.0</v>
      </c>
      <c r="D19" s="26" t="str">
        <f t="shared" si="2"/>
        <v>Thứ 6</v>
      </c>
      <c r="E19" s="26" t="str">
        <f>IF(OR($C19="",'Tổng quan'!$B$6="",'Tổng quan'!$B$7=""),"",IF(OR($C19&lt;'Tổng quan'!$B$6,$C19&gt;'Tổng quan'!$B$7),"Ngoài kỳ","Tuần "&amp;(INT(($C19-'Tổng quan'!$B$6)/7)+1)))</f>
        <v>Tuần 4</v>
      </c>
      <c r="F19" s="29" t="s">
        <v>212</v>
      </c>
      <c r="G19" s="29" t="s">
        <v>74</v>
      </c>
      <c r="H19" s="27" t="s">
        <v>88</v>
      </c>
      <c r="I19" s="27" t="s">
        <v>90</v>
      </c>
      <c r="J19" s="29" t="s">
        <v>91</v>
      </c>
      <c r="K19" s="27" t="s">
        <v>78</v>
      </c>
      <c r="L19" s="27" t="s">
        <v>92</v>
      </c>
      <c r="M19" s="29" t="s">
        <v>213</v>
      </c>
      <c r="N19" s="29" t="s">
        <v>214</v>
      </c>
      <c r="O19" s="30" t="s">
        <v>96</v>
      </c>
      <c r="P19" s="30" t="s">
        <v>60</v>
      </c>
      <c r="Q19" s="28">
        <v>46322.0</v>
      </c>
      <c r="R19" s="27" t="s">
        <v>215</v>
      </c>
      <c r="S19" s="26" t="str">
        <f>IF($F19="","",IF($R19="Hủy","Đã hủy",IF($R19="Đã đăng",IF($T19="","Đã đăng – thiếu link","Đã đăng"),IF($C19="","Chưa có ngày đăng",IF($C19&lt;'Tổng quan'!$H$11,"Trễ lịch đăng "&amp;('Tổng quan'!$H$11-$C19)&amp;" ngày",IF(AND($Q19&lt;&gt;"",$Q19&lt;'Tổng quan'!$H$11,OR($R19="Ý tưởng",$R19="Đang viết",$R19="")),"Trễ hạn nháp "&amp;('Tổng quan'!$H$11-$Q19)&amp;" ngày",IF($C19='Tổng quan'!$H$11,"Đăng hôm nay",IF($C19-'Tổng quan'!$H$11&lt;='Cài đặt'!$B$102,"Sắp đăng ("&amp;($C19-'Tổng quan'!$H$11)&amp;" ngày)","Còn "&amp;($C19-'Tổng quan'!$H$11)&amp;" ngày"))))))))</f>
        <v>Đăng hôm nay</v>
      </c>
      <c r="T19" s="30"/>
      <c r="U19" s="32">
        <v>400000.0</v>
      </c>
      <c r="V19" s="32">
        <v>0.0</v>
      </c>
      <c r="W19" s="33"/>
      <c r="X19" s="33"/>
      <c r="Y19" s="33"/>
      <c r="Z19" s="33"/>
      <c r="AA19" s="34" t="str">
        <f t="shared" si="3"/>
        <v/>
      </c>
      <c r="AB19" s="34" t="str">
        <f t="shared" si="4"/>
        <v/>
      </c>
      <c r="AC19" s="35" t="str">
        <f t="shared" si="5"/>
        <v/>
      </c>
      <c r="AD19" s="29"/>
    </row>
    <row r="20" ht="31.5" customHeight="1">
      <c r="A20" s="15">
        <f t="shared" si="1"/>
        <v>15</v>
      </c>
      <c r="B20" s="16" t="s">
        <v>217</v>
      </c>
      <c r="C20" s="17">
        <v>46326.0</v>
      </c>
      <c r="D20" s="15" t="str">
        <f t="shared" si="2"/>
        <v>Thứ 7</v>
      </c>
      <c r="E20" s="15" t="str">
        <f>IF(OR($C20="",'Tổng quan'!$B$6="",'Tổng quan'!$B$7=""),"",IF(OR($C20&lt;'Tổng quan'!$B$6,$C20&gt;'Tổng quan'!$B$7),"Ngoài kỳ","Tuần "&amp;(INT(($C20-'Tổng quan'!$B$6)/7)+1)))</f>
        <v>Tuần 4</v>
      </c>
      <c r="F20" s="19" t="s">
        <v>218</v>
      </c>
      <c r="G20" s="19" t="s">
        <v>51</v>
      </c>
      <c r="H20" s="16" t="s">
        <v>111</v>
      </c>
      <c r="I20" s="16" t="s">
        <v>145</v>
      </c>
      <c r="J20" s="19" t="s">
        <v>77</v>
      </c>
      <c r="K20" s="16" t="s">
        <v>55</v>
      </c>
      <c r="L20" s="16" t="s">
        <v>67</v>
      </c>
      <c r="M20" s="19" t="s">
        <v>219</v>
      </c>
      <c r="N20" s="19" t="s">
        <v>220</v>
      </c>
      <c r="O20" s="20" t="s">
        <v>59</v>
      </c>
      <c r="P20" s="20" t="s">
        <v>60</v>
      </c>
      <c r="Q20" s="17">
        <v>46323.0</v>
      </c>
      <c r="R20" s="16" t="s">
        <v>221</v>
      </c>
      <c r="S20" s="15" t="str">
        <f>IF($F20="","",IF($R20="Hủy","Đã hủy",IF($R20="Đã đăng",IF($T20="","Đã đăng – thiếu link","Đã đăng"),IF($C20="","Chưa có ngày đăng",IF($C20&lt;'Tổng quan'!$H$11,"Trễ lịch đăng "&amp;('Tổng quan'!$H$11-$C20)&amp;" ngày",IF(AND($Q20&lt;&gt;"",$Q20&lt;'Tổng quan'!$H$11,OR($R20="Ý tưởng",$R20="Đang viết",$R20="")),"Trễ hạn nháp "&amp;('Tổng quan'!$H$11-$Q20)&amp;" ngày",IF($C20='Tổng quan'!$H$11,"Đăng hôm nay",IF($C20-'Tổng quan'!$H$11&lt;='Cài đặt'!$B$102,"Sắp đăng ("&amp;($C20-'Tổng quan'!$H$11)&amp;" ngày)","Còn "&amp;($C20-'Tổng quan'!$H$11)&amp;" ngày"))))))))</f>
        <v>Sắp đăng (1 ngày)</v>
      </c>
      <c r="T20" s="20"/>
      <c r="U20" s="22">
        <v>500000.0</v>
      </c>
      <c r="V20" s="22">
        <v>800000.0</v>
      </c>
      <c r="W20" s="23"/>
      <c r="X20" s="23"/>
      <c r="Y20" s="23"/>
      <c r="Z20" s="23"/>
      <c r="AA20" s="24" t="str">
        <f t="shared" si="3"/>
        <v/>
      </c>
      <c r="AB20" s="24" t="str">
        <f t="shared" si="4"/>
        <v/>
      </c>
      <c r="AC20" s="25" t="str">
        <f t="shared" si="5"/>
        <v/>
      </c>
      <c r="AD20" s="19" t="s">
        <v>228</v>
      </c>
    </row>
    <row r="21" ht="31.5" customHeight="1">
      <c r="A21" s="26">
        <f t="shared" si="1"/>
        <v>16</v>
      </c>
      <c r="B21" s="27" t="s">
        <v>229</v>
      </c>
      <c r="C21" s="28">
        <v>46328.0</v>
      </c>
      <c r="D21" s="26" t="str">
        <f t="shared" si="2"/>
        <v>Thứ 2</v>
      </c>
      <c r="E21" s="26" t="str">
        <f>IF(OR($C21="",'Tổng quan'!$B$6="",'Tổng quan'!$B$7=""),"",IF(OR($C21&lt;'Tổng quan'!$B$6,$C21&gt;'Tổng quan'!$B$7),"Ngoài kỳ","Tuần "&amp;(INT(($C21-'Tổng quan'!$B$6)/7)+1)))</f>
        <v>Tuần 5</v>
      </c>
      <c r="F21" s="29" t="s">
        <v>230</v>
      </c>
      <c r="G21" s="29" t="s">
        <v>51</v>
      </c>
      <c r="H21" s="27" t="s">
        <v>52</v>
      </c>
      <c r="I21" s="27" t="s">
        <v>53</v>
      </c>
      <c r="J21" s="29" t="s">
        <v>54</v>
      </c>
      <c r="K21" s="27" t="s">
        <v>78</v>
      </c>
      <c r="L21" s="27" t="s">
        <v>92</v>
      </c>
      <c r="M21" s="29" t="s">
        <v>231</v>
      </c>
      <c r="N21" s="29" t="s">
        <v>232</v>
      </c>
      <c r="O21" s="30" t="s">
        <v>59</v>
      </c>
      <c r="P21" s="30" t="s">
        <v>60</v>
      </c>
      <c r="Q21" s="28">
        <v>46324.0</v>
      </c>
      <c r="R21" s="27" t="s">
        <v>233</v>
      </c>
      <c r="S21" s="26" t="str">
        <f>IF($F21="","",IF($R21="Hủy","Đã hủy",IF($R21="Đã đăng",IF($T21="","Đã đăng – thiếu link","Đã đăng"),IF($C21="","Chưa có ngày đăng",IF($C21&lt;'Tổng quan'!$H$11,"Trễ lịch đăng "&amp;('Tổng quan'!$H$11-$C21)&amp;" ngày",IF(AND($Q21&lt;&gt;"",$Q21&lt;'Tổng quan'!$H$11,OR($R21="Ý tưởng",$R21="Đang viết",$R21="")),"Trễ hạn nháp "&amp;('Tổng quan'!$H$11-$Q21)&amp;" ngày",IF($C21='Tổng quan'!$H$11,"Đăng hôm nay",IF($C21-'Tổng quan'!$H$11&lt;='Cài đặt'!$B$102,"Sắp đăng ("&amp;($C21-'Tổng quan'!$H$11)&amp;" ngày)","Còn "&amp;($C21-'Tổng quan'!$H$11)&amp;" ngày"))))))))</f>
        <v>Trễ hạn nháp 1 ngày</v>
      </c>
      <c r="T21" s="30"/>
      <c r="U21" s="32">
        <v>800000.0</v>
      </c>
      <c r="V21" s="32">
        <v>1000000.0</v>
      </c>
      <c r="W21" s="33"/>
      <c r="X21" s="33"/>
      <c r="Y21" s="33"/>
      <c r="Z21" s="33"/>
      <c r="AA21" s="34" t="str">
        <f t="shared" si="3"/>
        <v/>
      </c>
      <c r="AB21" s="34" t="str">
        <f t="shared" si="4"/>
        <v/>
      </c>
      <c r="AC21" s="35" t="str">
        <f t="shared" si="5"/>
        <v/>
      </c>
      <c r="AD21" s="29" t="s">
        <v>234</v>
      </c>
    </row>
    <row r="22" ht="31.5" customHeight="1">
      <c r="A22" s="15">
        <f t="shared" si="1"/>
        <v>17</v>
      </c>
      <c r="B22" s="16" t="s">
        <v>235</v>
      </c>
      <c r="C22" s="17">
        <v>46329.0</v>
      </c>
      <c r="D22" s="15" t="str">
        <f t="shared" si="2"/>
        <v>Thứ 3</v>
      </c>
      <c r="E22" s="15" t="str">
        <f>IF(OR($C22="",'Tổng quan'!$B$6="",'Tổng quan'!$B$7=""),"",IF(OR($C22&lt;'Tổng quan'!$B$6,$C22&gt;'Tổng quan'!$B$7),"Ngoài kỳ","Tuần "&amp;(INT(($C22-'Tổng quan'!$B$6)/7)+1)))</f>
        <v>Tuần 5</v>
      </c>
      <c r="F22" s="19" t="s">
        <v>159</v>
      </c>
      <c r="G22" s="19" t="s">
        <v>74</v>
      </c>
      <c r="H22" s="16" t="s">
        <v>75</v>
      </c>
      <c r="I22" s="16" t="s">
        <v>76</v>
      </c>
      <c r="J22" s="19" t="s">
        <v>77</v>
      </c>
      <c r="K22" s="16" t="s">
        <v>78</v>
      </c>
      <c r="L22" s="16" t="s">
        <v>67</v>
      </c>
      <c r="M22" s="19" t="s">
        <v>79</v>
      </c>
      <c r="N22" s="19" t="s">
        <v>236</v>
      </c>
      <c r="O22" s="20" t="s">
        <v>81</v>
      </c>
      <c r="P22" s="20" t="s">
        <v>60</v>
      </c>
      <c r="Q22" s="17">
        <v>46326.0</v>
      </c>
      <c r="R22" s="16" t="s">
        <v>237</v>
      </c>
      <c r="S22" s="15" t="str">
        <f>IF($F22="","",IF($R22="Hủy","Đã hủy",IF($R22="Đã đăng",IF($T22="","Đã đăng – thiếu link","Đã đăng"),IF($C22="","Chưa có ngày đăng",IF($C22&lt;'Tổng quan'!$H$11,"Trễ lịch đăng "&amp;('Tổng quan'!$H$11-$C22)&amp;" ngày",IF(AND($Q22&lt;&gt;"",$Q22&lt;'Tổng quan'!$H$11,OR($R22="Ý tưởng",$R22="Đang viết",$R22="")),"Trễ hạn nháp "&amp;('Tổng quan'!$H$11-$Q22)&amp;" ngày",IF($C22='Tổng quan'!$H$11,"Đăng hôm nay",IF($C22-'Tổng quan'!$H$11&lt;='Cài đặt'!$B$102,"Sắp đăng ("&amp;($C22-'Tổng quan'!$H$11)&amp;" ngày)","Còn "&amp;($C22-'Tổng quan'!$H$11)&amp;" ngày"))))))))</f>
        <v>Còn 4 ngày</v>
      </c>
      <c r="T22" s="20"/>
      <c r="U22" s="22">
        <v>2000000.0</v>
      </c>
      <c r="V22" s="22">
        <v>3000000.0</v>
      </c>
      <c r="W22" s="23"/>
      <c r="X22" s="23"/>
      <c r="Y22" s="23"/>
      <c r="Z22" s="23"/>
      <c r="AA22" s="24" t="str">
        <f t="shared" si="3"/>
        <v/>
      </c>
      <c r="AB22" s="24" t="str">
        <f t="shared" si="4"/>
        <v/>
      </c>
      <c r="AC22" s="25" t="str">
        <f t="shared" si="5"/>
        <v/>
      </c>
      <c r="AD22" s="19"/>
    </row>
    <row r="23" ht="31.5" customHeight="1">
      <c r="A23" s="26">
        <f t="shared" si="1"/>
        <v>18</v>
      </c>
      <c r="B23" s="27" t="s">
        <v>303</v>
      </c>
      <c r="C23" s="28">
        <v>46330.0</v>
      </c>
      <c r="D23" s="26" t="str">
        <f t="shared" si="2"/>
        <v>Thứ 4</v>
      </c>
      <c r="E23" s="26" t="str">
        <f>IF(OR($C23="",'Tổng quan'!$B$6="",'Tổng quan'!$B$7=""),"",IF(OR($C23&lt;'Tổng quan'!$B$6,$C23&gt;'Tổng quan'!$B$7),"Ngoài kỳ","Tuần "&amp;(INT(($C23-'Tổng quan'!$B$6)/7)+1)))</f>
        <v>Tuần 5</v>
      </c>
      <c r="F23" s="29" t="s">
        <v>304</v>
      </c>
      <c r="G23" s="29" t="s">
        <v>51</v>
      </c>
      <c r="H23" s="27" t="s">
        <v>127</v>
      </c>
      <c r="I23" s="27" t="s">
        <v>66</v>
      </c>
      <c r="J23" s="29" t="s">
        <v>54</v>
      </c>
      <c r="K23" s="27" t="s">
        <v>78</v>
      </c>
      <c r="L23" s="27" t="s">
        <v>92</v>
      </c>
      <c r="M23" s="29" t="s">
        <v>305</v>
      </c>
      <c r="N23" s="29" t="s">
        <v>306</v>
      </c>
      <c r="O23" s="30" t="s">
        <v>60</v>
      </c>
      <c r="P23" s="30" t="s">
        <v>60</v>
      </c>
      <c r="Q23" s="28">
        <v>46326.0</v>
      </c>
      <c r="R23" s="27" t="s">
        <v>215</v>
      </c>
      <c r="S23" s="26" t="str">
        <f>IF($F23="","",IF($R23="Hủy","Đã hủy",IF($R23="Đã đăng",IF($T23="","Đã đăng – thiếu link","Đã đăng"),IF($C23="","Chưa có ngày đăng",IF($C23&lt;'Tổng quan'!$H$11,"Trễ lịch đăng "&amp;('Tổng quan'!$H$11-$C23)&amp;" ngày",IF(AND($Q23&lt;&gt;"",$Q23&lt;'Tổng quan'!$H$11,OR($R23="Ý tưởng",$R23="Đang viết",$R23="")),"Trễ hạn nháp "&amp;('Tổng quan'!$H$11-$Q23)&amp;" ngày",IF($C23='Tổng quan'!$H$11,"Đăng hôm nay",IF($C23-'Tổng quan'!$H$11&lt;='Cài đặt'!$B$102,"Sắp đăng ("&amp;($C23-'Tổng quan'!$H$11)&amp;" ngày)","Còn "&amp;($C23-'Tổng quan'!$H$11)&amp;" ngày"))))))))</f>
        <v>Còn 5 ngày</v>
      </c>
      <c r="T23" s="30"/>
      <c r="U23" s="32">
        <v>1500000.0</v>
      </c>
      <c r="V23" s="32">
        <v>3000000.0</v>
      </c>
      <c r="W23" s="33"/>
      <c r="X23" s="33"/>
      <c r="Y23" s="33"/>
      <c r="Z23" s="33"/>
      <c r="AA23" s="34" t="str">
        <f t="shared" si="3"/>
        <v/>
      </c>
      <c r="AB23" s="34" t="str">
        <f t="shared" si="4"/>
        <v/>
      </c>
      <c r="AC23" s="35" t="str">
        <f t="shared" si="5"/>
        <v/>
      </c>
      <c r="AD23" s="29"/>
    </row>
    <row r="24" ht="31.5" customHeight="1">
      <c r="A24" s="15">
        <f t="shared" si="1"/>
        <v>19</v>
      </c>
      <c r="B24" s="16" t="s">
        <v>307</v>
      </c>
      <c r="C24" s="17">
        <v>46331.0</v>
      </c>
      <c r="D24" s="15" t="str">
        <f t="shared" si="2"/>
        <v>Thứ 5</v>
      </c>
      <c r="E24" s="15" t="str">
        <f>IF(OR($C24="",'Tổng quan'!$B$6="",'Tổng quan'!$B$7=""),"",IF(OR($C24&lt;'Tổng quan'!$B$6,$C24&gt;'Tổng quan'!$B$7),"Ngoài kỳ","Tuần "&amp;(INT(($C24-'Tổng quan'!$B$6)/7)+1)))</f>
        <v>Tuần 5</v>
      </c>
      <c r="F24" s="19" t="s">
        <v>308</v>
      </c>
      <c r="G24" s="19" t="s">
        <v>51</v>
      </c>
      <c r="H24" s="16" t="s">
        <v>152</v>
      </c>
      <c r="I24" s="16" t="s">
        <v>153</v>
      </c>
      <c r="J24" s="19" t="s">
        <v>77</v>
      </c>
      <c r="K24" s="16" t="s">
        <v>78</v>
      </c>
      <c r="L24" s="16" t="s">
        <v>67</v>
      </c>
      <c r="M24" s="19" t="s">
        <v>309</v>
      </c>
      <c r="N24" s="19" t="s">
        <v>310</v>
      </c>
      <c r="O24" s="20" t="s">
        <v>81</v>
      </c>
      <c r="P24" s="20" t="s">
        <v>60</v>
      </c>
      <c r="Q24" s="17">
        <v>46328.0</v>
      </c>
      <c r="R24" s="16" t="s">
        <v>233</v>
      </c>
      <c r="S24" s="15" t="str">
        <f>IF($F24="","",IF($R24="Hủy","Đã hủy",IF($R24="Đã đăng",IF($T24="","Đã đăng – thiếu link","Đã đăng"),IF($C24="","Chưa có ngày đăng",IF($C24&lt;'Tổng quan'!$H$11,"Trễ lịch đăng "&amp;('Tổng quan'!$H$11-$C24)&amp;" ngày",IF(AND($Q24&lt;&gt;"",$Q24&lt;'Tổng quan'!$H$11,OR($R24="Ý tưởng",$R24="Đang viết",$R24="")),"Trễ hạn nháp "&amp;('Tổng quan'!$H$11-$Q24)&amp;" ngày",IF($C24='Tổng quan'!$H$11,"Đăng hôm nay",IF($C24-'Tổng quan'!$H$11&lt;='Cài đặt'!$B$102,"Sắp đăng ("&amp;($C24-'Tổng quan'!$H$11)&amp;" ngày)","Còn "&amp;($C24-'Tổng quan'!$H$11)&amp;" ngày"))))))))</f>
        <v>Còn 6 ngày</v>
      </c>
      <c r="T24" s="20"/>
      <c r="U24" s="22">
        <v>4000000.0</v>
      </c>
      <c r="V24" s="22">
        <v>2000000.0</v>
      </c>
      <c r="W24" s="23"/>
      <c r="X24" s="23"/>
      <c r="Y24" s="23"/>
      <c r="Z24" s="23"/>
      <c r="AA24" s="24" t="str">
        <f t="shared" si="3"/>
        <v/>
      </c>
      <c r="AB24" s="24" t="str">
        <f t="shared" si="4"/>
        <v/>
      </c>
      <c r="AC24" s="25" t="str">
        <f t="shared" si="5"/>
        <v/>
      </c>
      <c r="AD24" s="19"/>
    </row>
    <row r="25" ht="31.5" customHeight="1">
      <c r="A25" s="26">
        <f t="shared" si="1"/>
        <v>20</v>
      </c>
      <c r="B25" s="27" t="s">
        <v>311</v>
      </c>
      <c r="C25" s="28">
        <v>46332.0</v>
      </c>
      <c r="D25" s="26" t="str">
        <f t="shared" si="2"/>
        <v>Thứ 6</v>
      </c>
      <c r="E25" s="26" t="str">
        <f>IF(OR($C25="",'Tổng quan'!$B$6="",'Tổng quan'!$B$7=""),"",IF(OR($C25&lt;'Tổng quan'!$B$6,$C25&gt;'Tổng quan'!$B$7),"Ngoài kỳ","Tuần "&amp;(INT(($C25-'Tổng quan'!$B$6)/7)+1)))</f>
        <v>Tuần 5</v>
      </c>
      <c r="F25" s="29" t="s">
        <v>312</v>
      </c>
      <c r="G25" s="29" t="s">
        <v>110</v>
      </c>
      <c r="H25" s="27" t="s">
        <v>202</v>
      </c>
      <c r="I25" s="27" t="s">
        <v>66</v>
      </c>
      <c r="J25" s="29" t="s">
        <v>91</v>
      </c>
      <c r="K25" s="27" t="s">
        <v>154</v>
      </c>
      <c r="L25" s="27" t="s">
        <v>155</v>
      </c>
      <c r="M25" s="29" t="s">
        <v>313</v>
      </c>
      <c r="N25" s="29" t="s">
        <v>314</v>
      </c>
      <c r="O25" s="30" t="s">
        <v>59</v>
      </c>
      <c r="P25" s="30" t="s">
        <v>60</v>
      </c>
      <c r="Q25" s="28">
        <v>46329.0</v>
      </c>
      <c r="R25" s="27" t="s">
        <v>237</v>
      </c>
      <c r="S25" s="26" t="str">
        <f>IF($F25="","",IF($R25="Hủy","Đã hủy",IF($R25="Đã đăng",IF($T25="","Đã đăng – thiếu link","Đã đăng"),IF($C25="","Chưa có ngày đăng",IF($C25&lt;'Tổng quan'!$H$11,"Trễ lịch đăng "&amp;('Tổng quan'!$H$11-$C25)&amp;" ngày",IF(AND($Q25&lt;&gt;"",$Q25&lt;'Tổng quan'!$H$11,OR($R25="Ý tưởng",$R25="Đang viết",$R25="")),"Trễ hạn nháp "&amp;('Tổng quan'!$H$11-$Q25)&amp;" ngày",IF($C25='Tổng quan'!$H$11,"Đăng hôm nay",IF($C25-'Tổng quan'!$H$11&lt;='Cài đặt'!$B$102,"Sắp đăng ("&amp;($C25-'Tổng quan'!$H$11)&amp;" ngày)","Còn "&amp;($C25-'Tổng quan'!$H$11)&amp;" ngày"))))))))</f>
        <v>Còn 7 ngày</v>
      </c>
      <c r="T25" s="30"/>
      <c r="U25" s="32">
        <v>1000000.0</v>
      </c>
      <c r="V25" s="32">
        <v>1500000.0</v>
      </c>
      <c r="W25" s="33"/>
      <c r="X25" s="33"/>
      <c r="Y25" s="33"/>
      <c r="Z25" s="33"/>
      <c r="AA25" s="34" t="str">
        <f t="shared" si="3"/>
        <v/>
      </c>
      <c r="AB25" s="34" t="str">
        <f t="shared" si="4"/>
        <v/>
      </c>
      <c r="AC25" s="35" t="str">
        <f t="shared" si="5"/>
        <v/>
      </c>
      <c r="AD25" s="29"/>
    </row>
    <row r="26" ht="31.5" customHeight="1">
      <c r="A26" s="15">
        <f t="shared" si="1"/>
        <v>21</v>
      </c>
      <c r="B26" s="16" t="s">
        <v>315</v>
      </c>
      <c r="C26" s="17">
        <v>46333.0</v>
      </c>
      <c r="D26" s="15" t="str">
        <f t="shared" si="2"/>
        <v>Thứ 7</v>
      </c>
      <c r="E26" s="15" t="str">
        <f>IF(OR($C26="",'Tổng quan'!$B$6="",'Tổng quan'!$B$7=""),"",IF(OR($C26&lt;'Tổng quan'!$B$6,$C26&gt;'Tổng quan'!$B$7),"Ngoài kỳ","Tuần "&amp;(INT(($C26-'Tổng quan'!$B$6)/7)+1)))</f>
        <v>Tuần 5</v>
      </c>
      <c r="F26" s="19" t="s">
        <v>316</v>
      </c>
      <c r="G26" s="19" t="s">
        <v>183</v>
      </c>
      <c r="H26" s="16" t="s">
        <v>88</v>
      </c>
      <c r="I26" s="16" t="s">
        <v>90</v>
      </c>
      <c r="J26" s="19" t="s">
        <v>77</v>
      </c>
      <c r="K26" s="16" t="s">
        <v>154</v>
      </c>
      <c r="L26" s="16" t="s">
        <v>155</v>
      </c>
      <c r="M26" s="19" t="s">
        <v>317</v>
      </c>
      <c r="N26" s="19" t="s">
        <v>318</v>
      </c>
      <c r="O26" s="20" t="s">
        <v>96</v>
      </c>
      <c r="P26" s="20" t="s">
        <v>60</v>
      </c>
      <c r="Q26" s="17">
        <v>46330.0</v>
      </c>
      <c r="R26" s="16" t="s">
        <v>221</v>
      </c>
      <c r="S26" s="15" t="str">
        <f>IF($F26="","",IF($R26="Hủy","Đã hủy",IF($R26="Đã đăng",IF($T26="","Đã đăng – thiếu link","Đã đăng"),IF($C26="","Chưa có ngày đăng",IF($C26&lt;'Tổng quan'!$H$11,"Trễ lịch đăng "&amp;('Tổng quan'!$H$11-$C26)&amp;" ngày",IF(AND($Q26&lt;&gt;"",$Q26&lt;'Tổng quan'!$H$11,OR($R26="Ý tưởng",$R26="Đang viết",$R26="")),"Trễ hạn nháp "&amp;('Tổng quan'!$H$11-$Q26)&amp;" ngày",IF($C26='Tổng quan'!$H$11,"Đăng hôm nay",IF($C26-'Tổng quan'!$H$11&lt;='Cài đặt'!$B$102,"Sắp đăng ("&amp;($C26-'Tổng quan'!$H$11)&amp;" ngày)","Còn "&amp;($C26-'Tổng quan'!$H$11)&amp;" ngày"))))))))</f>
        <v>Còn 8 ngày</v>
      </c>
      <c r="T26" s="20"/>
      <c r="U26" s="22">
        <v>300000.0</v>
      </c>
      <c r="V26" s="22">
        <v>0.0</v>
      </c>
      <c r="W26" s="23"/>
      <c r="X26" s="23"/>
      <c r="Y26" s="23"/>
      <c r="Z26" s="23"/>
      <c r="AA26" s="24" t="str">
        <f t="shared" si="3"/>
        <v/>
      </c>
      <c r="AB26" s="24" t="str">
        <f t="shared" si="4"/>
        <v/>
      </c>
      <c r="AC26" s="25" t="str">
        <f t="shared" si="5"/>
        <v/>
      </c>
      <c r="AD26" s="19"/>
    </row>
    <row r="27" ht="31.5" customHeight="1">
      <c r="A27" s="26">
        <f t="shared" si="1"/>
        <v>22</v>
      </c>
      <c r="B27" s="27" t="s">
        <v>319</v>
      </c>
      <c r="C27" s="28">
        <v>46334.0</v>
      </c>
      <c r="D27" s="26" t="str">
        <f t="shared" si="2"/>
        <v>CN</v>
      </c>
      <c r="E27" s="26" t="str">
        <f>IF(OR($C27="",'Tổng quan'!$B$6="",'Tổng quan'!$B$7=""),"",IF(OR($C27&lt;'Tổng quan'!$B$6,$C27&gt;'Tổng quan'!$B$7),"Ngoài kỳ","Tuần "&amp;(INT(($C27-'Tổng quan'!$B$6)/7)+1)))</f>
        <v>Tuần 5</v>
      </c>
      <c r="F27" s="29" t="s">
        <v>320</v>
      </c>
      <c r="G27" s="29" t="s">
        <v>197</v>
      </c>
      <c r="H27" s="27" t="s">
        <v>75</v>
      </c>
      <c r="I27" s="27" t="s">
        <v>145</v>
      </c>
      <c r="J27" s="29" t="s">
        <v>267</v>
      </c>
      <c r="K27" s="27" t="s">
        <v>55</v>
      </c>
      <c r="L27" s="27" t="s">
        <v>56</v>
      </c>
      <c r="M27" s="29" t="s">
        <v>321</v>
      </c>
      <c r="N27" s="29" t="s">
        <v>322</v>
      </c>
      <c r="O27" s="30" t="s">
        <v>81</v>
      </c>
      <c r="P27" s="30" t="s">
        <v>60</v>
      </c>
      <c r="Q27" s="28">
        <v>46331.0</v>
      </c>
      <c r="R27" s="27" t="s">
        <v>237</v>
      </c>
      <c r="S27" s="26" t="str">
        <f>IF($F27="","",IF($R27="Hủy","Đã hủy",IF($R27="Đã đăng",IF($T27="","Đã đăng – thiếu link","Đã đăng"),IF($C27="","Chưa có ngày đăng",IF($C27&lt;'Tổng quan'!$H$11,"Trễ lịch đăng "&amp;('Tổng quan'!$H$11-$C27)&amp;" ngày",IF(AND($Q27&lt;&gt;"",$Q27&lt;'Tổng quan'!$H$11,OR($R27="Ý tưởng",$R27="Đang viết",$R27="")),"Trễ hạn nháp "&amp;('Tổng quan'!$H$11-$Q27)&amp;" ngày",IF($C27='Tổng quan'!$H$11,"Đăng hôm nay",IF($C27-'Tổng quan'!$H$11&lt;='Cài đặt'!$B$102,"Sắp đăng ("&amp;($C27-'Tổng quan'!$H$11)&amp;" ngày)","Còn "&amp;($C27-'Tổng quan'!$H$11)&amp;" ngày"))))))))</f>
        <v>Còn 9 ngày</v>
      </c>
      <c r="T27" s="30"/>
      <c r="U27" s="32">
        <v>1000000.0</v>
      </c>
      <c r="V27" s="32">
        <v>1000000.0</v>
      </c>
      <c r="W27" s="33"/>
      <c r="X27" s="33"/>
      <c r="Y27" s="33"/>
      <c r="Z27" s="33"/>
      <c r="AA27" s="34" t="str">
        <f t="shared" si="3"/>
        <v/>
      </c>
      <c r="AB27" s="34" t="str">
        <f t="shared" si="4"/>
        <v/>
      </c>
      <c r="AC27" s="35" t="str">
        <f t="shared" si="5"/>
        <v/>
      </c>
      <c r="AD27" s="29"/>
    </row>
    <row r="28" ht="31.5" customHeight="1">
      <c r="A28" s="15" t="str">
        <f t="shared" si="1"/>
        <v/>
      </c>
      <c r="B28" s="16"/>
      <c r="C28" s="17"/>
      <c r="D28" s="15" t="str">
        <f t="shared" si="2"/>
        <v/>
      </c>
      <c r="E28" s="15" t="str">
        <f>IF(OR($C28="",'Tổng quan'!$B$6="",'Tổng quan'!$B$7=""),"",IF(OR($C28&lt;'Tổng quan'!$B$6,$C28&gt;'Tổng quan'!$B$7),"Ngoài kỳ","Tuần "&amp;(INT(($C28-'Tổng quan'!$B$6)/7)+1)))</f>
        <v/>
      </c>
      <c r="F28" s="19"/>
      <c r="G28" s="19"/>
      <c r="H28" s="16"/>
      <c r="I28" s="16"/>
      <c r="J28" s="19"/>
      <c r="K28" s="16"/>
      <c r="L28" s="16"/>
      <c r="M28" s="19"/>
      <c r="N28" s="19"/>
      <c r="O28" s="20"/>
      <c r="P28" s="20"/>
      <c r="Q28" s="17"/>
      <c r="R28" s="16"/>
      <c r="S28" s="15" t="str">
        <f>IF($F28="","",IF($R28="Hủy","Đã hủy",IF($R28="Đã đăng",IF($T28="","Đã đăng – thiếu link","Đã đăng"),IF($C28="","Chưa có ngày đăng",IF($C28&lt;'Tổng quan'!$H$11,"Trễ lịch đăng "&amp;('Tổng quan'!$H$11-$C28)&amp;" ngày",IF(AND($Q28&lt;&gt;"",$Q28&lt;'Tổng quan'!$H$11,OR($R28="Ý tưởng",$R28="Đang viết",$R28="")),"Trễ hạn nháp "&amp;('Tổng quan'!$H$11-$Q28)&amp;" ngày",IF($C28='Tổng quan'!$H$11,"Đăng hôm nay",IF($C28-'Tổng quan'!$H$11&lt;='Cài đặt'!$B$102,"Sắp đăng ("&amp;($C28-'Tổng quan'!$H$11)&amp;" ngày)","Còn "&amp;($C28-'Tổng quan'!$H$11)&amp;" ngày"))))))))</f>
        <v/>
      </c>
      <c r="T28" s="20"/>
      <c r="U28" s="22"/>
      <c r="V28" s="22"/>
      <c r="W28" s="23"/>
      <c r="X28" s="23"/>
      <c r="Y28" s="23"/>
      <c r="Z28" s="23"/>
      <c r="AA28" s="24" t="str">
        <f t="shared" si="3"/>
        <v/>
      </c>
      <c r="AB28" s="24" t="str">
        <f t="shared" si="4"/>
        <v/>
      </c>
      <c r="AC28" s="25" t="str">
        <f t="shared" si="5"/>
        <v/>
      </c>
      <c r="AD28" s="19"/>
    </row>
    <row r="29" ht="31.5" customHeight="1">
      <c r="A29" s="26" t="str">
        <f t="shared" si="1"/>
        <v/>
      </c>
      <c r="B29" s="27"/>
      <c r="C29" s="28"/>
      <c r="D29" s="26" t="str">
        <f t="shared" si="2"/>
        <v/>
      </c>
      <c r="E29" s="26" t="str">
        <f>IF(OR($C29="",'Tổng quan'!$B$6="",'Tổng quan'!$B$7=""),"",IF(OR($C29&lt;'Tổng quan'!$B$6,$C29&gt;'Tổng quan'!$B$7),"Ngoài kỳ","Tuần "&amp;(INT(($C29-'Tổng quan'!$B$6)/7)+1)))</f>
        <v/>
      </c>
      <c r="F29" s="29"/>
      <c r="G29" s="29"/>
      <c r="H29" s="27"/>
      <c r="I29" s="27"/>
      <c r="J29" s="29"/>
      <c r="K29" s="27"/>
      <c r="L29" s="27"/>
      <c r="M29" s="29"/>
      <c r="N29" s="29"/>
      <c r="O29" s="30"/>
      <c r="P29" s="30"/>
      <c r="Q29" s="28"/>
      <c r="R29" s="27"/>
      <c r="S29" s="26" t="str">
        <f>IF($F29="","",IF($R29="Hủy","Đã hủy",IF($R29="Đã đăng",IF($T29="","Đã đăng – thiếu link","Đã đăng"),IF($C29="","Chưa có ngày đăng",IF($C29&lt;'Tổng quan'!$H$11,"Trễ lịch đăng "&amp;('Tổng quan'!$H$11-$C29)&amp;" ngày",IF(AND($Q29&lt;&gt;"",$Q29&lt;'Tổng quan'!$H$11,OR($R29="Ý tưởng",$R29="Đang viết",$R29="")),"Trễ hạn nháp "&amp;('Tổng quan'!$H$11-$Q29)&amp;" ngày",IF($C29='Tổng quan'!$H$11,"Đăng hôm nay",IF($C29-'Tổng quan'!$H$11&lt;='Cài đặt'!$B$102,"Sắp đăng ("&amp;($C29-'Tổng quan'!$H$11)&amp;" ngày)","Còn "&amp;($C29-'Tổng quan'!$H$11)&amp;" ngày"))))))))</f>
        <v/>
      </c>
      <c r="T29" s="30"/>
      <c r="U29" s="32"/>
      <c r="V29" s="32"/>
      <c r="W29" s="33"/>
      <c r="X29" s="33"/>
      <c r="Y29" s="33"/>
      <c r="Z29" s="33"/>
      <c r="AA29" s="34" t="str">
        <f t="shared" si="3"/>
        <v/>
      </c>
      <c r="AB29" s="34" t="str">
        <f t="shared" si="4"/>
        <v/>
      </c>
      <c r="AC29" s="35" t="str">
        <f t="shared" si="5"/>
        <v/>
      </c>
      <c r="AD29" s="29"/>
    </row>
    <row r="30" ht="31.5" customHeight="1">
      <c r="A30" s="15" t="str">
        <f t="shared" si="1"/>
        <v/>
      </c>
      <c r="B30" s="16"/>
      <c r="C30" s="17"/>
      <c r="D30" s="15" t="str">
        <f t="shared" si="2"/>
        <v/>
      </c>
      <c r="E30" s="15" t="str">
        <f>IF(OR($C30="",'Tổng quan'!$B$6="",'Tổng quan'!$B$7=""),"",IF(OR($C30&lt;'Tổng quan'!$B$6,$C30&gt;'Tổng quan'!$B$7),"Ngoài kỳ","Tuần "&amp;(INT(($C30-'Tổng quan'!$B$6)/7)+1)))</f>
        <v/>
      </c>
      <c r="F30" s="19"/>
      <c r="G30" s="19"/>
      <c r="H30" s="16"/>
      <c r="I30" s="16"/>
      <c r="J30" s="19"/>
      <c r="K30" s="16"/>
      <c r="L30" s="16"/>
      <c r="M30" s="19"/>
      <c r="N30" s="19"/>
      <c r="O30" s="20"/>
      <c r="P30" s="20"/>
      <c r="Q30" s="17"/>
      <c r="R30" s="16"/>
      <c r="S30" s="15" t="str">
        <f>IF($F30="","",IF($R30="Hủy","Đã hủy",IF($R30="Đã đăng",IF($T30="","Đã đăng – thiếu link","Đã đăng"),IF($C30="","Chưa có ngày đăng",IF($C30&lt;'Tổng quan'!$H$11,"Trễ lịch đăng "&amp;('Tổng quan'!$H$11-$C30)&amp;" ngày",IF(AND($Q30&lt;&gt;"",$Q30&lt;'Tổng quan'!$H$11,OR($R30="Ý tưởng",$R30="Đang viết",$R30="")),"Trễ hạn nháp "&amp;('Tổng quan'!$H$11-$Q30)&amp;" ngày",IF($C30='Tổng quan'!$H$11,"Đăng hôm nay",IF($C30-'Tổng quan'!$H$11&lt;='Cài đặt'!$B$102,"Sắp đăng ("&amp;($C30-'Tổng quan'!$H$11)&amp;" ngày)","Còn "&amp;($C30-'Tổng quan'!$H$11)&amp;" ngày"))))))))</f>
        <v/>
      </c>
      <c r="T30" s="20"/>
      <c r="U30" s="22"/>
      <c r="V30" s="22"/>
      <c r="W30" s="23"/>
      <c r="X30" s="23"/>
      <c r="Y30" s="23"/>
      <c r="Z30" s="23"/>
      <c r="AA30" s="24" t="str">
        <f t="shared" si="3"/>
        <v/>
      </c>
      <c r="AB30" s="24" t="str">
        <f t="shared" si="4"/>
        <v/>
      </c>
      <c r="AC30" s="25" t="str">
        <f t="shared" si="5"/>
        <v/>
      </c>
      <c r="AD30" s="19"/>
    </row>
    <row r="31" ht="31.5" customHeight="1">
      <c r="A31" s="26" t="str">
        <f t="shared" si="1"/>
        <v/>
      </c>
      <c r="B31" s="27"/>
      <c r="C31" s="28"/>
      <c r="D31" s="26" t="str">
        <f t="shared" si="2"/>
        <v/>
      </c>
      <c r="E31" s="26" t="str">
        <f>IF(OR($C31="",'Tổng quan'!$B$6="",'Tổng quan'!$B$7=""),"",IF(OR($C31&lt;'Tổng quan'!$B$6,$C31&gt;'Tổng quan'!$B$7),"Ngoài kỳ","Tuần "&amp;(INT(($C31-'Tổng quan'!$B$6)/7)+1)))</f>
        <v/>
      </c>
      <c r="F31" s="29"/>
      <c r="G31" s="29"/>
      <c r="H31" s="27"/>
      <c r="I31" s="27"/>
      <c r="J31" s="29"/>
      <c r="K31" s="27"/>
      <c r="L31" s="27"/>
      <c r="M31" s="29"/>
      <c r="N31" s="29"/>
      <c r="O31" s="30"/>
      <c r="P31" s="30"/>
      <c r="Q31" s="28"/>
      <c r="R31" s="27"/>
      <c r="S31" s="26" t="str">
        <f>IF($F31="","",IF($R31="Hủy","Đã hủy",IF($R31="Đã đăng",IF($T31="","Đã đăng – thiếu link","Đã đăng"),IF($C31="","Chưa có ngày đăng",IF($C31&lt;'Tổng quan'!$H$11,"Trễ lịch đăng "&amp;('Tổng quan'!$H$11-$C31)&amp;" ngày",IF(AND($Q31&lt;&gt;"",$Q31&lt;'Tổng quan'!$H$11,OR($R31="Ý tưởng",$R31="Đang viết",$R31="")),"Trễ hạn nháp "&amp;('Tổng quan'!$H$11-$Q31)&amp;" ngày",IF($C31='Tổng quan'!$H$11,"Đăng hôm nay",IF($C31-'Tổng quan'!$H$11&lt;='Cài đặt'!$B$102,"Sắp đăng ("&amp;($C31-'Tổng quan'!$H$11)&amp;" ngày)","Còn "&amp;($C31-'Tổng quan'!$H$11)&amp;" ngày"))))))))</f>
        <v/>
      </c>
      <c r="T31" s="30"/>
      <c r="U31" s="32"/>
      <c r="V31" s="32"/>
      <c r="W31" s="33"/>
      <c r="X31" s="33"/>
      <c r="Y31" s="33"/>
      <c r="Z31" s="33"/>
      <c r="AA31" s="34" t="str">
        <f t="shared" si="3"/>
        <v/>
      </c>
      <c r="AB31" s="34" t="str">
        <f t="shared" si="4"/>
        <v/>
      </c>
      <c r="AC31" s="35" t="str">
        <f t="shared" si="5"/>
        <v/>
      </c>
      <c r="AD31" s="29"/>
    </row>
    <row r="32" ht="31.5" customHeight="1">
      <c r="A32" s="15" t="str">
        <f t="shared" si="1"/>
        <v/>
      </c>
      <c r="B32" s="16"/>
      <c r="C32" s="17"/>
      <c r="D32" s="15" t="str">
        <f t="shared" si="2"/>
        <v/>
      </c>
      <c r="E32" s="15" t="str">
        <f>IF(OR($C32="",'Tổng quan'!$B$6="",'Tổng quan'!$B$7=""),"",IF(OR($C32&lt;'Tổng quan'!$B$6,$C32&gt;'Tổng quan'!$B$7),"Ngoài kỳ","Tuần "&amp;(INT(($C32-'Tổng quan'!$B$6)/7)+1)))</f>
        <v/>
      </c>
      <c r="F32" s="19"/>
      <c r="G32" s="19"/>
      <c r="H32" s="16"/>
      <c r="I32" s="16"/>
      <c r="J32" s="19"/>
      <c r="K32" s="16"/>
      <c r="L32" s="16"/>
      <c r="M32" s="19"/>
      <c r="N32" s="19"/>
      <c r="O32" s="20"/>
      <c r="P32" s="20"/>
      <c r="Q32" s="17"/>
      <c r="R32" s="16"/>
      <c r="S32" s="15" t="str">
        <f>IF($F32="","",IF($R32="Hủy","Đã hủy",IF($R32="Đã đăng",IF($T32="","Đã đăng – thiếu link","Đã đăng"),IF($C32="","Chưa có ngày đăng",IF($C32&lt;'Tổng quan'!$H$11,"Trễ lịch đăng "&amp;('Tổng quan'!$H$11-$C32)&amp;" ngày",IF(AND($Q32&lt;&gt;"",$Q32&lt;'Tổng quan'!$H$11,OR($R32="Ý tưởng",$R32="Đang viết",$R32="")),"Trễ hạn nháp "&amp;('Tổng quan'!$H$11-$Q32)&amp;" ngày",IF($C32='Tổng quan'!$H$11,"Đăng hôm nay",IF($C32-'Tổng quan'!$H$11&lt;='Cài đặt'!$B$102,"Sắp đăng ("&amp;($C32-'Tổng quan'!$H$11)&amp;" ngày)","Còn "&amp;($C32-'Tổng quan'!$H$11)&amp;" ngày"))))))))</f>
        <v/>
      </c>
      <c r="T32" s="20"/>
      <c r="U32" s="22"/>
      <c r="V32" s="22"/>
      <c r="W32" s="23"/>
      <c r="X32" s="23"/>
      <c r="Y32" s="23"/>
      <c r="Z32" s="23"/>
      <c r="AA32" s="24" t="str">
        <f t="shared" si="3"/>
        <v/>
      </c>
      <c r="AB32" s="24" t="str">
        <f t="shared" si="4"/>
        <v/>
      </c>
      <c r="AC32" s="25" t="str">
        <f t="shared" si="5"/>
        <v/>
      </c>
      <c r="AD32" s="19"/>
    </row>
    <row r="33" ht="31.5" customHeight="1">
      <c r="A33" s="26" t="str">
        <f t="shared" si="1"/>
        <v/>
      </c>
      <c r="B33" s="27"/>
      <c r="C33" s="28"/>
      <c r="D33" s="26" t="str">
        <f t="shared" si="2"/>
        <v/>
      </c>
      <c r="E33" s="26" t="str">
        <f>IF(OR($C33="",'Tổng quan'!$B$6="",'Tổng quan'!$B$7=""),"",IF(OR($C33&lt;'Tổng quan'!$B$6,$C33&gt;'Tổng quan'!$B$7),"Ngoài kỳ","Tuần "&amp;(INT(($C33-'Tổng quan'!$B$6)/7)+1)))</f>
        <v/>
      </c>
      <c r="F33" s="29"/>
      <c r="G33" s="29"/>
      <c r="H33" s="27"/>
      <c r="I33" s="27"/>
      <c r="J33" s="29"/>
      <c r="K33" s="27"/>
      <c r="L33" s="27"/>
      <c r="M33" s="29"/>
      <c r="N33" s="29"/>
      <c r="O33" s="30"/>
      <c r="P33" s="30"/>
      <c r="Q33" s="28"/>
      <c r="R33" s="27"/>
      <c r="S33" s="26" t="str">
        <f>IF($F33="","",IF($R33="Hủy","Đã hủy",IF($R33="Đã đăng",IF($T33="","Đã đăng – thiếu link","Đã đăng"),IF($C33="","Chưa có ngày đăng",IF($C33&lt;'Tổng quan'!$H$11,"Trễ lịch đăng "&amp;('Tổng quan'!$H$11-$C33)&amp;" ngày",IF(AND($Q33&lt;&gt;"",$Q33&lt;'Tổng quan'!$H$11,OR($R33="Ý tưởng",$R33="Đang viết",$R33="")),"Trễ hạn nháp "&amp;('Tổng quan'!$H$11-$Q33)&amp;" ngày",IF($C33='Tổng quan'!$H$11,"Đăng hôm nay",IF($C33-'Tổng quan'!$H$11&lt;='Cài đặt'!$B$102,"Sắp đăng ("&amp;($C33-'Tổng quan'!$H$11)&amp;" ngày)","Còn "&amp;($C33-'Tổng quan'!$H$11)&amp;" ngày"))))))))</f>
        <v/>
      </c>
      <c r="T33" s="30"/>
      <c r="U33" s="32"/>
      <c r="V33" s="32"/>
      <c r="W33" s="33"/>
      <c r="X33" s="33"/>
      <c r="Y33" s="33"/>
      <c r="Z33" s="33"/>
      <c r="AA33" s="34" t="str">
        <f t="shared" si="3"/>
        <v/>
      </c>
      <c r="AB33" s="34" t="str">
        <f t="shared" si="4"/>
        <v/>
      </c>
      <c r="AC33" s="35" t="str">
        <f t="shared" si="5"/>
        <v/>
      </c>
      <c r="AD33" s="29"/>
    </row>
    <row r="34" ht="31.5" customHeight="1">
      <c r="A34" s="15" t="str">
        <f t="shared" si="1"/>
        <v/>
      </c>
      <c r="B34" s="16"/>
      <c r="C34" s="17"/>
      <c r="D34" s="15" t="str">
        <f t="shared" si="2"/>
        <v/>
      </c>
      <c r="E34" s="15" t="str">
        <f>IF(OR($C34="",'Tổng quan'!$B$6="",'Tổng quan'!$B$7=""),"",IF(OR($C34&lt;'Tổng quan'!$B$6,$C34&gt;'Tổng quan'!$B$7),"Ngoài kỳ","Tuần "&amp;(INT(($C34-'Tổng quan'!$B$6)/7)+1)))</f>
        <v/>
      </c>
      <c r="F34" s="19"/>
      <c r="G34" s="19"/>
      <c r="H34" s="16"/>
      <c r="I34" s="16"/>
      <c r="J34" s="19"/>
      <c r="K34" s="16"/>
      <c r="L34" s="16"/>
      <c r="M34" s="19"/>
      <c r="N34" s="19"/>
      <c r="O34" s="20"/>
      <c r="P34" s="20"/>
      <c r="Q34" s="17"/>
      <c r="R34" s="16"/>
      <c r="S34" s="15" t="str">
        <f>IF($F34="","",IF($R34="Hủy","Đã hủy",IF($R34="Đã đăng",IF($T34="","Đã đăng – thiếu link","Đã đăng"),IF($C34="","Chưa có ngày đăng",IF($C34&lt;'Tổng quan'!$H$11,"Trễ lịch đăng "&amp;('Tổng quan'!$H$11-$C34)&amp;" ngày",IF(AND($Q34&lt;&gt;"",$Q34&lt;'Tổng quan'!$H$11,OR($R34="Ý tưởng",$R34="Đang viết",$R34="")),"Trễ hạn nháp "&amp;('Tổng quan'!$H$11-$Q34)&amp;" ngày",IF($C34='Tổng quan'!$H$11,"Đăng hôm nay",IF($C34-'Tổng quan'!$H$11&lt;='Cài đặt'!$B$102,"Sắp đăng ("&amp;($C34-'Tổng quan'!$H$11)&amp;" ngày)","Còn "&amp;($C34-'Tổng quan'!$H$11)&amp;" ngày"))))))))</f>
        <v/>
      </c>
      <c r="T34" s="20"/>
      <c r="U34" s="22"/>
      <c r="V34" s="22"/>
      <c r="W34" s="23"/>
      <c r="X34" s="23"/>
      <c r="Y34" s="23"/>
      <c r="Z34" s="23"/>
      <c r="AA34" s="24" t="str">
        <f t="shared" si="3"/>
        <v/>
      </c>
      <c r="AB34" s="24" t="str">
        <f t="shared" si="4"/>
        <v/>
      </c>
      <c r="AC34" s="25" t="str">
        <f t="shared" si="5"/>
        <v/>
      </c>
      <c r="AD34" s="19"/>
    </row>
    <row r="35" ht="31.5" customHeight="1">
      <c r="A35" s="26" t="str">
        <f t="shared" si="1"/>
        <v/>
      </c>
      <c r="B35" s="27"/>
      <c r="C35" s="28"/>
      <c r="D35" s="26" t="str">
        <f t="shared" si="2"/>
        <v/>
      </c>
      <c r="E35" s="26" t="str">
        <f>IF(OR($C35="",'Tổng quan'!$B$6="",'Tổng quan'!$B$7=""),"",IF(OR($C35&lt;'Tổng quan'!$B$6,$C35&gt;'Tổng quan'!$B$7),"Ngoài kỳ","Tuần "&amp;(INT(($C35-'Tổng quan'!$B$6)/7)+1)))</f>
        <v/>
      </c>
      <c r="F35" s="29"/>
      <c r="G35" s="29"/>
      <c r="H35" s="27"/>
      <c r="I35" s="27"/>
      <c r="J35" s="29"/>
      <c r="K35" s="27"/>
      <c r="L35" s="27"/>
      <c r="M35" s="29"/>
      <c r="N35" s="29"/>
      <c r="O35" s="30"/>
      <c r="P35" s="30"/>
      <c r="Q35" s="28"/>
      <c r="R35" s="27"/>
      <c r="S35" s="26" t="str">
        <f>IF($F35="","",IF($R35="Hủy","Đã hủy",IF($R35="Đã đăng",IF($T35="","Đã đăng – thiếu link","Đã đăng"),IF($C35="","Chưa có ngày đăng",IF($C35&lt;'Tổng quan'!$H$11,"Trễ lịch đăng "&amp;('Tổng quan'!$H$11-$C35)&amp;" ngày",IF(AND($Q35&lt;&gt;"",$Q35&lt;'Tổng quan'!$H$11,OR($R35="Ý tưởng",$R35="Đang viết",$R35="")),"Trễ hạn nháp "&amp;('Tổng quan'!$H$11-$Q35)&amp;" ngày",IF($C35='Tổng quan'!$H$11,"Đăng hôm nay",IF($C35-'Tổng quan'!$H$11&lt;='Cài đặt'!$B$102,"Sắp đăng ("&amp;($C35-'Tổng quan'!$H$11)&amp;" ngày)","Còn "&amp;($C35-'Tổng quan'!$H$11)&amp;" ngày"))))))))</f>
        <v/>
      </c>
      <c r="T35" s="30"/>
      <c r="U35" s="32"/>
      <c r="V35" s="32"/>
      <c r="W35" s="33"/>
      <c r="X35" s="33"/>
      <c r="Y35" s="33"/>
      <c r="Z35" s="33"/>
      <c r="AA35" s="34" t="str">
        <f t="shared" si="3"/>
        <v/>
      </c>
      <c r="AB35" s="34" t="str">
        <f t="shared" si="4"/>
        <v/>
      </c>
      <c r="AC35" s="35" t="str">
        <f t="shared" si="5"/>
        <v/>
      </c>
      <c r="AD35" s="29"/>
    </row>
    <row r="36" ht="31.5" customHeight="1">
      <c r="A36" s="15" t="str">
        <f t="shared" si="1"/>
        <v/>
      </c>
      <c r="B36" s="16"/>
      <c r="C36" s="17"/>
      <c r="D36" s="15" t="str">
        <f t="shared" si="2"/>
        <v/>
      </c>
      <c r="E36" s="15" t="str">
        <f>IF(OR($C36="",'Tổng quan'!$B$6="",'Tổng quan'!$B$7=""),"",IF(OR($C36&lt;'Tổng quan'!$B$6,$C36&gt;'Tổng quan'!$B$7),"Ngoài kỳ","Tuần "&amp;(INT(($C36-'Tổng quan'!$B$6)/7)+1)))</f>
        <v/>
      </c>
      <c r="F36" s="19"/>
      <c r="G36" s="19"/>
      <c r="H36" s="16"/>
      <c r="I36" s="16"/>
      <c r="J36" s="19"/>
      <c r="K36" s="16"/>
      <c r="L36" s="16"/>
      <c r="M36" s="19"/>
      <c r="N36" s="19"/>
      <c r="O36" s="20"/>
      <c r="P36" s="20"/>
      <c r="Q36" s="17"/>
      <c r="R36" s="16"/>
      <c r="S36" s="15" t="str">
        <f>IF($F36="","",IF($R36="Hủy","Đã hủy",IF($R36="Đã đăng",IF($T36="","Đã đăng – thiếu link","Đã đăng"),IF($C36="","Chưa có ngày đăng",IF($C36&lt;'Tổng quan'!$H$11,"Trễ lịch đăng "&amp;('Tổng quan'!$H$11-$C36)&amp;" ngày",IF(AND($Q36&lt;&gt;"",$Q36&lt;'Tổng quan'!$H$11,OR($R36="Ý tưởng",$R36="Đang viết",$R36="")),"Trễ hạn nháp "&amp;('Tổng quan'!$H$11-$Q36)&amp;" ngày",IF($C36='Tổng quan'!$H$11,"Đăng hôm nay",IF($C36-'Tổng quan'!$H$11&lt;='Cài đặt'!$B$102,"Sắp đăng ("&amp;($C36-'Tổng quan'!$H$11)&amp;" ngày)","Còn "&amp;($C36-'Tổng quan'!$H$11)&amp;" ngày"))))))))</f>
        <v/>
      </c>
      <c r="T36" s="20"/>
      <c r="U36" s="22"/>
      <c r="V36" s="22"/>
      <c r="W36" s="23"/>
      <c r="X36" s="23"/>
      <c r="Y36" s="23"/>
      <c r="Z36" s="23"/>
      <c r="AA36" s="24" t="str">
        <f t="shared" si="3"/>
        <v/>
      </c>
      <c r="AB36" s="24" t="str">
        <f t="shared" si="4"/>
        <v/>
      </c>
      <c r="AC36" s="25" t="str">
        <f t="shared" si="5"/>
        <v/>
      </c>
      <c r="AD36" s="19"/>
    </row>
    <row r="37" ht="31.5" customHeight="1">
      <c r="A37" s="26" t="str">
        <f t="shared" si="1"/>
        <v/>
      </c>
      <c r="B37" s="27"/>
      <c r="C37" s="28"/>
      <c r="D37" s="26" t="str">
        <f t="shared" si="2"/>
        <v/>
      </c>
      <c r="E37" s="26" t="str">
        <f>IF(OR($C37="",'Tổng quan'!$B$6="",'Tổng quan'!$B$7=""),"",IF(OR($C37&lt;'Tổng quan'!$B$6,$C37&gt;'Tổng quan'!$B$7),"Ngoài kỳ","Tuần "&amp;(INT(($C37-'Tổng quan'!$B$6)/7)+1)))</f>
        <v/>
      </c>
      <c r="F37" s="29"/>
      <c r="G37" s="29"/>
      <c r="H37" s="27"/>
      <c r="I37" s="27"/>
      <c r="J37" s="29"/>
      <c r="K37" s="27"/>
      <c r="L37" s="27"/>
      <c r="M37" s="29"/>
      <c r="N37" s="29"/>
      <c r="O37" s="30"/>
      <c r="P37" s="30"/>
      <c r="Q37" s="28"/>
      <c r="R37" s="27"/>
      <c r="S37" s="26" t="str">
        <f>IF($F37="","",IF($R37="Hủy","Đã hủy",IF($R37="Đã đăng",IF($T37="","Đã đăng – thiếu link","Đã đăng"),IF($C37="","Chưa có ngày đăng",IF($C37&lt;'Tổng quan'!$H$11,"Trễ lịch đăng "&amp;('Tổng quan'!$H$11-$C37)&amp;" ngày",IF(AND($Q37&lt;&gt;"",$Q37&lt;'Tổng quan'!$H$11,OR($R37="Ý tưởng",$R37="Đang viết",$R37="")),"Trễ hạn nháp "&amp;('Tổng quan'!$H$11-$Q37)&amp;" ngày",IF($C37='Tổng quan'!$H$11,"Đăng hôm nay",IF($C37-'Tổng quan'!$H$11&lt;='Cài đặt'!$B$102,"Sắp đăng ("&amp;($C37-'Tổng quan'!$H$11)&amp;" ngày)","Còn "&amp;($C37-'Tổng quan'!$H$11)&amp;" ngày"))))))))</f>
        <v/>
      </c>
      <c r="T37" s="30"/>
      <c r="U37" s="32"/>
      <c r="V37" s="32"/>
      <c r="W37" s="33"/>
      <c r="X37" s="33"/>
      <c r="Y37" s="33"/>
      <c r="Z37" s="33"/>
      <c r="AA37" s="34" t="str">
        <f t="shared" si="3"/>
        <v/>
      </c>
      <c r="AB37" s="34" t="str">
        <f t="shared" si="4"/>
        <v/>
      </c>
      <c r="AC37" s="35" t="str">
        <f t="shared" si="5"/>
        <v/>
      </c>
      <c r="AD37" s="29"/>
    </row>
    <row r="38" ht="31.5" customHeight="1">
      <c r="A38" s="15" t="str">
        <f t="shared" si="1"/>
        <v/>
      </c>
      <c r="B38" s="16"/>
      <c r="C38" s="17"/>
      <c r="D38" s="15" t="str">
        <f t="shared" si="2"/>
        <v/>
      </c>
      <c r="E38" s="15" t="str">
        <f>IF(OR($C38="",'Tổng quan'!$B$6="",'Tổng quan'!$B$7=""),"",IF(OR($C38&lt;'Tổng quan'!$B$6,$C38&gt;'Tổng quan'!$B$7),"Ngoài kỳ","Tuần "&amp;(INT(($C38-'Tổng quan'!$B$6)/7)+1)))</f>
        <v/>
      </c>
      <c r="F38" s="19"/>
      <c r="G38" s="19"/>
      <c r="H38" s="16"/>
      <c r="I38" s="16"/>
      <c r="J38" s="19"/>
      <c r="K38" s="16"/>
      <c r="L38" s="16"/>
      <c r="M38" s="19"/>
      <c r="N38" s="19"/>
      <c r="O38" s="20"/>
      <c r="P38" s="20"/>
      <c r="Q38" s="17"/>
      <c r="R38" s="16"/>
      <c r="S38" s="15" t="str">
        <f>IF($F38="","",IF($R38="Hủy","Đã hủy",IF($R38="Đã đăng",IF($T38="","Đã đăng – thiếu link","Đã đăng"),IF($C38="","Chưa có ngày đăng",IF($C38&lt;'Tổng quan'!$H$11,"Trễ lịch đăng "&amp;('Tổng quan'!$H$11-$C38)&amp;" ngày",IF(AND($Q38&lt;&gt;"",$Q38&lt;'Tổng quan'!$H$11,OR($R38="Ý tưởng",$R38="Đang viết",$R38="")),"Trễ hạn nháp "&amp;('Tổng quan'!$H$11-$Q38)&amp;" ngày",IF($C38='Tổng quan'!$H$11,"Đăng hôm nay",IF($C38-'Tổng quan'!$H$11&lt;='Cài đặt'!$B$102,"Sắp đăng ("&amp;($C38-'Tổng quan'!$H$11)&amp;" ngày)","Còn "&amp;($C38-'Tổng quan'!$H$11)&amp;" ngày"))))))))</f>
        <v/>
      </c>
      <c r="T38" s="20"/>
      <c r="U38" s="22"/>
      <c r="V38" s="22"/>
      <c r="W38" s="23"/>
      <c r="X38" s="23"/>
      <c r="Y38" s="23"/>
      <c r="Z38" s="23"/>
      <c r="AA38" s="24" t="str">
        <f t="shared" si="3"/>
        <v/>
      </c>
      <c r="AB38" s="24" t="str">
        <f t="shared" si="4"/>
        <v/>
      </c>
      <c r="AC38" s="25" t="str">
        <f t="shared" si="5"/>
        <v/>
      </c>
      <c r="AD38" s="19"/>
    </row>
    <row r="39" ht="31.5" customHeight="1">
      <c r="A39" s="26" t="str">
        <f t="shared" si="1"/>
        <v/>
      </c>
      <c r="B39" s="27"/>
      <c r="C39" s="28"/>
      <c r="D39" s="26" t="str">
        <f t="shared" si="2"/>
        <v/>
      </c>
      <c r="E39" s="26" t="str">
        <f>IF(OR($C39="",'Tổng quan'!$B$6="",'Tổng quan'!$B$7=""),"",IF(OR($C39&lt;'Tổng quan'!$B$6,$C39&gt;'Tổng quan'!$B$7),"Ngoài kỳ","Tuần "&amp;(INT(($C39-'Tổng quan'!$B$6)/7)+1)))</f>
        <v/>
      </c>
      <c r="F39" s="29"/>
      <c r="G39" s="29"/>
      <c r="H39" s="27"/>
      <c r="I39" s="27"/>
      <c r="J39" s="29"/>
      <c r="K39" s="27"/>
      <c r="L39" s="27"/>
      <c r="M39" s="29"/>
      <c r="N39" s="29"/>
      <c r="O39" s="30"/>
      <c r="P39" s="30"/>
      <c r="Q39" s="28"/>
      <c r="R39" s="27"/>
      <c r="S39" s="26" t="str">
        <f>IF($F39="","",IF($R39="Hủy","Đã hủy",IF($R39="Đã đăng",IF($T39="","Đã đăng – thiếu link","Đã đăng"),IF($C39="","Chưa có ngày đăng",IF($C39&lt;'Tổng quan'!$H$11,"Trễ lịch đăng "&amp;('Tổng quan'!$H$11-$C39)&amp;" ngày",IF(AND($Q39&lt;&gt;"",$Q39&lt;'Tổng quan'!$H$11,OR($R39="Ý tưởng",$R39="Đang viết",$R39="")),"Trễ hạn nháp "&amp;('Tổng quan'!$H$11-$Q39)&amp;" ngày",IF($C39='Tổng quan'!$H$11,"Đăng hôm nay",IF($C39-'Tổng quan'!$H$11&lt;='Cài đặt'!$B$102,"Sắp đăng ("&amp;($C39-'Tổng quan'!$H$11)&amp;" ngày)","Còn "&amp;($C39-'Tổng quan'!$H$11)&amp;" ngày"))))))))</f>
        <v/>
      </c>
      <c r="T39" s="30"/>
      <c r="U39" s="32"/>
      <c r="V39" s="32"/>
      <c r="W39" s="33"/>
      <c r="X39" s="33"/>
      <c r="Y39" s="33"/>
      <c r="Z39" s="33"/>
      <c r="AA39" s="34" t="str">
        <f t="shared" si="3"/>
        <v/>
      </c>
      <c r="AB39" s="34" t="str">
        <f t="shared" si="4"/>
        <v/>
      </c>
      <c r="AC39" s="35" t="str">
        <f t="shared" si="5"/>
        <v/>
      </c>
      <c r="AD39" s="29"/>
    </row>
    <row r="40" ht="31.5" customHeight="1">
      <c r="A40" s="15" t="str">
        <f t="shared" si="1"/>
        <v/>
      </c>
      <c r="B40" s="16"/>
      <c r="C40" s="17"/>
      <c r="D40" s="15" t="str">
        <f t="shared" si="2"/>
        <v/>
      </c>
      <c r="E40" s="15" t="str">
        <f>IF(OR($C40="",'Tổng quan'!$B$6="",'Tổng quan'!$B$7=""),"",IF(OR($C40&lt;'Tổng quan'!$B$6,$C40&gt;'Tổng quan'!$B$7),"Ngoài kỳ","Tuần "&amp;(INT(($C40-'Tổng quan'!$B$6)/7)+1)))</f>
        <v/>
      </c>
      <c r="F40" s="19"/>
      <c r="G40" s="19"/>
      <c r="H40" s="16"/>
      <c r="I40" s="16"/>
      <c r="J40" s="19"/>
      <c r="K40" s="16"/>
      <c r="L40" s="16"/>
      <c r="M40" s="19"/>
      <c r="N40" s="19"/>
      <c r="O40" s="20"/>
      <c r="P40" s="20"/>
      <c r="Q40" s="17"/>
      <c r="R40" s="16"/>
      <c r="S40" s="15" t="str">
        <f>IF($F40="","",IF($R40="Hủy","Đã hủy",IF($R40="Đã đăng",IF($T40="","Đã đăng – thiếu link","Đã đăng"),IF($C40="","Chưa có ngày đăng",IF($C40&lt;'Tổng quan'!$H$11,"Trễ lịch đăng "&amp;('Tổng quan'!$H$11-$C40)&amp;" ngày",IF(AND($Q40&lt;&gt;"",$Q40&lt;'Tổng quan'!$H$11,OR($R40="Ý tưởng",$R40="Đang viết",$R40="")),"Trễ hạn nháp "&amp;('Tổng quan'!$H$11-$Q40)&amp;" ngày",IF($C40='Tổng quan'!$H$11,"Đăng hôm nay",IF($C40-'Tổng quan'!$H$11&lt;='Cài đặt'!$B$102,"Sắp đăng ("&amp;($C40-'Tổng quan'!$H$11)&amp;" ngày)","Còn "&amp;($C40-'Tổng quan'!$H$11)&amp;" ngày"))))))))</f>
        <v/>
      </c>
      <c r="T40" s="20"/>
      <c r="U40" s="22"/>
      <c r="V40" s="22"/>
      <c r="W40" s="23"/>
      <c r="X40" s="23"/>
      <c r="Y40" s="23"/>
      <c r="Z40" s="23"/>
      <c r="AA40" s="24" t="str">
        <f t="shared" si="3"/>
        <v/>
      </c>
      <c r="AB40" s="24" t="str">
        <f t="shared" si="4"/>
        <v/>
      </c>
      <c r="AC40" s="25" t="str">
        <f t="shared" si="5"/>
        <v/>
      </c>
      <c r="AD40" s="19"/>
    </row>
    <row r="41" ht="31.5" customHeight="1">
      <c r="A41" s="26" t="str">
        <f t="shared" si="1"/>
        <v/>
      </c>
      <c r="B41" s="27"/>
      <c r="C41" s="28"/>
      <c r="D41" s="26" t="str">
        <f t="shared" si="2"/>
        <v/>
      </c>
      <c r="E41" s="26" t="str">
        <f>IF(OR($C41="",'Tổng quan'!$B$6="",'Tổng quan'!$B$7=""),"",IF(OR($C41&lt;'Tổng quan'!$B$6,$C41&gt;'Tổng quan'!$B$7),"Ngoài kỳ","Tuần "&amp;(INT(($C41-'Tổng quan'!$B$6)/7)+1)))</f>
        <v/>
      </c>
      <c r="F41" s="29"/>
      <c r="G41" s="29"/>
      <c r="H41" s="27"/>
      <c r="I41" s="27"/>
      <c r="J41" s="29"/>
      <c r="K41" s="27"/>
      <c r="L41" s="27"/>
      <c r="M41" s="29"/>
      <c r="N41" s="29"/>
      <c r="O41" s="30"/>
      <c r="P41" s="30"/>
      <c r="Q41" s="28"/>
      <c r="R41" s="27"/>
      <c r="S41" s="26" t="str">
        <f>IF($F41="","",IF($R41="Hủy","Đã hủy",IF($R41="Đã đăng",IF($T41="","Đã đăng – thiếu link","Đã đăng"),IF($C41="","Chưa có ngày đăng",IF($C41&lt;'Tổng quan'!$H$11,"Trễ lịch đăng "&amp;('Tổng quan'!$H$11-$C41)&amp;" ngày",IF(AND($Q41&lt;&gt;"",$Q41&lt;'Tổng quan'!$H$11,OR($R41="Ý tưởng",$R41="Đang viết",$R41="")),"Trễ hạn nháp "&amp;('Tổng quan'!$H$11-$Q41)&amp;" ngày",IF($C41='Tổng quan'!$H$11,"Đăng hôm nay",IF($C41-'Tổng quan'!$H$11&lt;='Cài đặt'!$B$102,"Sắp đăng ("&amp;($C41-'Tổng quan'!$H$11)&amp;" ngày)","Còn "&amp;($C41-'Tổng quan'!$H$11)&amp;" ngày"))))))))</f>
        <v/>
      </c>
      <c r="T41" s="30"/>
      <c r="U41" s="32"/>
      <c r="V41" s="32"/>
      <c r="W41" s="33"/>
      <c r="X41" s="33"/>
      <c r="Y41" s="33"/>
      <c r="Z41" s="33"/>
      <c r="AA41" s="34" t="str">
        <f t="shared" si="3"/>
        <v/>
      </c>
      <c r="AB41" s="34" t="str">
        <f t="shared" si="4"/>
        <v/>
      </c>
      <c r="AC41" s="35" t="str">
        <f t="shared" si="5"/>
        <v/>
      </c>
      <c r="AD41" s="29"/>
    </row>
    <row r="42" ht="31.5" customHeight="1">
      <c r="A42" s="15" t="str">
        <f t="shared" si="1"/>
        <v/>
      </c>
      <c r="B42" s="16"/>
      <c r="C42" s="17"/>
      <c r="D42" s="15" t="str">
        <f t="shared" si="2"/>
        <v/>
      </c>
      <c r="E42" s="15" t="str">
        <f>IF(OR($C42="",'Tổng quan'!$B$6="",'Tổng quan'!$B$7=""),"",IF(OR($C42&lt;'Tổng quan'!$B$6,$C42&gt;'Tổng quan'!$B$7),"Ngoài kỳ","Tuần "&amp;(INT(($C42-'Tổng quan'!$B$6)/7)+1)))</f>
        <v/>
      </c>
      <c r="F42" s="19"/>
      <c r="G42" s="19"/>
      <c r="H42" s="16"/>
      <c r="I42" s="16"/>
      <c r="J42" s="19"/>
      <c r="K42" s="16"/>
      <c r="L42" s="16"/>
      <c r="M42" s="19"/>
      <c r="N42" s="19"/>
      <c r="O42" s="20"/>
      <c r="P42" s="20"/>
      <c r="Q42" s="17"/>
      <c r="R42" s="16"/>
      <c r="S42" s="15" t="str">
        <f>IF($F42="","",IF($R42="Hủy","Đã hủy",IF($R42="Đã đăng",IF($T42="","Đã đăng – thiếu link","Đã đăng"),IF($C42="","Chưa có ngày đăng",IF($C42&lt;'Tổng quan'!$H$11,"Trễ lịch đăng "&amp;('Tổng quan'!$H$11-$C42)&amp;" ngày",IF(AND($Q42&lt;&gt;"",$Q42&lt;'Tổng quan'!$H$11,OR($R42="Ý tưởng",$R42="Đang viết",$R42="")),"Trễ hạn nháp "&amp;('Tổng quan'!$H$11-$Q42)&amp;" ngày",IF($C42='Tổng quan'!$H$11,"Đăng hôm nay",IF($C42-'Tổng quan'!$H$11&lt;='Cài đặt'!$B$102,"Sắp đăng ("&amp;($C42-'Tổng quan'!$H$11)&amp;" ngày)","Còn "&amp;($C42-'Tổng quan'!$H$11)&amp;" ngày"))))))))</f>
        <v/>
      </c>
      <c r="T42" s="20"/>
      <c r="U42" s="22"/>
      <c r="V42" s="22"/>
      <c r="W42" s="23"/>
      <c r="X42" s="23"/>
      <c r="Y42" s="23"/>
      <c r="Z42" s="23"/>
      <c r="AA42" s="24" t="str">
        <f t="shared" si="3"/>
        <v/>
      </c>
      <c r="AB42" s="24" t="str">
        <f t="shared" si="4"/>
        <v/>
      </c>
      <c r="AC42" s="25" t="str">
        <f t="shared" si="5"/>
        <v/>
      </c>
      <c r="AD42" s="19"/>
    </row>
    <row r="43" ht="31.5" customHeight="1">
      <c r="A43" s="26" t="str">
        <f t="shared" si="1"/>
        <v/>
      </c>
      <c r="B43" s="27"/>
      <c r="C43" s="28"/>
      <c r="D43" s="26" t="str">
        <f t="shared" si="2"/>
        <v/>
      </c>
      <c r="E43" s="26" t="str">
        <f>IF(OR($C43="",'Tổng quan'!$B$6="",'Tổng quan'!$B$7=""),"",IF(OR($C43&lt;'Tổng quan'!$B$6,$C43&gt;'Tổng quan'!$B$7),"Ngoài kỳ","Tuần "&amp;(INT(($C43-'Tổng quan'!$B$6)/7)+1)))</f>
        <v/>
      </c>
      <c r="F43" s="29"/>
      <c r="G43" s="29"/>
      <c r="H43" s="27"/>
      <c r="I43" s="27"/>
      <c r="J43" s="29"/>
      <c r="K43" s="27"/>
      <c r="L43" s="27"/>
      <c r="M43" s="29"/>
      <c r="N43" s="29"/>
      <c r="O43" s="30"/>
      <c r="P43" s="30"/>
      <c r="Q43" s="28"/>
      <c r="R43" s="27"/>
      <c r="S43" s="26" t="str">
        <f>IF($F43="","",IF($R43="Hủy","Đã hủy",IF($R43="Đã đăng",IF($T43="","Đã đăng – thiếu link","Đã đăng"),IF($C43="","Chưa có ngày đăng",IF($C43&lt;'Tổng quan'!$H$11,"Trễ lịch đăng "&amp;('Tổng quan'!$H$11-$C43)&amp;" ngày",IF(AND($Q43&lt;&gt;"",$Q43&lt;'Tổng quan'!$H$11,OR($R43="Ý tưởng",$R43="Đang viết",$R43="")),"Trễ hạn nháp "&amp;('Tổng quan'!$H$11-$Q43)&amp;" ngày",IF($C43='Tổng quan'!$H$11,"Đăng hôm nay",IF($C43-'Tổng quan'!$H$11&lt;='Cài đặt'!$B$102,"Sắp đăng ("&amp;($C43-'Tổng quan'!$H$11)&amp;" ngày)","Còn "&amp;($C43-'Tổng quan'!$H$11)&amp;" ngày"))))))))</f>
        <v/>
      </c>
      <c r="T43" s="30"/>
      <c r="U43" s="32"/>
      <c r="V43" s="32"/>
      <c r="W43" s="33"/>
      <c r="X43" s="33"/>
      <c r="Y43" s="33"/>
      <c r="Z43" s="33"/>
      <c r="AA43" s="34" t="str">
        <f t="shared" si="3"/>
        <v/>
      </c>
      <c r="AB43" s="34" t="str">
        <f t="shared" si="4"/>
        <v/>
      </c>
      <c r="AC43" s="35" t="str">
        <f t="shared" si="5"/>
        <v/>
      </c>
      <c r="AD43" s="29"/>
    </row>
    <row r="44" ht="31.5" customHeight="1">
      <c r="A44" s="15" t="str">
        <f t="shared" si="1"/>
        <v/>
      </c>
      <c r="B44" s="16"/>
      <c r="C44" s="17"/>
      <c r="D44" s="15" t="str">
        <f t="shared" si="2"/>
        <v/>
      </c>
      <c r="E44" s="15" t="str">
        <f>IF(OR($C44="",'Tổng quan'!$B$6="",'Tổng quan'!$B$7=""),"",IF(OR($C44&lt;'Tổng quan'!$B$6,$C44&gt;'Tổng quan'!$B$7),"Ngoài kỳ","Tuần "&amp;(INT(($C44-'Tổng quan'!$B$6)/7)+1)))</f>
        <v/>
      </c>
      <c r="F44" s="19"/>
      <c r="G44" s="19"/>
      <c r="H44" s="16"/>
      <c r="I44" s="16"/>
      <c r="J44" s="19"/>
      <c r="K44" s="16"/>
      <c r="L44" s="16"/>
      <c r="M44" s="19"/>
      <c r="N44" s="19"/>
      <c r="O44" s="20"/>
      <c r="P44" s="20"/>
      <c r="Q44" s="17"/>
      <c r="R44" s="16"/>
      <c r="S44" s="15" t="str">
        <f>IF($F44="","",IF($R44="Hủy","Đã hủy",IF($R44="Đã đăng",IF($T44="","Đã đăng – thiếu link","Đã đăng"),IF($C44="","Chưa có ngày đăng",IF($C44&lt;'Tổng quan'!$H$11,"Trễ lịch đăng "&amp;('Tổng quan'!$H$11-$C44)&amp;" ngày",IF(AND($Q44&lt;&gt;"",$Q44&lt;'Tổng quan'!$H$11,OR($R44="Ý tưởng",$R44="Đang viết",$R44="")),"Trễ hạn nháp "&amp;('Tổng quan'!$H$11-$Q44)&amp;" ngày",IF($C44='Tổng quan'!$H$11,"Đăng hôm nay",IF($C44-'Tổng quan'!$H$11&lt;='Cài đặt'!$B$102,"Sắp đăng ("&amp;($C44-'Tổng quan'!$H$11)&amp;" ngày)","Còn "&amp;($C44-'Tổng quan'!$H$11)&amp;" ngày"))))))))</f>
        <v/>
      </c>
      <c r="T44" s="20"/>
      <c r="U44" s="22"/>
      <c r="V44" s="22"/>
      <c r="W44" s="23"/>
      <c r="X44" s="23"/>
      <c r="Y44" s="23"/>
      <c r="Z44" s="23"/>
      <c r="AA44" s="24" t="str">
        <f t="shared" si="3"/>
        <v/>
      </c>
      <c r="AB44" s="24" t="str">
        <f t="shared" si="4"/>
        <v/>
      </c>
      <c r="AC44" s="25" t="str">
        <f t="shared" si="5"/>
        <v/>
      </c>
      <c r="AD44" s="19"/>
    </row>
    <row r="45" ht="31.5" customHeight="1">
      <c r="A45" s="26" t="str">
        <f t="shared" si="1"/>
        <v/>
      </c>
      <c r="B45" s="27"/>
      <c r="C45" s="28"/>
      <c r="D45" s="26" t="str">
        <f t="shared" si="2"/>
        <v/>
      </c>
      <c r="E45" s="26" t="str">
        <f>IF(OR($C45="",'Tổng quan'!$B$6="",'Tổng quan'!$B$7=""),"",IF(OR($C45&lt;'Tổng quan'!$B$6,$C45&gt;'Tổng quan'!$B$7),"Ngoài kỳ","Tuần "&amp;(INT(($C45-'Tổng quan'!$B$6)/7)+1)))</f>
        <v/>
      </c>
      <c r="F45" s="29"/>
      <c r="G45" s="29"/>
      <c r="H45" s="27"/>
      <c r="I45" s="27"/>
      <c r="J45" s="29"/>
      <c r="K45" s="27"/>
      <c r="L45" s="27"/>
      <c r="M45" s="29"/>
      <c r="N45" s="29"/>
      <c r="O45" s="30"/>
      <c r="P45" s="30"/>
      <c r="Q45" s="28"/>
      <c r="R45" s="27"/>
      <c r="S45" s="26" t="str">
        <f>IF($F45="","",IF($R45="Hủy","Đã hủy",IF($R45="Đã đăng",IF($T45="","Đã đăng – thiếu link","Đã đăng"),IF($C45="","Chưa có ngày đăng",IF($C45&lt;'Tổng quan'!$H$11,"Trễ lịch đăng "&amp;('Tổng quan'!$H$11-$C45)&amp;" ngày",IF(AND($Q45&lt;&gt;"",$Q45&lt;'Tổng quan'!$H$11,OR($R45="Ý tưởng",$R45="Đang viết",$R45="")),"Trễ hạn nháp "&amp;('Tổng quan'!$H$11-$Q45)&amp;" ngày",IF($C45='Tổng quan'!$H$11,"Đăng hôm nay",IF($C45-'Tổng quan'!$H$11&lt;='Cài đặt'!$B$102,"Sắp đăng ("&amp;($C45-'Tổng quan'!$H$11)&amp;" ngày)","Còn "&amp;($C45-'Tổng quan'!$H$11)&amp;" ngày"))))))))</f>
        <v/>
      </c>
      <c r="T45" s="30"/>
      <c r="U45" s="32"/>
      <c r="V45" s="32"/>
      <c r="W45" s="33"/>
      <c r="X45" s="33"/>
      <c r="Y45" s="33"/>
      <c r="Z45" s="33"/>
      <c r="AA45" s="34" t="str">
        <f t="shared" si="3"/>
        <v/>
      </c>
      <c r="AB45" s="34" t="str">
        <f t="shared" si="4"/>
        <v/>
      </c>
      <c r="AC45" s="35" t="str">
        <f t="shared" si="5"/>
        <v/>
      </c>
      <c r="AD45" s="29"/>
    </row>
    <row r="46" ht="31.5" customHeight="1">
      <c r="A46" s="15" t="str">
        <f t="shared" si="1"/>
        <v/>
      </c>
      <c r="B46" s="16"/>
      <c r="C46" s="17"/>
      <c r="D46" s="15" t="str">
        <f t="shared" si="2"/>
        <v/>
      </c>
      <c r="E46" s="15" t="str">
        <f>IF(OR($C46="",'Tổng quan'!$B$6="",'Tổng quan'!$B$7=""),"",IF(OR($C46&lt;'Tổng quan'!$B$6,$C46&gt;'Tổng quan'!$B$7),"Ngoài kỳ","Tuần "&amp;(INT(($C46-'Tổng quan'!$B$6)/7)+1)))</f>
        <v/>
      </c>
      <c r="F46" s="19"/>
      <c r="G46" s="19"/>
      <c r="H46" s="16"/>
      <c r="I46" s="16"/>
      <c r="J46" s="19"/>
      <c r="K46" s="16"/>
      <c r="L46" s="16"/>
      <c r="M46" s="19"/>
      <c r="N46" s="19"/>
      <c r="O46" s="20"/>
      <c r="P46" s="20"/>
      <c r="Q46" s="17"/>
      <c r="R46" s="16"/>
      <c r="S46" s="15" t="str">
        <f>IF($F46="","",IF($R46="Hủy","Đã hủy",IF($R46="Đã đăng",IF($T46="","Đã đăng – thiếu link","Đã đăng"),IF($C46="","Chưa có ngày đăng",IF($C46&lt;'Tổng quan'!$H$11,"Trễ lịch đăng "&amp;('Tổng quan'!$H$11-$C46)&amp;" ngày",IF(AND($Q46&lt;&gt;"",$Q46&lt;'Tổng quan'!$H$11,OR($R46="Ý tưởng",$R46="Đang viết",$R46="")),"Trễ hạn nháp "&amp;('Tổng quan'!$H$11-$Q46)&amp;" ngày",IF($C46='Tổng quan'!$H$11,"Đăng hôm nay",IF($C46-'Tổng quan'!$H$11&lt;='Cài đặt'!$B$102,"Sắp đăng ("&amp;($C46-'Tổng quan'!$H$11)&amp;" ngày)","Còn "&amp;($C46-'Tổng quan'!$H$11)&amp;" ngày"))))))))</f>
        <v/>
      </c>
      <c r="T46" s="20"/>
      <c r="U46" s="22"/>
      <c r="V46" s="22"/>
      <c r="W46" s="23"/>
      <c r="X46" s="23"/>
      <c r="Y46" s="23"/>
      <c r="Z46" s="23"/>
      <c r="AA46" s="24" t="str">
        <f t="shared" si="3"/>
        <v/>
      </c>
      <c r="AB46" s="24" t="str">
        <f t="shared" si="4"/>
        <v/>
      </c>
      <c r="AC46" s="25" t="str">
        <f t="shared" si="5"/>
        <v/>
      </c>
      <c r="AD46" s="19"/>
    </row>
    <row r="47" ht="31.5" customHeight="1">
      <c r="A47" s="26" t="str">
        <f t="shared" si="1"/>
        <v/>
      </c>
      <c r="B47" s="27"/>
      <c r="C47" s="28"/>
      <c r="D47" s="26" t="str">
        <f t="shared" si="2"/>
        <v/>
      </c>
      <c r="E47" s="26" t="str">
        <f>IF(OR($C47="",'Tổng quan'!$B$6="",'Tổng quan'!$B$7=""),"",IF(OR($C47&lt;'Tổng quan'!$B$6,$C47&gt;'Tổng quan'!$B$7),"Ngoài kỳ","Tuần "&amp;(INT(($C47-'Tổng quan'!$B$6)/7)+1)))</f>
        <v/>
      </c>
      <c r="F47" s="29"/>
      <c r="G47" s="29"/>
      <c r="H47" s="27"/>
      <c r="I47" s="27"/>
      <c r="J47" s="29"/>
      <c r="K47" s="27"/>
      <c r="L47" s="27"/>
      <c r="M47" s="29"/>
      <c r="N47" s="29"/>
      <c r="O47" s="30"/>
      <c r="P47" s="30"/>
      <c r="Q47" s="28"/>
      <c r="R47" s="27"/>
      <c r="S47" s="26" t="str">
        <f>IF($F47="","",IF($R47="Hủy","Đã hủy",IF($R47="Đã đăng",IF($T47="","Đã đăng – thiếu link","Đã đăng"),IF($C47="","Chưa có ngày đăng",IF($C47&lt;'Tổng quan'!$H$11,"Trễ lịch đăng "&amp;('Tổng quan'!$H$11-$C47)&amp;" ngày",IF(AND($Q47&lt;&gt;"",$Q47&lt;'Tổng quan'!$H$11,OR($R47="Ý tưởng",$R47="Đang viết",$R47="")),"Trễ hạn nháp "&amp;('Tổng quan'!$H$11-$Q47)&amp;" ngày",IF($C47='Tổng quan'!$H$11,"Đăng hôm nay",IF($C47-'Tổng quan'!$H$11&lt;='Cài đặt'!$B$102,"Sắp đăng ("&amp;($C47-'Tổng quan'!$H$11)&amp;" ngày)","Còn "&amp;($C47-'Tổng quan'!$H$11)&amp;" ngày"))))))))</f>
        <v/>
      </c>
      <c r="T47" s="30"/>
      <c r="U47" s="32"/>
      <c r="V47" s="32"/>
      <c r="W47" s="33"/>
      <c r="X47" s="33"/>
      <c r="Y47" s="33"/>
      <c r="Z47" s="33"/>
      <c r="AA47" s="34" t="str">
        <f t="shared" si="3"/>
        <v/>
      </c>
      <c r="AB47" s="34" t="str">
        <f t="shared" si="4"/>
        <v/>
      </c>
      <c r="AC47" s="35" t="str">
        <f t="shared" si="5"/>
        <v/>
      </c>
      <c r="AD47" s="29"/>
    </row>
    <row r="48" ht="31.5" customHeight="1">
      <c r="A48" s="15" t="str">
        <f t="shared" si="1"/>
        <v/>
      </c>
      <c r="B48" s="16"/>
      <c r="C48" s="17"/>
      <c r="D48" s="15" t="str">
        <f t="shared" si="2"/>
        <v/>
      </c>
      <c r="E48" s="15" t="str">
        <f>IF(OR($C48="",'Tổng quan'!$B$6="",'Tổng quan'!$B$7=""),"",IF(OR($C48&lt;'Tổng quan'!$B$6,$C48&gt;'Tổng quan'!$B$7),"Ngoài kỳ","Tuần "&amp;(INT(($C48-'Tổng quan'!$B$6)/7)+1)))</f>
        <v/>
      </c>
      <c r="F48" s="19"/>
      <c r="G48" s="19"/>
      <c r="H48" s="16"/>
      <c r="I48" s="16"/>
      <c r="J48" s="19"/>
      <c r="K48" s="16"/>
      <c r="L48" s="16"/>
      <c r="M48" s="19"/>
      <c r="N48" s="19"/>
      <c r="O48" s="20"/>
      <c r="P48" s="20"/>
      <c r="Q48" s="17"/>
      <c r="R48" s="16"/>
      <c r="S48" s="15" t="str">
        <f>IF($F48="","",IF($R48="Hủy","Đã hủy",IF($R48="Đã đăng",IF($T48="","Đã đăng – thiếu link","Đã đăng"),IF($C48="","Chưa có ngày đăng",IF($C48&lt;'Tổng quan'!$H$11,"Trễ lịch đăng "&amp;('Tổng quan'!$H$11-$C48)&amp;" ngày",IF(AND($Q48&lt;&gt;"",$Q48&lt;'Tổng quan'!$H$11,OR($R48="Ý tưởng",$R48="Đang viết",$R48="")),"Trễ hạn nháp "&amp;('Tổng quan'!$H$11-$Q48)&amp;" ngày",IF($C48='Tổng quan'!$H$11,"Đăng hôm nay",IF($C48-'Tổng quan'!$H$11&lt;='Cài đặt'!$B$102,"Sắp đăng ("&amp;($C48-'Tổng quan'!$H$11)&amp;" ngày)","Còn "&amp;($C48-'Tổng quan'!$H$11)&amp;" ngày"))))))))</f>
        <v/>
      </c>
      <c r="T48" s="20"/>
      <c r="U48" s="22"/>
      <c r="V48" s="22"/>
      <c r="W48" s="23"/>
      <c r="X48" s="23"/>
      <c r="Y48" s="23"/>
      <c r="Z48" s="23"/>
      <c r="AA48" s="24" t="str">
        <f t="shared" si="3"/>
        <v/>
      </c>
      <c r="AB48" s="24" t="str">
        <f t="shared" si="4"/>
        <v/>
      </c>
      <c r="AC48" s="25" t="str">
        <f t="shared" si="5"/>
        <v/>
      </c>
      <c r="AD48" s="19"/>
    </row>
    <row r="49" ht="31.5" customHeight="1">
      <c r="A49" s="26" t="str">
        <f t="shared" si="1"/>
        <v/>
      </c>
      <c r="B49" s="27"/>
      <c r="C49" s="28"/>
      <c r="D49" s="26" t="str">
        <f t="shared" si="2"/>
        <v/>
      </c>
      <c r="E49" s="26" t="str">
        <f>IF(OR($C49="",'Tổng quan'!$B$6="",'Tổng quan'!$B$7=""),"",IF(OR($C49&lt;'Tổng quan'!$B$6,$C49&gt;'Tổng quan'!$B$7),"Ngoài kỳ","Tuần "&amp;(INT(($C49-'Tổng quan'!$B$6)/7)+1)))</f>
        <v/>
      </c>
      <c r="F49" s="29"/>
      <c r="G49" s="29"/>
      <c r="H49" s="27"/>
      <c r="I49" s="27"/>
      <c r="J49" s="29"/>
      <c r="K49" s="27"/>
      <c r="L49" s="27"/>
      <c r="M49" s="29"/>
      <c r="N49" s="29"/>
      <c r="O49" s="30"/>
      <c r="P49" s="30"/>
      <c r="Q49" s="28"/>
      <c r="R49" s="27"/>
      <c r="S49" s="26" t="str">
        <f>IF($F49="","",IF($R49="Hủy","Đã hủy",IF($R49="Đã đăng",IF($T49="","Đã đăng – thiếu link","Đã đăng"),IF($C49="","Chưa có ngày đăng",IF($C49&lt;'Tổng quan'!$H$11,"Trễ lịch đăng "&amp;('Tổng quan'!$H$11-$C49)&amp;" ngày",IF(AND($Q49&lt;&gt;"",$Q49&lt;'Tổng quan'!$H$11,OR($R49="Ý tưởng",$R49="Đang viết",$R49="")),"Trễ hạn nháp "&amp;('Tổng quan'!$H$11-$Q49)&amp;" ngày",IF($C49='Tổng quan'!$H$11,"Đăng hôm nay",IF($C49-'Tổng quan'!$H$11&lt;='Cài đặt'!$B$102,"Sắp đăng ("&amp;($C49-'Tổng quan'!$H$11)&amp;" ngày)","Còn "&amp;($C49-'Tổng quan'!$H$11)&amp;" ngày"))))))))</f>
        <v/>
      </c>
      <c r="T49" s="30"/>
      <c r="U49" s="32"/>
      <c r="V49" s="32"/>
      <c r="W49" s="33"/>
      <c r="X49" s="33"/>
      <c r="Y49" s="33"/>
      <c r="Z49" s="33"/>
      <c r="AA49" s="34" t="str">
        <f t="shared" si="3"/>
        <v/>
      </c>
      <c r="AB49" s="34" t="str">
        <f t="shared" si="4"/>
        <v/>
      </c>
      <c r="AC49" s="35" t="str">
        <f t="shared" si="5"/>
        <v/>
      </c>
      <c r="AD49" s="29"/>
    </row>
    <row r="50" ht="31.5" customHeight="1">
      <c r="A50" s="15" t="str">
        <f t="shared" si="1"/>
        <v/>
      </c>
      <c r="B50" s="16"/>
      <c r="C50" s="17"/>
      <c r="D50" s="15" t="str">
        <f t="shared" si="2"/>
        <v/>
      </c>
      <c r="E50" s="15" t="str">
        <f>IF(OR($C50="",'Tổng quan'!$B$6="",'Tổng quan'!$B$7=""),"",IF(OR($C50&lt;'Tổng quan'!$B$6,$C50&gt;'Tổng quan'!$B$7),"Ngoài kỳ","Tuần "&amp;(INT(($C50-'Tổng quan'!$B$6)/7)+1)))</f>
        <v/>
      </c>
      <c r="F50" s="19"/>
      <c r="G50" s="19"/>
      <c r="H50" s="16"/>
      <c r="I50" s="16"/>
      <c r="J50" s="19"/>
      <c r="K50" s="16"/>
      <c r="L50" s="16"/>
      <c r="M50" s="19"/>
      <c r="N50" s="19"/>
      <c r="O50" s="20"/>
      <c r="P50" s="20"/>
      <c r="Q50" s="17"/>
      <c r="R50" s="16"/>
      <c r="S50" s="15" t="str">
        <f>IF($F50="","",IF($R50="Hủy","Đã hủy",IF($R50="Đã đăng",IF($T50="","Đã đăng – thiếu link","Đã đăng"),IF($C50="","Chưa có ngày đăng",IF($C50&lt;'Tổng quan'!$H$11,"Trễ lịch đăng "&amp;('Tổng quan'!$H$11-$C50)&amp;" ngày",IF(AND($Q50&lt;&gt;"",$Q50&lt;'Tổng quan'!$H$11,OR($R50="Ý tưởng",$R50="Đang viết",$R50="")),"Trễ hạn nháp "&amp;('Tổng quan'!$H$11-$Q50)&amp;" ngày",IF($C50='Tổng quan'!$H$11,"Đăng hôm nay",IF($C50-'Tổng quan'!$H$11&lt;='Cài đặt'!$B$102,"Sắp đăng ("&amp;($C50-'Tổng quan'!$H$11)&amp;" ngày)","Còn "&amp;($C50-'Tổng quan'!$H$11)&amp;" ngày"))))))))</f>
        <v/>
      </c>
      <c r="T50" s="20"/>
      <c r="U50" s="22"/>
      <c r="V50" s="22"/>
      <c r="W50" s="23"/>
      <c r="X50" s="23"/>
      <c r="Y50" s="23"/>
      <c r="Z50" s="23"/>
      <c r="AA50" s="24" t="str">
        <f t="shared" si="3"/>
        <v/>
      </c>
      <c r="AB50" s="24" t="str">
        <f t="shared" si="4"/>
        <v/>
      </c>
      <c r="AC50" s="25" t="str">
        <f t="shared" si="5"/>
        <v/>
      </c>
      <c r="AD50" s="19"/>
    </row>
    <row r="51" ht="31.5" customHeight="1">
      <c r="A51" s="26" t="str">
        <f t="shared" si="1"/>
        <v/>
      </c>
      <c r="B51" s="27"/>
      <c r="C51" s="28"/>
      <c r="D51" s="26" t="str">
        <f t="shared" si="2"/>
        <v/>
      </c>
      <c r="E51" s="26" t="str">
        <f>IF(OR($C51="",'Tổng quan'!$B$6="",'Tổng quan'!$B$7=""),"",IF(OR($C51&lt;'Tổng quan'!$B$6,$C51&gt;'Tổng quan'!$B$7),"Ngoài kỳ","Tuần "&amp;(INT(($C51-'Tổng quan'!$B$6)/7)+1)))</f>
        <v/>
      </c>
      <c r="F51" s="29"/>
      <c r="G51" s="29"/>
      <c r="H51" s="27"/>
      <c r="I51" s="27"/>
      <c r="J51" s="29"/>
      <c r="K51" s="27"/>
      <c r="L51" s="27"/>
      <c r="M51" s="29"/>
      <c r="N51" s="29"/>
      <c r="O51" s="30"/>
      <c r="P51" s="30"/>
      <c r="Q51" s="28"/>
      <c r="R51" s="27"/>
      <c r="S51" s="26" t="str">
        <f>IF($F51="","",IF($R51="Hủy","Đã hủy",IF($R51="Đã đăng",IF($T51="","Đã đăng – thiếu link","Đã đăng"),IF($C51="","Chưa có ngày đăng",IF($C51&lt;'Tổng quan'!$H$11,"Trễ lịch đăng "&amp;('Tổng quan'!$H$11-$C51)&amp;" ngày",IF(AND($Q51&lt;&gt;"",$Q51&lt;'Tổng quan'!$H$11,OR($R51="Ý tưởng",$R51="Đang viết",$R51="")),"Trễ hạn nháp "&amp;('Tổng quan'!$H$11-$Q51)&amp;" ngày",IF($C51='Tổng quan'!$H$11,"Đăng hôm nay",IF($C51-'Tổng quan'!$H$11&lt;='Cài đặt'!$B$102,"Sắp đăng ("&amp;($C51-'Tổng quan'!$H$11)&amp;" ngày)","Còn "&amp;($C51-'Tổng quan'!$H$11)&amp;" ngày"))))))))</f>
        <v/>
      </c>
      <c r="T51" s="30"/>
      <c r="U51" s="32"/>
      <c r="V51" s="32"/>
      <c r="W51" s="33"/>
      <c r="X51" s="33"/>
      <c r="Y51" s="33"/>
      <c r="Z51" s="33"/>
      <c r="AA51" s="34" t="str">
        <f t="shared" si="3"/>
        <v/>
      </c>
      <c r="AB51" s="34" t="str">
        <f t="shared" si="4"/>
        <v/>
      </c>
      <c r="AC51" s="35" t="str">
        <f t="shared" si="5"/>
        <v/>
      </c>
      <c r="AD51" s="29"/>
    </row>
    <row r="52" ht="31.5" customHeight="1">
      <c r="A52" s="15" t="str">
        <f t="shared" si="1"/>
        <v/>
      </c>
      <c r="B52" s="16"/>
      <c r="C52" s="17"/>
      <c r="D52" s="15" t="str">
        <f t="shared" si="2"/>
        <v/>
      </c>
      <c r="E52" s="15" t="str">
        <f>IF(OR($C52="",'Tổng quan'!$B$6="",'Tổng quan'!$B$7=""),"",IF(OR($C52&lt;'Tổng quan'!$B$6,$C52&gt;'Tổng quan'!$B$7),"Ngoài kỳ","Tuần "&amp;(INT(($C52-'Tổng quan'!$B$6)/7)+1)))</f>
        <v/>
      </c>
      <c r="F52" s="19"/>
      <c r="G52" s="19"/>
      <c r="H52" s="16"/>
      <c r="I52" s="16"/>
      <c r="J52" s="19"/>
      <c r="K52" s="16"/>
      <c r="L52" s="16"/>
      <c r="M52" s="19"/>
      <c r="N52" s="19"/>
      <c r="O52" s="20"/>
      <c r="P52" s="20"/>
      <c r="Q52" s="17"/>
      <c r="R52" s="16"/>
      <c r="S52" s="15" t="str">
        <f>IF($F52="","",IF($R52="Hủy","Đã hủy",IF($R52="Đã đăng",IF($T52="","Đã đăng – thiếu link","Đã đăng"),IF($C52="","Chưa có ngày đăng",IF($C52&lt;'Tổng quan'!$H$11,"Trễ lịch đăng "&amp;('Tổng quan'!$H$11-$C52)&amp;" ngày",IF(AND($Q52&lt;&gt;"",$Q52&lt;'Tổng quan'!$H$11,OR($R52="Ý tưởng",$R52="Đang viết",$R52="")),"Trễ hạn nháp "&amp;('Tổng quan'!$H$11-$Q52)&amp;" ngày",IF($C52='Tổng quan'!$H$11,"Đăng hôm nay",IF($C52-'Tổng quan'!$H$11&lt;='Cài đặt'!$B$102,"Sắp đăng ("&amp;($C52-'Tổng quan'!$H$11)&amp;" ngày)","Còn "&amp;($C52-'Tổng quan'!$H$11)&amp;" ngày"))))))))</f>
        <v/>
      </c>
      <c r="T52" s="20"/>
      <c r="U52" s="22"/>
      <c r="V52" s="22"/>
      <c r="W52" s="23"/>
      <c r="X52" s="23"/>
      <c r="Y52" s="23"/>
      <c r="Z52" s="23"/>
      <c r="AA52" s="24" t="str">
        <f t="shared" si="3"/>
        <v/>
      </c>
      <c r="AB52" s="24" t="str">
        <f t="shared" si="4"/>
        <v/>
      </c>
      <c r="AC52" s="25" t="str">
        <f t="shared" si="5"/>
        <v/>
      </c>
      <c r="AD52" s="19"/>
    </row>
    <row r="53" ht="31.5" customHeight="1">
      <c r="A53" s="26" t="str">
        <f t="shared" si="1"/>
        <v/>
      </c>
      <c r="B53" s="27"/>
      <c r="C53" s="28"/>
      <c r="D53" s="26" t="str">
        <f t="shared" si="2"/>
        <v/>
      </c>
      <c r="E53" s="26" t="str">
        <f>IF(OR($C53="",'Tổng quan'!$B$6="",'Tổng quan'!$B$7=""),"",IF(OR($C53&lt;'Tổng quan'!$B$6,$C53&gt;'Tổng quan'!$B$7),"Ngoài kỳ","Tuần "&amp;(INT(($C53-'Tổng quan'!$B$6)/7)+1)))</f>
        <v/>
      </c>
      <c r="F53" s="29"/>
      <c r="G53" s="29"/>
      <c r="H53" s="27"/>
      <c r="I53" s="27"/>
      <c r="J53" s="29"/>
      <c r="K53" s="27"/>
      <c r="L53" s="27"/>
      <c r="M53" s="29"/>
      <c r="N53" s="29"/>
      <c r="O53" s="30"/>
      <c r="P53" s="30"/>
      <c r="Q53" s="28"/>
      <c r="R53" s="27"/>
      <c r="S53" s="26" t="str">
        <f>IF($F53="","",IF($R53="Hủy","Đã hủy",IF($R53="Đã đăng",IF($T53="","Đã đăng – thiếu link","Đã đăng"),IF($C53="","Chưa có ngày đăng",IF($C53&lt;'Tổng quan'!$H$11,"Trễ lịch đăng "&amp;('Tổng quan'!$H$11-$C53)&amp;" ngày",IF(AND($Q53&lt;&gt;"",$Q53&lt;'Tổng quan'!$H$11,OR($R53="Ý tưởng",$R53="Đang viết",$R53="")),"Trễ hạn nháp "&amp;('Tổng quan'!$H$11-$Q53)&amp;" ngày",IF($C53='Tổng quan'!$H$11,"Đăng hôm nay",IF($C53-'Tổng quan'!$H$11&lt;='Cài đặt'!$B$102,"Sắp đăng ("&amp;($C53-'Tổng quan'!$H$11)&amp;" ngày)","Còn "&amp;($C53-'Tổng quan'!$H$11)&amp;" ngày"))))))))</f>
        <v/>
      </c>
      <c r="T53" s="30"/>
      <c r="U53" s="32"/>
      <c r="V53" s="32"/>
      <c r="W53" s="33"/>
      <c r="X53" s="33"/>
      <c r="Y53" s="33"/>
      <c r="Z53" s="33"/>
      <c r="AA53" s="34" t="str">
        <f t="shared" si="3"/>
        <v/>
      </c>
      <c r="AB53" s="34" t="str">
        <f t="shared" si="4"/>
        <v/>
      </c>
      <c r="AC53" s="35" t="str">
        <f t="shared" si="5"/>
        <v/>
      </c>
      <c r="AD53" s="29"/>
    </row>
    <row r="54" ht="31.5" customHeight="1">
      <c r="A54" s="15" t="str">
        <f t="shared" si="1"/>
        <v/>
      </c>
      <c r="B54" s="16"/>
      <c r="C54" s="17"/>
      <c r="D54" s="15" t="str">
        <f t="shared" si="2"/>
        <v/>
      </c>
      <c r="E54" s="15" t="str">
        <f>IF(OR($C54="",'Tổng quan'!$B$6="",'Tổng quan'!$B$7=""),"",IF(OR($C54&lt;'Tổng quan'!$B$6,$C54&gt;'Tổng quan'!$B$7),"Ngoài kỳ","Tuần "&amp;(INT(($C54-'Tổng quan'!$B$6)/7)+1)))</f>
        <v/>
      </c>
      <c r="F54" s="19"/>
      <c r="G54" s="19"/>
      <c r="H54" s="16"/>
      <c r="I54" s="16"/>
      <c r="J54" s="19"/>
      <c r="K54" s="16"/>
      <c r="L54" s="16"/>
      <c r="M54" s="19"/>
      <c r="N54" s="19"/>
      <c r="O54" s="20"/>
      <c r="P54" s="20"/>
      <c r="Q54" s="17"/>
      <c r="R54" s="16"/>
      <c r="S54" s="15" t="str">
        <f>IF($F54="","",IF($R54="Hủy","Đã hủy",IF($R54="Đã đăng",IF($T54="","Đã đăng – thiếu link","Đã đăng"),IF($C54="","Chưa có ngày đăng",IF($C54&lt;'Tổng quan'!$H$11,"Trễ lịch đăng "&amp;('Tổng quan'!$H$11-$C54)&amp;" ngày",IF(AND($Q54&lt;&gt;"",$Q54&lt;'Tổng quan'!$H$11,OR($R54="Ý tưởng",$R54="Đang viết",$R54="")),"Trễ hạn nháp "&amp;('Tổng quan'!$H$11-$Q54)&amp;" ngày",IF($C54='Tổng quan'!$H$11,"Đăng hôm nay",IF($C54-'Tổng quan'!$H$11&lt;='Cài đặt'!$B$102,"Sắp đăng ("&amp;($C54-'Tổng quan'!$H$11)&amp;" ngày)","Còn "&amp;($C54-'Tổng quan'!$H$11)&amp;" ngày"))))))))</f>
        <v/>
      </c>
      <c r="T54" s="20"/>
      <c r="U54" s="22"/>
      <c r="V54" s="22"/>
      <c r="W54" s="23"/>
      <c r="X54" s="23"/>
      <c r="Y54" s="23"/>
      <c r="Z54" s="23"/>
      <c r="AA54" s="24" t="str">
        <f t="shared" si="3"/>
        <v/>
      </c>
      <c r="AB54" s="24" t="str">
        <f t="shared" si="4"/>
        <v/>
      </c>
      <c r="AC54" s="25" t="str">
        <f t="shared" si="5"/>
        <v/>
      </c>
      <c r="AD54" s="19"/>
    </row>
    <row r="55" ht="31.5" customHeight="1">
      <c r="A55" s="26" t="str">
        <f t="shared" si="1"/>
        <v/>
      </c>
      <c r="B55" s="27"/>
      <c r="C55" s="28"/>
      <c r="D55" s="26" t="str">
        <f t="shared" si="2"/>
        <v/>
      </c>
      <c r="E55" s="26" t="str">
        <f>IF(OR($C55="",'Tổng quan'!$B$6="",'Tổng quan'!$B$7=""),"",IF(OR($C55&lt;'Tổng quan'!$B$6,$C55&gt;'Tổng quan'!$B$7),"Ngoài kỳ","Tuần "&amp;(INT(($C55-'Tổng quan'!$B$6)/7)+1)))</f>
        <v/>
      </c>
      <c r="F55" s="29"/>
      <c r="G55" s="29"/>
      <c r="H55" s="27"/>
      <c r="I55" s="27"/>
      <c r="J55" s="29"/>
      <c r="K55" s="27"/>
      <c r="L55" s="27"/>
      <c r="M55" s="29"/>
      <c r="N55" s="29"/>
      <c r="O55" s="30"/>
      <c r="P55" s="30"/>
      <c r="Q55" s="28"/>
      <c r="R55" s="27"/>
      <c r="S55" s="26" t="str">
        <f>IF($F55="","",IF($R55="Hủy","Đã hủy",IF($R55="Đã đăng",IF($T55="","Đã đăng – thiếu link","Đã đăng"),IF($C55="","Chưa có ngày đăng",IF($C55&lt;'Tổng quan'!$H$11,"Trễ lịch đăng "&amp;('Tổng quan'!$H$11-$C55)&amp;" ngày",IF(AND($Q55&lt;&gt;"",$Q55&lt;'Tổng quan'!$H$11,OR($R55="Ý tưởng",$R55="Đang viết",$R55="")),"Trễ hạn nháp "&amp;('Tổng quan'!$H$11-$Q55)&amp;" ngày",IF($C55='Tổng quan'!$H$11,"Đăng hôm nay",IF($C55-'Tổng quan'!$H$11&lt;='Cài đặt'!$B$102,"Sắp đăng ("&amp;($C55-'Tổng quan'!$H$11)&amp;" ngày)","Còn "&amp;($C55-'Tổng quan'!$H$11)&amp;" ngày"))))))))</f>
        <v/>
      </c>
      <c r="T55" s="30"/>
      <c r="U55" s="32"/>
      <c r="V55" s="32"/>
      <c r="W55" s="33"/>
      <c r="X55" s="33"/>
      <c r="Y55" s="33"/>
      <c r="Z55" s="33"/>
      <c r="AA55" s="34" t="str">
        <f t="shared" si="3"/>
        <v/>
      </c>
      <c r="AB55" s="34" t="str">
        <f t="shared" si="4"/>
        <v/>
      </c>
      <c r="AC55" s="35" t="str">
        <f t="shared" si="5"/>
        <v/>
      </c>
      <c r="AD55" s="29"/>
    </row>
    <row r="56" ht="31.5" customHeight="1">
      <c r="A56" s="15" t="str">
        <f t="shared" si="1"/>
        <v/>
      </c>
      <c r="B56" s="16"/>
      <c r="C56" s="17"/>
      <c r="D56" s="15" t="str">
        <f t="shared" si="2"/>
        <v/>
      </c>
      <c r="E56" s="15" t="str">
        <f>IF(OR($C56="",'Tổng quan'!$B$6="",'Tổng quan'!$B$7=""),"",IF(OR($C56&lt;'Tổng quan'!$B$6,$C56&gt;'Tổng quan'!$B$7),"Ngoài kỳ","Tuần "&amp;(INT(($C56-'Tổng quan'!$B$6)/7)+1)))</f>
        <v/>
      </c>
      <c r="F56" s="19"/>
      <c r="G56" s="19"/>
      <c r="H56" s="16"/>
      <c r="I56" s="16"/>
      <c r="J56" s="19"/>
      <c r="K56" s="16"/>
      <c r="L56" s="16"/>
      <c r="M56" s="19"/>
      <c r="N56" s="19"/>
      <c r="O56" s="20"/>
      <c r="P56" s="20"/>
      <c r="Q56" s="17"/>
      <c r="R56" s="16"/>
      <c r="S56" s="15" t="str">
        <f>IF($F56="","",IF($R56="Hủy","Đã hủy",IF($R56="Đã đăng",IF($T56="","Đã đăng – thiếu link","Đã đăng"),IF($C56="","Chưa có ngày đăng",IF($C56&lt;'Tổng quan'!$H$11,"Trễ lịch đăng "&amp;('Tổng quan'!$H$11-$C56)&amp;" ngày",IF(AND($Q56&lt;&gt;"",$Q56&lt;'Tổng quan'!$H$11,OR($R56="Ý tưởng",$R56="Đang viết",$R56="")),"Trễ hạn nháp "&amp;('Tổng quan'!$H$11-$Q56)&amp;" ngày",IF($C56='Tổng quan'!$H$11,"Đăng hôm nay",IF($C56-'Tổng quan'!$H$11&lt;='Cài đặt'!$B$102,"Sắp đăng ("&amp;($C56-'Tổng quan'!$H$11)&amp;" ngày)","Còn "&amp;($C56-'Tổng quan'!$H$11)&amp;" ngày"))))))))</f>
        <v/>
      </c>
      <c r="T56" s="20"/>
      <c r="U56" s="22"/>
      <c r="V56" s="22"/>
      <c r="W56" s="23"/>
      <c r="X56" s="23"/>
      <c r="Y56" s="23"/>
      <c r="Z56" s="23"/>
      <c r="AA56" s="24" t="str">
        <f t="shared" si="3"/>
        <v/>
      </c>
      <c r="AB56" s="24" t="str">
        <f t="shared" si="4"/>
        <v/>
      </c>
      <c r="AC56" s="25" t="str">
        <f t="shared" si="5"/>
        <v/>
      </c>
      <c r="AD56" s="19"/>
    </row>
    <row r="57" ht="31.5" customHeight="1">
      <c r="A57" s="26" t="str">
        <f t="shared" si="1"/>
        <v/>
      </c>
      <c r="B57" s="27"/>
      <c r="C57" s="28"/>
      <c r="D57" s="26" t="str">
        <f t="shared" si="2"/>
        <v/>
      </c>
      <c r="E57" s="26" t="str">
        <f>IF(OR($C57="",'Tổng quan'!$B$6="",'Tổng quan'!$B$7=""),"",IF(OR($C57&lt;'Tổng quan'!$B$6,$C57&gt;'Tổng quan'!$B$7),"Ngoài kỳ","Tuần "&amp;(INT(($C57-'Tổng quan'!$B$6)/7)+1)))</f>
        <v/>
      </c>
      <c r="F57" s="29"/>
      <c r="G57" s="29"/>
      <c r="H57" s="27"/>
      <c r="I57" s="27"/>
      <c r="J57" s="29"/>
      <c r="K57" s="27"/>
      <c r="L57" s="27"/>
      <c r="M57" s="29"/>
      <c r="N57" s="29"/>
      <c r="O57" s="30"/>
      <c r="P57" s="30"/>
      <c r="Q57" s="28"/>
      <c r="R57" s="27"/>
      <c r="S57" s="26" t="str">
        <f>IF($F57="","",IF($R57="Hủy","Đã hủy",IF($R57="Đã đăng",IF($T57="","Đã đăng – thiếu link","Đã đăng"),IF($C57="","Chưa có ngày đăng",IF($C57&lt;'Tổng quan'!$H$11,"Trễ lịch đăng "&amp;('Tổng quan'!$H$11-$C57)&amp;" ngày",IF(AND($Q57&lt;&gt;"",$Q57&lt;'Tổng quan'!$H$11,OR($R57="Ý tưởng",$R57="Đang viết",$R57="")),"Trễ hạn nháp "&amp;('Tổng quan'!$H$11-$Q57)&amp;" ngày",IF($C57='Tổng quan'!$H$11,"Đăng hôm nay",IF($C57-'Tổng quan'!$H$11&lt;='Cài đặt'!$B$102,"Sắp đăng ("&amp;($C57-'Tổng quan'!$H$11)&amp;" ngày)","Còn "&amp;($C57-'Tổng quan'!$H$11)&amp;" ngày"))))))))</f>
        <v/>
      </c>
      <c r="T57" s="30"/>
      <c r="U57" s="32"/>
      <c r="V57" s="32"/>
      <c r="W57" s="33"/>
      <c r="X57" s="33"/>
      <c r="Y57" s="33"/>
      <c r="Z57" s="33"/>
      <c r="AA57" s="34" t="str">
        <f t="shared" si="3"/>
        <v/>
      </c>
      <c r="AB57" s="34" t="str">
        <f t="shared" si="4"/>
        <v/>
      </c>
      <c r="AC57" s="35" t="str">
        <f t="shared" si="5"/>
        <v/>
      </c>
      <c r="AD57" s="29"/>
    </row>
    <row r="58" ht="31.5" customHeight="1">
      <c r="A58" s="15" t="str">
        <f t="shared" si="1"/>
        <v/>
      </c>
      <c r="B58" s="16"/>
      <c r="C58" s="17"/>
      <c r="D58" s="15" t="str">
        <f t="shared" si="2"/>
        <v/>
      </c>
      <c r="E58" s="15" t="str">
        <f>IF(OR($C58="",'Tổng quan'!$B$6="",'Tổng quan'!$B$7=""),"",IF(OR($C58&lt;'Tổng quan'!$B$6,$C58&gt;'Tổng quan'!$B$7),"Ngoài kỳ","Tuần "&amp;(INT(($C58-'Tổng quan'!$B$6)/7)+1)))</f>
        <v/>
      </c>
      <c r="F58" s="19"/>
      <c r="G58" s="19"/>
      <c r="H58" s="16"/>
      <c r="I58" s="16"/>
      <c r="J58" s="19"/>
      <c r="K58" s="16"/>
      <c r="L58" s="16"/>
      <c r="M58" s="19"/>
      <c r="N58" s="19"/>
      <c r="O58" s="20"/>
      <c r="P58" s="20"/>
      <c r="Q58" s="17"/>
      <c r="R58" s="16"/>
      <c r="S58" s="15" t="str">
        <f>IF($F58="","",IF($R58="Hủy","Đã hủy",IF($R58="Đã đăng",IF($T58="","Đã đăng – thiếu link","Đã đăng"),IF($C58="","Chưa có ngày đăng",IF($C58&lt;'Tổng quan'!$H$11,"Trễ lịch đăng "&amp;('Tổng quan'!$H$11-$C58)&amp;" ngày",IF(AND($Q58&lt;&gt;"",$Q58&lt;'Tổng quan'!$H$11,OR($R58="Ý tưởng",$R58="Đang viết",$R58="")),"Trễ hạn nháp "&amp;('Tổng quan'!$H$11-$Q58)&amp;" ngày",IF($C58='Tổng quan'!$H$11,"Đăng hôm nay",IF($C58-'Tổng quan'!$H$11&lt;='Cài đặt'!$B$102,"Sắp đăng ("&amp;($C58-'Tổng quan'!$H$11)&amp;" ngày)","Còn "&amp;($C58-'Tổng quan'!$H$11)&amp;" ngày"))))))))</f>
        <v/>
      </c>
      <c r="T58" s="20"/>
      <c r="U58" s="22"/>
      <c r="V58" s="22"/>
      <c r="W58" s="23"/>
      <c r="X58" s="23"/>
      <c r="Y58" s="23"/>
      <c r="Z58" s="23"/>
      <c r="AA58" s="24" t="str">
        <f t="shared" si="3"/>
        <v/>
      </c>
      <c r="AB58" s="24" t="str">
        <f t="shared" si="4"/>
        <v/>
      </c>
      <c r="AC58" s="25" t="str">
        <f t="shared" si="5"/>
        <v/>
      </c>
      <c r="AD58" s="19"/>
    </row>
    <row r="59" ht="31.5" customHeight="1">
      <c r="A59" s="26" t="str">
        <f t="shared" si="1"/>
        <v/>
      </c>
      <c r="B59" s="27"/>
      <c r="C59" s="28"/>
      <c r="D59" s="26" t="str">
        <f t="shared" si="2"/>
        <v/>
      </c>
      <c r="E59" s="26" t="str">
        <f>IF(OR($C59="",'Tổng quan'!$B$6="",'Tổng quan'!$B$7=""),"",IF(OR($C59&lt;'Tổng quan'!$B$6,$C59&gt;'Tổng quan'!$B$7),"Ngoài kỳ","Tuần "&amp;(INT(($C59-'Tổng quan'!$B$6)/7)+1)))</f>
        <v/>
      </c>
      <c r="F59" s="29"/>
      <c r="G59" s="29"/>
      <c r="H59" s="27"/>
      <c r="I59" s="27"/>
      <c r="J59" s="29"/>
      <c r="K59" s="27"/>
      <c r="L59" s="27"/>
      <c r="M59" s="29"/>
      <c r="N59" s="29"/>
      <c r="O59" s="30"/>
      <c r="P59" s="30"/>
      <c r="Q59" s="28"/>
      <c r="R59" s="27"/>
      <c r="S59" s="26" t="str">
        <f>IF($F59="","",IF($R59="Hủy","Đã hủy",IF($R59="Đã đăng",IF($T59="","Đã đăng – thiếu link","Đã đăng"),IF($C59="","Chưa có ngày đăng",IF($C59&lt;'Tổng quan'!$H$11,"Trễ lịch đăng "&amp;('Tổng quan'!$H$11-$C59)&amp;" ngày",IF(AND($Q59&lt;&gt;"",$Q59&lt;'Tổng quan'!$H$11,OR($R59="Ý tưởng",$R59="Đang viết",$R59="")),"Trễ hạn nháp "&amp;('Tổng quan'!$H$11-$Q59)&amp;" ngày",IF($C59='Tổng quan'!$H$11,"Đăng hôm nay",IF($C59-'Tổng quan'!$H$11&lt;='Cài đặt'!$B$102,"Sắp đăng ("&amp;($C59-'Tổng quan'!$H$11)&amp;" ngày)","Còn "&amp;($C59-'Tổng quan'!$H$11)&amp;" ngày"))))))))</f>
        <v/>
      </c>
      <c r="T59" s="30"/>
      <c r="U59" s="32"/>
      <c r="V59" s="32"/>
      <c r="W59" s="33"/>
      <c r="X59" s="33"/>
      <c r="Y59" s="33"/>
      <c r="Z59" s="33"/>
      <c r="AA59" s="34" t="str">
        <f t="shared" si="3"/>
        <v/>
      </c>
      <c r="AB59" s="34" t="str">
        <f t="shared" si="4"/>
        <v/>
      </c>
      <c r="AC59" s="35" t="str">
        <f t="shared" si="5"/>
        <v/>
      </c>
      <c r="AD59" s="29"/>
    </row>
    <row r="60" ht="31.5" customHeight="1">
      <c r="A60" s="15" t="str">
        <f t="shared" si="1"/>
        <v/>
      </c>
      <c r="B60" s="16"/>
      <c r="C60" s="17"/>
      <c r="D60" s="15" t="str">
        <f t="shared" si="2"/>
        <v/>
      </c>
      <c r="E60" s="15" t="str">
        <f>IF(OR($C60="",'Tổng quan'!$B$6="",'Tổng quan'!$B$7=""),"",IF(OR($C60&lt;'Tổng quan'!$B$6,$C60&gt;'Tổng quan'!$B$7),"Ngoài kỳ","Tuần "&amp;(INT(($C60-'Tổng quan'!$B$6)/7)+1)))</f>
        <v/>
      </c>
      <c r="F60" s="19"/>
      <c r="G60" s="19"/>
      <c r="H60" s="16"/>
      <c r="I60" s="16"/>
      <c r="J60" s="19"/>
      <c r="K60" s="16"/>
      <c r="L60" s="16"/>
      <c r="M60" s="19"/>
      <c r="N60" s="19"/>
      <c r="O60" s="20"/>
      <c r="P60" s="20"/>
      <c r="Q60" s="17"/>
      <c r="R60" s="16"/>
      <c r="S60" s="15" t="str">
        <f>IF($F60="","",IF($R60="Hủy","Đã hủy",IF($R60="Đã đăng",IF($T60="","Đã đăng – thiếu link","Đã đăng"),IF($C60="","Chưa có ngày đăng",IF($C60&lt;'Tổng quan'!$H$11,"Trễ lịch đăng "&amp;('Tổng quan'!$H$11-$C60)&amp;" ngày",IF(AND($Q60&lt;&gt;"",$Q60&lt;'Tổng quan'!$H$11,OR($R60="Ý tưởng",$R60="Đang viết",$R60="")),"Trễ hạn nháp "&amp;('Tổng quan'!$H$11-$Q60)&amp;" ngày",IF($C60='Tổng quan'!$H$11,"Đăng hôm nay",IF($C60-'Tổng quan'!$H$11&lt;='Cài đặt'!$B$102,"Sắp đăng ("&amp;($C60-'Tổng quan'!$H$11)&amp;" ngày)","Còn "&amp;($C60-'Tổng quan'!$H$11)&amp;" ngày"))))))))</f>
        <v/>
      </c>
      <c r="T60" s="20"/>
      <c r="U60" s="22"/>
      <c r="V60" s="22"/>
      <c r="W60" s="23"/>
      <c r="X60" s="23"/>
      <c r="Y60" s="23"/>
      <c r="Z60" s="23"/>
      <c r="AA60" s="24" t="str">
        <f t="shared" si="3"/>
        <v/>
      </c>
      <c r="AB60" s="24" t="str">
        <f t="shared" si="4"/>
        <v/>
      </c>
      <c r="AC60" s="25" t="str">
        <f t="shared" si="5"/>
        <v/>
      </c>
      <c r="AD60" s="19"/>
    </row>
    <row r="61" ht="31.5" customHeight="1">
      <c r="A61" s="26" t="str">
        <f t="shared" si="1"/>
        <v/>
      </c>
      <c r="B61" s="27"/>
      <c r="C61" s="28"/>
      <c r="D61" s="26" t="str">
        <f t="shared" si="2"/>
        <v/>
      </c>
      <c r="E61" s="26" t="str">
        <f>IF(OR($C61="",'Tổng quan'!$B$6="",'Tổng quan'!$B$7=""),"",IF(OR($C61&lt;'Tổng quan'!$B$6,$C61&gt;'Tổng quan'!$B$7),"Ngoài kỳ","Tuần "&amp;(INT(($C61-'Tổng quan'!$B$6)/7)+1)))</f>
        <v/>
      </c>
      <c r="F61" s="29"/>
      <c r="G61" s="29"/>
      <c r="H61" s="27"/>
      <c r="I61" s="27"/>
      <c r="J61" s="29"/>
      <c r="K61" s="27"/>
      <c r="L61" s="27"/>
      <c r="M61" s="29"/>
      <c r="N61" s="29"/>
      <c r="O61" s="30"/>
      <c r="P61" s="30"/>
      <c r="Q61" s="28"/>
      <c r="R61" s="27"/>
      <c r="S61" s="26" t="str">
        <f>IF($F61="","",IF($R61="Hủy","Đã hủy",IF($R61="Đã đăng",IF($T61="","Đã đăng – thiếu link","Đã đăng"),IF($C61="","Chưa có ngày đăng",IF($C61&lt;'Tổng quan'!$H$11,"Trễ lịch đăng "&amp;('Tổng quan'!$H$11-$C61)&amp;" ngày",IF(AND($Q61&lt;&gt;"",$Q61&lt;'Tổng quan'!$H$11,OR($R61="Ý tưởng",$R61="Đang viết",$R61="")),"Trễ hạn nháp "&amp;('Tổng quan'!$H$11-$Q61)&amp;" ngày",IF($C61='Tổng quan'!$H$11,"Đăng hôm nay",IF($C61-'Tổng quan'!$H$11&lt;='Cài đặt'!$B$102,"Sắp đăng ("&amp;($C61-'Tổng quan'!$H$11)&amp;" ngày)","Còn "&amp;($C61-'Tổng quan'!$H$11)&amp;" ngày"))))))))</f>
        <v/>
      </c>
      <c r="T61" s="30"/>
      <c r="U61" s="32"/>
      <c r="V61" s="32"/>
      <c r="W61" s="33"/>
      <c r="X61" s="33"/>
      <c r="Y61" s="33"/>
      <c r="Z61" s="33"/>
      <c r="AA61" s="34" t="str">
        <f t="shared" si="3"/>
        <v/>
      </c>
      <c r="AB61" s="34" t="str">
        <f t="shared" si="4"/>
        <v/>
      </c>
      <c r="AC61" s="35" t="str">
        <f t="shared" si="5"/>
        <v/>
      </c>
      <c r="AD61" s="29"/>
    </row>
    <row r="62" ht="31.5" customHeight="1">
      <c r="A62" s="15" t="str">
        <f t="shared" si="1"/>
        <v/>
      </c>
      <c r="B62" s="16"/>
      <c r="C62" s="17"/>
      <c r="D62" s="15" t="str">
        <f t="shared" si="2"/>
        <v/>
      </c>
      <c r="E62" s="15" t="str">
        <f>IF(OR($C62="",'Tổng quan'!$B$6="",'Tổng quan'!$B$7=""),"",IF(OR($C62&lt;'Tổng quan'!$B$6,$C62&gt;'Tổng quan'!$B$7),"Ngoài kỳ","Tuần "&amp;(INT(($C62-'Tổng quan'!$B$6)/7)+1)))</f>
        <v/>
      </c>
      <c r="F62" s="19"/>
      <c r="G62" s="19"/>
      <c r="H62" s="16"/>
      <c r="I62" s="16"/>
      <c r="J62" s="19"/>
      <c r="K62" s="16"/>
      <c r="L62" s="16"/>
      <c r="M62" s="19"/>
      <c r="N62" s="19"/>
      <c r="O62" s="20"/>
      <c r="P62" s="20"/>
      <c r="Q62" s="17"/>
      <c r="R62" s="16"/>
      <c r="S62" s="15" t="str">
        <f>IF($F62="","",IF($R62="Hủy","Đã hủy",IF($R62="Đã đăng",IF($T62="","Đã đăng – thiếu link","Đã đăng"),IF($C62="","Chưa có ngày đăng",IF($C62&lt;'Tổng quan'!$H$11,"Trễ lịch đăng "&amp;('Tổng quan'!$H$11-$C62)&amp;" ngày",IF(AND($Q62&lt;&gt;"",$Q62&lt;'Tổng quan'!$H$11,OR($R62="Ý tưởng",$R62="Đang viết",$R62="")),"Trễ hạn nháp "&amp;('Tổng quan'!$H$11-$Q62)&amp;" ngày",IF($C62='Tổng quan'!$H$11,"Đăng hôm nay",IF($C62-'Tổng quan'!$H$11&lt;='Cài đặt'!$B$102,"Sắp đăng ("&amp;($C62-'Tổng quan'!$H$11)&amp;" ngày)","Còn "&amp;($C62-'Tổng quan'!$H$11)&amp;" ngày"))))))))</f>
        <v/>
      </c>
      <c r="T62" s="20"/>
      <c r="U62" s="22"/>
      <c r="V62" s="22"/>
      <c r="W62" s="23"/>
      <c r="X62" s="23"/>
      <c r="Y62" s="23"/>
      <c r="Z62" s="23"/>
      <c r="AA62" s="24" t="str">
        <f t="shared" si="3"/>
        <v/>
      </c>
      <c r="AB62" s="24" t="str">
        <f t="shared" si="4"/>
        <v/>
      </c>
      <c r="AC62" s="25" t="str">
        <f t="shared" si="5"/>
        <v/>
      </c>
      <c r="AD62" s="19"/>
    </row>
    <row r="63" ht="31.5" customHeight="1">
      <c r="A63" s="26" t="str">
        <f t="shared" si="1"/>
        <v/>
      </c>
      <c r="B63" s="27"/>
      <c r="C63" s="28"/>
      <c r="D63" s="26" t="str">
        <f t="shared" si="2"/>
        <v/>
      </c>
      <c r="E63" s="26" t="str">
        <f>IF(OR($C63="",'Tổng quan'!$B$6="",'Tổng quan'!$B$7=""),"",IF(OR($C63&lt;'Tổng quan'!$B$6,$C63&gt;'Tổng quan'!$B$7),"Ngoài kỳ","Tuần "&amp;(INT(($C63-'Tổng quan'!$B$6)/7)+1)))</f>
        <v/>
      </c>
      <c r="F63" s="29"/>
      <c r="G63" s="29"/>
      <c r="H63" s="27"/>
      <c r="I63" s="27"/>
      <c r="J63" s="29"/>
      <c r="K63" s="27"/>
      <c r="L63" s="27"/>
      <c r="M63" s="29"/>
      <c r="N63" s="29"/>
      <c r="O63" s="30"/>
      <c r="P63" s="30"/>
      <c r="Q63" s="28"/>
      <c r="R63" s="27"/>
      <c r="S63" s="26" t="str">
        <f>IF($F63="","",IF($R63="Hủy","Đã hủy",IF($R63="Đã đăng",IF($T63="","Đã đăng – thiếu link","Đã đăng"),IF($C63="","Chưa có ngày đăng",IF($C63&lt;'Tổng quan'!$H$11,"Trễ lịch đăng "&amp;('Tổng quan'!$H$11-$C63)&amp;" ngày",IF(AND($Q63&lt;&gt;"",$Q63&lt;'Tổng quan'!$H$11,OR($R63="Ý tưởng",$R63="Đang viết",$R63="")),"Trễ hạn nháp "&amp;('Tổng quan'!$H$11-$Q63)&amp;" ngày",IF($C63='Tổng quan'!$H$11,"Đăng hôm nay",IF($C63-'Tổng quan'!$H$11&lt;='Cài đặt'!$B$102,"Sắp đăng ("&amp;($C63-'Tổng quan'!$H$11)&amp;" ngày)","Còn "&amp;($C63-'Tổng quan'!$H$11)&amp;" ngày"))))))))</f>
        <v/>
      </c>
      <c r="T63" s="30"/>
      <c r="U63" s="32"/>
      <c r="V63" s="32"/>
      <c r="W63" s="33"/>
      <c r="X63" s="33"/>
      <c r="Y63" s="33"/>
      <c r="Z63" s="33"/>
      <c r="AA63" s="34" t="str">
        <f t="shared" si="3"/>
        <v/>
      </c>
      <c r="AB63" s="34" t="str">
        <f t="shared" si="4"/>
        <v/>
      </c>
      <c r="AC63" s="35" t="str">
        <f t="shared" si="5"/>
        <v/>
      </c>
      <c r="AD63" s="29"/>
    </row>
    <row r="64" ht="31.5" customHeight="1">
      <c r="A64" s="15" t="str">
        <f t="shared" si="1"/>
        <v/>
      </c>
      <c r="B64" s="16"/>
      <c r="C64" s="17"/>
      <c r="D64" s="15" t="str">
        <f t="shared" si="2"/>
        <v/>
      </c>
      <c r="E64" s="15" t="str">
        <f>IF(OR($C64="",'Tổng quan'!$B$6="",'Tổng quan'!$B$7=""),"",IF(OR($C64&lt;'Tổng quan'!$B$6,$C64&gt;'Tổng quan'!$B$7),"Ngoài kỳ","Tuần "&amp;(INT(($C64-'Tổng quan'!$B$6)/7)+1)))</f>
        <v/>
      </c>
      <c r="F64" s="19"/>
      <c r="G64" s="19"/>
      <c r="H64" s="16"/>
      <c r="I64" s="16"/>
      <c r="J64" s="19"/>
      <c r="K64" s="16"/>
      <c r="L64" s="16"/>
      <c r="M64" s="19"/>
      <c r="N64" s="19"/>
      <c r="O64" s="20"/>
      <c r="P64" s="20"/>
      <c r="Q64" s="17"/>
      <c r="R64" s="16"/>
      <c r="S64" s="15" t="str">
        <f>IF($F64="","",IF($R64="Hủy","Đã hủy",IF($R64="Đã đăng",IF($T64="","Đã đăng – thiếu link","Đã đăng"),IF($C64="","Chưa có ngày đăng",IF($C64&lt;'Tổng quan'!$H$11,"Trễ lịch đăng "&amp;('Tổng quan'!$H$11-$C64)&amp;" ngày",IF(AND($Q64&lt;&gt;"",$Q64&lt;'Tổng quan'!$H$11,OR($R64="Ý tưởng",$R64="Đang viết",$R64="")),"Trễ hạn nháp "&amp;('Tổng quan'!$H$11-$Q64)&amp;" ngày",IF($C64='Tổng quan'!$H$11,"Đăng hôm nay",IF($C64-'Tổng quan'!$H$11&lt;='Cài đặt'!$B$102,"Sắp đăng ("&amp;($C64-'Tổng quan'!$H$11)&amp;" ngày)","Còn "&amp;($C64-'Tổng quan'!$H$11)&amp;" ngày"))))))))</f>
        <v/>
      </c>
      <c r="T64" s="20"/>
      <c r="U64" s="22"/>
      <c r="V64" s="22"/>
      <c r="W64" s="23"/>
      <c r="X64" s="23"/>
      <c r="Y64" s="23"/>
      <c r="Z64" s="23"/>
      <c r="AA64" s="24" t="str">
        <f t="shared" si="3"/>
        <v/>
      </c>
      <c r="AB64" s="24" t="str">
        <f t="shared" si="4"/>
        <v/>
      </c>
      <c r="AC64" s="25" t="str">
        <f t="shared" si="5"/>
        <v/>
      </c>
      <c r="AD64" s="19"/>
    </row>
    <row r="65" ht="31.5" customHeight="1">
      <c r="A65" s="26" t="str">
        <f t="shared" si="1"/>
        <v/>
      </c>
      <c r="B65" s="27"/>
      <c r="C65" s="28"/>
      <c r="D65" s="26" t="str">
        <f t="shared" si="2"/>
        <v/>
      </c>
      <c r="E65" s="26" t="str">
        <f>IF(OR($C65="",'Tổng quan'!$B$6="",'Tổng quan'!$B$7=""),"",IF(OR($C65&lt;'Tổng quan'!$B$6,$C65&gt;'Tổng quan'!$B$7),"Ngoài kỳ","Tuần "&amp;(INT(($C65-'Tổng quan'!$B$6)/7)+1)))</f>
        <v/>
      </c>
      <c r="F65" s="29"/>
      <c r="G65" s="29"/>
      <c r="H65" s="27"/>
      <c r="I65" s="27"/>
      <c r="J65" s="29"/>
      <c r="K65" s="27"/>
      <c r="L65" s="27"/>
      <c r="M65" s="29"/>
      <c r="N65" s="29"/>
      <c r="O65" s="30"/>
      <c r="P65" s="30"/>
      <c r="Q65" s="28"/>
      <c r="R65" s="27"/>
      <c r="S65" s="26" t="str">
        <f>IF($F65="","",IF($R65="Hủy","Đã hủy",IF($R65="Đã đăng",IF($T65="","Đã đăng – thiếu link","Đã đăng"),IF($C65="","Chưa có ngày đăng",IF($C65&lt;'Tổng quan'!$H$11,"Trễ lịch đăng "&amp;('Tổng quan'!$H$11-$C65)&amp;" ngày",IF(AND($Q65&lt;&gt;"",$Q65&lt;'Tổng quan'!$H$11,OR($R65="Ý tưởng",$R65="Đang viết",$R65="")),"Trễ hạn nháp "&amp;('Tổng quan'!$H$11-$Q65)&amp;" ngày",IF($C65='Tổng quan'!$H$11,"Đăng hôm nay",IF($C65-'Tổng quan'!$H$11&lt;='Cài đặt'!$B$102,"Sắp đăng ("&amp;($C65-'Tổng quan'!$H$11)&amp;" ngày)","Còn "&amp;($C65-'Tổng quan'!$H$11)&amp;" ngày"))))))))</f>
        <v/>
      </c>
      <c r="T65" s="30"/>
      <c r="U65" s="32"/>
      <c r="V65" s="32"/>
      <c r="W65" s="33"/>
      <c r="X65" s="33"/>
      <c r="Y65" s="33"/>
      <c r="Z65" s="33"/>
      <c r="AA65" s="34" t="str">
        <f t="shared" si="3"/>
        <v/>
      </c>
      <c r="AB65" s="34" t="str">
        <f t="shared" si="4"/>
        <v/>
      </c>
      <c r="AC65" s="35" t="str">
        <f t="shared" si="5"/>
        <v/>
      </c>
      <c r="AD65" s="29"/>
    </row>
    <row r="66" ht="31.5" customHeight="1">
      <c r="A66" s="15" t="str">
        <f t="shared" si="1"/>
        <v/>
      </c>
      <c r="B66" s="16"/>
      <c r="C66" s="17"/>
      <c r="D66" s="15" t="str">
        <f t="shared" si="2"/>
        <v/>
      </c>
      <c r="E66" s="15" t="str">
        <f>IF(OR($C66="",'Tổng quan'!$B$6="",'Tổng quan'!$B$7=""),"",IF(OR($C66&lt;'Tổng quan'!$B$6,$C66&gt;'Tổng quan'!$B$7),"Ngoài kỳ","Tuần "&amp;(INT(($C66-'Tổng quan'!$B$6)/7)+1)))</f>
        <v/>
      </c>
      <c r="F66" s="19"/>
      <c r="G66" s="19"/>
      <c r="H66" s="16"/>
      <c r="I66" s="16"/>
      <c r="J66" s="19"/>
      <c r="K66" s="16"/>
      <c r="L66" s="16"/>
      <c r="M66" s="19"/>
      <c r="N66" s="19"/>
      <c r="O66" s="20"/>
      <c r="P66" s="20"/>
      <c r="Q66" s="17"/>
      <c r="R66" s="16"/>
      <c r="S66" s="15" t="str">
        <f>IF($F66="","",IF($R66="Hủy","Đã hủy",IF($R66="Đã đăng",IF($T66="","Đã đăng – thiếu link","Đã đăng"),IF($C66="","Chưa có ngày đăng",IF($C66&lt;'Tổng quan'!$H$11,"Trễ lịch đăng "&amp;('Tổng quan'!$H$11-$C66)&amp;" ngày",IF(AND($Q66&lt;&gt;"",$Q66&lt;'Tổng quan'!$H$11,OR($R66="Ý tưởng",$R66="Đang viết",$R66="")),"Trễ hạn nháp "&amp;('Tổng quan'!$H$11-$Q66)&amp;" ngày",IF($C66='Tổng quan'!$H$11,"Đăng hôm nay",IF($C66-'Tổng quan'!$H$11&lt;='Cài đặt'!$B$102,"Sắp đăng ("&amp;($C66-'Tổng quan'!$H$11)&amp;" ngày)","Còn "&amp;($C66-'Tổng quan'!$H$11)&amp;" ngày"))))))))</f>
        <v/>
      </c>
      <c r="T66" s="20"/>
      <c r="U66" s="22"/>
      <c r="V66" s="22"/>
      <c r="W66" s="23"/>
      <c r="X66" s="23"/>
      <c r="Y66" s="23"/>
      <c r="Z66" s="23"/>
      <c r="AA66" s="24" t="str">
        <f t="shared" si="3"/>
        <v/>
      </c>
      <c r="AB66" s="24" t="str">
        <f t="shared" si="4"/>
        <v/>
      </c>
      <c r="AC66" s="25" t="str">
        <f t="shared" si="5"/>
        <v/>
      </c>
      <c r="AD66" s="19"/>
    </row>
    <row r="67" ht="31.5" customHeight="1">
      <c r="A67" s="26" t="str">
        <f t="shared" si="1"/>
        <v/>
      </c>
      <c r="B67" s="27"/>
      <c r="C67" s="28"/>
      <c r="D67" s="26" t="str">
        <f t="shared" si="2"/>
        <v/>
      </c>
      <c r="E67" s="26" t="str">
        <f>IF(OR($C67="",'Tổng quan'!$B$6="",'Tổng quan'!$B$7=""),"",IF(OR($C67&lt;'Tổng quan'!$B$6,$C67&gt;'Tổng quan'!$B$7),"Ngoài kỳ","Tuần "&amp;(INT(($C67-'Tổng quan'!$B$6)/7)+1)))</f>
        <v/>
      </c>
      <c r="F67" s="29"/>
      <c r="G67" s="29"/>
      <c r="H67" s="27"/>
      <c r="I67" s="27"/>
      <c r="J67" s="29"/>
      <c r="K67" s="27"/>
      <c r="L67" s="27"/>
      <c r="M67" s="29"/>
      <c r="N67" s="29"/>
      <c r="O67" s="30"/>
      <c r="P67" s="30"/>
      <c r="Q67" s="28"/>
      <c r="R67" s="27"/>
      <c r="S67" s="26" t="str">
        <f>IF($F67="","",IF($R67="Hủy","Đã hủy",IF($R67="Đã đăng",IF($T67="","Đã đăng – thiếu link","Đã đăng"),IF($C67="","Chưa có ngày đăng",IF($C67&lt;'Tổng quan'!$H$11,"Trễ lịch đăng "&amp;('Tổng quan'!$H$11-$C67)&amp;" ngày",IF(AND($Q67&lt;&gt;"",$Q67&lt;'Tổng quan'!$H$11,OR($R67="Ý tưởng",$R67="Đang viết",$R67="")),"Trễ hạn nháp "&amp;('Tổng quan'!$H$11-$Q67)&amp;" ngày",IF($C67='Tổng quan'!$H$11,"Đăng hôm nay",IF($C67-'Tổng quan'!$H$11&lt;='Cài đặt'!$B$102,"Sắp đăng ("&amp;($C67-'Tổng quan'!$H$11)&amp;" ngày)","Còn "&amp;($C67-'Tổng quan'!$H$11)&amp;" ngày"))))))))</f>
        <v/>
      </c>
      <c r="T67" s="30"/>
      <c r="U67" s="32"/>
      <c r="V67" s="32"/>
      <c r="W67" s="33"/>
      <c r="X67" s="33"/>
      <c r="Y67" s="33"/>
      <c r="Z67" s="33"/>
      <c r="AA67" s="34" t="str">
        <f t="shared" si="3"/>
        <v/>
      </c>
      <c r="AB67" s="34" t="str">
        <f t="shared" si="4"/>
        <v/>
      </c>
      <c r="AC67" s="35" t="str">
        <f t="shared" si="5"/>
        <v/>
      </c>
      <c r="AD67" s="29"/>
    </row>
    <row r="68" ht="31.5" customHeight="1">
      <c r="A68" s="15" t="str">
        <f t="shared" si="1"/>
        <v/>
      </c>
      <c r="B68" s="16"/>
      <c r="C68" s="17"/>
      <c r="D68" s="15" t="str">
        <f t="shared" si="2"/>
        <v/>
      </c>
      <c r="E68" s="15" t="str">
        <f>IF(OR($C68="",'Tổng quan'!$B$6="",'Tổng quan'!$B$7=""),"",IF(OR($C68&lt;'Tổng quan'!$B$6,$C68&gt;'Tổng quan'!$B$7),"Ngoài kỳ","Tuần "&amp;(INT(($C68-'Tổng quan'!$B$6)/7)+1)))</f>
        <v/>
      </c>
      <c r="F68" s="19"/>
      <c r="G68" s="19"/>
      <c r="H68" s="16"/>
      <c r="I68" s="16"/>
      <c r="J68" s="19"/>
      <c r="K68" s="16"/>
      <c r="L68" s="16"/>
      <c r="M68" s="19"/>
      <c r="N68" s="19"/>
      <c r="O68" s="20"/>
      <c r="P68" s="20"/>
      <c r="Q68" s="17"/>
      <c r="R68" s="16"/>
      <c r="S68" s="15" t="str">
        <f>IF($F68="","",IF($R68="Hủy","Đã hủy",IF($R68="Đã đăng",IF($T68="","Đã đăng – thiếu link","Đã đăng"),IF($C68="","Chưa có ngày đăng",IF($C68&lt;'Tổng quan'!$H$11,"Trễ lịch đăng "&amp;('Tổng quan'!$H$11-$C68)&amp;" ngày",IF(AND($Q68&lt;&gt;"",$Q68&lt;'Tổng quan'!$H$11,OR($R68="Ý tưởng",$R68="Đang viết",$R68="")),"Trễ hạn nháp "&amp;('Tổng quan'!$H$11-$Q68)&amp;" ngày",IF($C68='Tổng quan'!$H$11,"Đăng hôm nay",IF($C68-'Tổng quan'!$H$11&lt;='Cài đặt'!$B$102,"Sắp đăng ("&amp;($C68-'Tổng quan'!$H$11)&amp;" ngày)","Còn "&amp;($C68-'Tổng quan'!$H$11)&amp;" ngày"))))))))</f>
        <v/>
      </c>
      <c r="T68" s="20"/>
      <c r="U68" s="22"/>
      <c r="V68" s="22"/>
      <c r="W68" s="23"/>
      <c r="X68" s="23"/>
      <c r="Y68" s="23"/>
      <c r="Z68" s="23"/>
      <c r="AA68" s="24" t="str">
        <f t="shared" si="3"/>
        <v/>
      </c>
      <c r="AB68" s="24" t="str">
        <f t="shared" si="4"/>
        <v/>
      </c>
      <c r="AC68" s="25" t="str">
        <f t="shared" si="5"/>
        <v/>
      </c>
      <c r="AD68" s="19"/>
    </row>
    <row r="69" ht="31.5" customHeight="1">
      <c r="A69" s="26" t="str">
        <f t="shared" si="1"/>
        <v/>
      </c>
      <c r="B69" s="27"/>
      <c r="C69" s="28"/>
      <c r="D69" s="26" t="str">
        <f t="shared" si="2"/>
        <v/>
      </c>
      <c r="E69" s="26" t="str">
        <f>IF(OR($C69="",'Tổng quan'!$B$6="",'Tổng quan'!$B$7=""),"",IF(OR($C69&lt;'Tổng quan'!$B$6,$C69&gt;'Tổng quan'!$B$7),"Ngoài kỳ","Tuần "&amp;(INT(($C69-'Tổng quan'!$B$6)/7)+1)))</f>
        <v/>
      </c>
      <c r="F69" s="29"/>
      <c r="G69" s="29"/>
      <c r="H69" s="27"/>
      <c r="I69" s="27"/>
      <c r="J69" s="29"/>
      <c r="K69" s="27"/>
      <c r="L69" s="27"/>
      <c r="M69" s="29"/>
      <c r="N69" s="29"/>
      <c r="O69" s="30"/>
      <c r="P69" s="30"/>
      <c r="Q69" s="28"/>
      <c r="R69" s="27"/>
      <c r="S69" s="26" t="str">
        <f>IF($F69="","",IF($R69="Hủy","Đã hủy",IF($R69="Đã đăng",IF($T69="","Đã đăng – thiếu link","Đã đăng"),IF($C69="","Chưa có ngày đăng",IF($C69&lt;'Tổng quan'!$H$11,"Trễ lịch đăng "&amp;('Tổng quan'!$H$11-$C69)&amp;" ngày",IF(AND($Q69&lt;&gt;"",$Q69&lt;'Tổng quan'!$H$11,OR($R69="Ý tưởng",$R69="Đang viết",$R69="")),"Trễ hạn nháp "&amp;('Tổng quan'!$H$11-$Q69)&amp;" ngày",IF($C69='Tổng quan'!$H$11,"Đăng hôm nay",IF($C69-'Tổng quan'!$H$11&lt;='Cài đặt'!$B$102,"Sắp đăng ("&amp;($C69-'Tổng quan'!$H$11)&amp;" ngày)","Còn "&amp;($C69-'Tổng quan'!$H$11)&amp;" ngày"))))))))</f>
        <v/>
      </c>
      <c r="T69" s="30"/>
      <c r="U69" s="32"/>
      <c r="V69" s="32"/>
      <c r="W69" s="33"/>
      <c r="X69" s="33"/>
      <c r="Y69" s="33"/>
      <c r="Z69" s="33"/>
      <c r="AA69" s="34" t="str">
        <f t="shared" si="3"/>
        <v/>
      </c>
      <c r="AB69" s="34" t="str">
        <f t="shared" si="4"/>
        <v/>
      </c>
      <c r="AC69" s="35" t="str">
        <f t="shared" si="5"/>
        <v/>
      </c>
      <c r="AD69" s="29"/>
    </row>
    <row r="70" ht="31.5" customHeight="1">
      <c r="A70" s="15" t="str">
        <f t="shared" si="1"/>
        <v/>
      </c>
      <c r="B70" s="16"/>
      <c r="C70" s="17"/>
      <c r="D70" s="15" t="str">
        <f t="shared" si="2"/>
        <v/>
      </c>
      <c r="E70" s="15" t="str">
        <f>IF(OR($C70="",'Tổng quan'!$B$6="",'Tổng quan'!$B$7=""),"",IF(OR($C70&lt;'Tổng quan'!$B$6,$C70&gt;'Tổng quan'!$B$7),"Ngoài kỳ","Tuần "&amp;(INT(($C70-'Tổng quan'!$B$6)/7)+1)))</f>
        <v/>
      </c>
      <c r="F70" s="19"/>
      <c r="G70" s="19"/>
      <c r="H70" s="16"/>
      <c r="I70" s="16"/>
      <c r="J70" s="19"/>
      <c r="K70" s="16"/>
      <c r="L70" s="16"/>
      <c r="M70" s="19"/>
      <c r="N70" s="19"/>
      <c r="O70" s="20"/>
      <c r="P70" s="20"/>
      <c r="Q70" s="17"/>
      <c r="R70" s="16"/>
      <c r="S70" s="15" t="str">
        <f>IF($F70="","",IF($R70="Hủy","Đã hủy",IF($R70="Đã đăng",IF($T70="","Đã đăng – thiếu link","Đã đăng"),IF($C70="","Chưa có ngày đăng",IF($C70&lt;'Tổng quan'!$H$11,"Trễ lịch đăng "&amp;('Tổng quan'!$H$11-$C70)&amp;" ngày",IF(AND($Q70&lt;&gt;"",$Q70&lt;'Tổng quan'!$H$11,OR($R70="Ý tưởng",$R70="Đang viết",$R70="")),"Trễ hạn nháp "&amp;('Tổng quan'!$H$11-$Q70)&amp;" ngày",IF($C70='Tổng quan'!$H$11,"Đăng hôm nay",IF($C70-'Tổng quan'!$H$11&lt;='Cài đặt'!$B$102,"Sắp đăng ("&amp;($C70-'Tổng quan'!$H$11)&amp;" ngày)","Còn "&amp;($C70-'Tổng quan'!$H$11)&amp;" ngày"))))))))</f>
        <v/>
      </c>
      <c r="T70" s="20"/>
      <c r="U70" s="22"/>
      <c r="V70" s="22"/>
      <c r="W70" s="23"/>
      <c r="X70" s="23"/>
      <c r="Y70" s="23"/>
      <c r="Z70" s="23"/>
      <c r="AA70" s="24" t="str">
        <f t="shared" si="3"/>
        <v/>
      </c>
      <c r="AB70" s="24" t="str">
        <f t="shared" si="4"/>
        <v/>
      </c>
      <c r="AC70" s="25" t="str">
        <f t="shared" si="5"/>
        <v/>
      </c>
      <c r="AD70" s="19"/>
    </row>
    <row r="71" ht="31.5" customHeight="1">
      <c r="A71" s="26" t="str">
        <f t="shared" si="1"/>
        <v/>
      </c>
      <c r="B71" s="27"/>
      <c r="C71" s="28"/>
      <c r="D71" s="26" t="str">
        <f t="shared" si="2"/>
        <v/>
      </c>
      <c r="E71" s="26" t="str">
        <f>IF(OR($C71="",'Tổng quan'!$B$6="",'Tổng quan'!$B$7=""),"",IF(OR($C71&lt;'Tổng quan'!$B$6,$C71&gt;'Tổng quan'!$B$7),"Ngoài kỳ","Tuần "&amp;(INT(($C71-'Tổng quan'!$B$6)/7)+1)))</f>
        <v/>
      </c>
      <c r="F71" s="29"/>
      <c r="G71" s="29"/>
      <c r="H71" s="27"/>
      <c r="I71" s="27"/>
      <c r="J71" s="29"/>
      <c r="K71" s="27"/>
      <c r="L71" s="27"/>
      <c r="M71" s="29"/>
      <c r="N71" s="29"/>
      <c r="O71" s="30"/>
      <c r="P71" s="30"/>
      <c r="Q71" s="28"/>
      <c r="R71" s="27"/>
      <c r="S71" s="26" t="str">
        <f>IF($F71="","",IF($R71="Hủy","Đã hủy",IF($R71="Đã đăng",IF($T71="","Đã đăng – thiếu link","Đã đăng"),IF($C71="","Chưa có ngày đăng",IF($C71&lt;'Tổng quan'!$H$11,"Trễ lịch đăng "&amp;('Tổng quan'!$H$11-$C71)&amp;" ngày",IF(AND($Q71&lt;&gt;"",$Q71&lt;'Tổng quan'!$H$11,OR($R71="Ý tưởng",$R71="Đang viết",$R71="")),"Trễ hạn nháp "&amp;('Tổng quan'!$H$11-$Q71)&amp;" ngày",IF($C71='Tổng quan'!$H$11,"Đăng hôm nay",IF($C71-'Tổng quan'!$H$11&lt;='Cài đặt'!$B$102,"Sắp đăng ("&amp;($C71-'Tổng quan'!$H$11)&amp;" ngày)","Còn "&amp;($C71-'Tổng quan'!$H$11)&amp;" ngày"))))))))</f>
        <v/>
      </c>
      <c r="T71" s="30"/>
      <c r="U71" s="32"/>
      <c r="V71" s="32"/>
      <c r="W71" s="33"/>
      <c r="X71" s="33"/>
      <c r="Y71" s="33"/>
      <c r="Z71" s="33"/>
      <c r="AA71" s="34" t="str">
        <f t="shared" si="3"/>
        <v/>
      </c>
      <c r="AB71" s="34" t="str">
        <f t="shared" si="4"/>
        <v/>
      </c>
      <c r="AC71" s="35" t="str">
        <f t="shared" si="5"/>
        <v/>
      </c>
      <c r="AD71" s="29"/>
    </row>
    <row r="72" ht="31.5" customHeight="1">
      <c r="A72" s="15" t="str">
        <f t="shared" si="1"/>
        <v/>
      </c>
      <c r="B72" s="16"/>
      <c r="C72" s="17"/>
      <c r="D72" s="15" t="str">
        <f t="shared" si="2"/>
        <v/>
      </c>
      <c r="E72" s="15" t="str">
        <f>IF(OR($C72="",'Tổng quan'!$B$6="",'Tổng quan'!$B$7=""),"",IF(OR($C72&lt;'Tổng quan'!$B$6,$C72&gt;'Tổng quan'!$B$7),"Ngoài kỳ","Tuần "&amp;(INT(($C72-'Tổng quan'!$B$6)/7)+1)))</f>
        <v/>
      </c>
      <c r="F72" s="19"/>
      <c r="G72" s="19"/>
      <c r="H72" s="16"/>
      <c r="I72" s="16"/>
      <c r="J72" s="19"/>
      <c r="K72" s="16"/>
      <c r="L72" s="16"/>
      <c r="M72" s="19"/>
      <c r="N72" s="19"/>
      <c r="O72" s="20"/>
      <c r="P72" s="20"/>
      <c r="Q72" s="17"/>
      <c r="R72" s="16"/>
      <c r="S72" s="15" t="str">
        <f>IF($F72="","",IF($R72="Hủy","Đã hủy",IF($R72="Đã đăng",IF($T72="","Đã đăng – thiếu link","Đã đăng"),IF($C72="","Chưa có ngày đăng",IF($C72&lt;'Tổng quan'!$H$11,"Trễ lịch đăng "&amp;('Tổng quan'!$H$11-$C72)&amp;" ngày",IF(AND($Q72&lt;&gt;"",$Q72&lt;'Tổng quan'!$H$11,OR($R72="Ý tưởng",$R72="Đang viết",$R72="")),"Trễ hạn nháp "&amp;('Tổng quan'!$H$11-$Q72)&amp;" ngày",IF($C72='Tổng quan'!$H$11,"Đăng hôm nay",IF($C72-'Tổng quan'!$H$11&lt;='Cài đặt'!$B$102,"Sắp đăng ("&amp;($C72-'Tổng quan'!$H$11)&amp;" ngày)","Còn "&amp;($C72-'Tổng quan'!$H$11)&amp;" ngày"))))))))</f>
        <v/>
      </c>
      <c r="T72" s="20"/>
      <c r="U72" s="22"/>
      <c r="V72" s="22"/>
      <c r="W72" s="23"/>
      <c r="X72" s="23"/>
      <c r="Y72" s="23"/>
      <c r="Z72" s="23"/>
      <c r="AA72" s="24" t="str">
        <f t="shared" si="3"/>
        <v/>
      </c>
      <c r="AB72" s="24" t="str">
        <f t="shared" si="4"/>
        <v/>
      </c>
      <c r="AC72" s="25" t="str">
        <f t="shared" si="5"/>
        <v/>
      </c>
      <c r="AD72" s="19"/>
    </row>
    <row r="73" ht="31.5" customHeight="1">
      <c r="A73" s="26" t="str">
        <f t="shared" si="1"/>
        <v/>
      </c>
      <c r="B73" s="27"/>
      <c r="C73" s="28"/>
      <c r="D73" s="26" t="str">
        <f t="shared" si="2"/>
        <v/>
      </c>
      <c r="E73" s="26" t="str">
        <f>IF(OR($C73="",'Tổng quan'!$B$6="",'Tổng quan'!$B$7=""),"",IF(OR($C73&lt;'Tổng quan'!$B$6,$C73&gt;'Tổng quan'!$B$7),"Ngoài kỳ","Tuần "&amp;(INT(($C73-'Tổng quan'!$B$6)/7)+1)))</f>
        <v/>
      </c>
      <c r="F73" s="29"/>
      <c r="G73" s="29"/>
      <c r="H73" s="27"/>
      <c r="I73" s="27"/>
      <c r="J73" s="29"/>
      <c r="K73" s="27"/>
      <c r="L73" s="27"/>
      <c r="M73" s="29"/>
      <c r="N73" s="29"/>
      <c r="O73" s="30"/>
      <c r="P73" s="30"/>
      <c r="Q73" s="28"/>
      <c r="R73" s="27"/>
      <c r="S73" s="26" t="str">
        <f>IF($F73="","",IF($R73="Hủy","Đã hủy",IF($R73="Đã đăng",IF($T73="","Đã đăng – thiếu link","Đã đăng"),IF($C73="","Chưa có ngày đăng",IF($C73&lt;'Tổng quan'!$H$11,"Trễ lịch đăng "&amp;('Tổng quan'!$H$11-$C73)&amp;" ngày",IF(AND($Q73&lt;&gt;"",$Q73&lt;'Tổng quan'!$H$11,OR($R73="Ý tưởng",$R73="Đang viết",$R73="")),"Trễ hạn nháp "&amp;('Tổng quan'!$H$11-$Q73)&amp;" ngày",IF($C73='Tổng quan'!$H$11,"Đăng hôm nay",IF($C73-'Tổng quan'!$H$11&lt;='Cài đặt'!$B$102,"Sắp đăng ("&amp;($C73-'Tổng quan'!$H$11)&amp;" ngày)","Còn "&amp;($C73-'Tổng quan'!$H$11)&amp;" ngày"))))))))</f>
        <v/>
      </c>
      <c r="T73" s="30"/>
      <c r="U73" s="32"/>
      <c r="V73" s="32"/>
      <c r="W73" s="33"/>
      <c r="X73" s="33"/>
      <c r="Y73" s="33"/>
      <c r="Z73" s="33"/>
      <c r="AA73" s="34" t="str">
        <f t="shared" si="3"/>
        <v/>
      </c>
      <c r="AB73" s="34" t="str">
        <f t="shared" si="4"/>
        <v/>
      </c>
      <c r="AC73" s="35" t="str">
        <f t="shared" si="5"/>
        <v/>
      </c>
      <c r="AD73" s="29"/>
    </row>
    <row r="74" ht="31.5" customHeight="1">
      <c r="A74" s="15" t="str">
        <f t="shared" si="1"/>
        <v/>
      </c>
      <c r="B74" s="16"/>
      <c r="C74" s="17"/>
      <c r="D74" s="15" t="str">
        <f t="shared" si="2"/>
        <v/>
      </c>
      <c r="E74" s="15" t="str">
        <f>IF(OR($C74="",'Tổng quan'!$B$6="",'Tổng quan'!$B$7=""),"",IF(OR($C74&lt;'Tổng quan'!$B$6,$C74&gt;'Tổng quan'!$B$7),"Ngoài kỳ","Tuần "&amp;(INT(($C74-'Tổng quan'!$B$6)/7)+1)))</f>
        <v/>
      </c>
      <c r="F74" s="19"/>
      <c r="G74" s="19"/>
      <c r="H74" s="16"/>
      <c r="I74" s="16"/>
      <c r="J74" s="19"/>
      <c r="K74" s="16"/>
      <c r="L74" s="16"/>
      <c r="M74" s="19"/>
      <c r="N74" s="19"/>
      <c r="O74" s="20"/>
      <c r="P74" s="20"/>
      <c r="Q74" s="17"/>
      <c r="R74" s="16"/>
      <c r="S74" s="15" t="str">
        <f>IF($F74="","",IF($R74="Hủy","Đã hủy",IF($R74="Đã đăng",IF($T74="","Đã đăng – thiếu link","Đã đăng"),IF($C74="","Chưa có ngày đăng",IF($C74&lt;'Tổng quan'!$H$11,"Trễ lịch đăng "&amp;('Tổng quan'!$H$11-$C74)&amp;" ngày",IF(AND($Q74&lt;&gt;"",$Q74&lt;'Tổng quan'!$H$11,OR($R74="Ý tưởng",$R74="Đang viết",$R74="")),"Trễ hạn nháp "&amp;('Tổng quan'!$H$11-$Q74)&amp;" ngày",IF($C74='Tổng quan'!$H$11,"Đăng hôm nay",IF($C74-'Tổng quan'!$H$11&lt;='Cài đặt'!$B$102,"Sắp đăng ("&amp;($C74-'Tổng quan'!$H$11)&amp;" ngày)","Còn "&amp;($C74-'Tổng quan'!$H$11)&amp;" ngày"))))))))</f>
        <v/>
      </c>
      <c r="T74" s="20"/>
      <c r="U74" s="22"/>
      <c r="V74" s="22"/>
      <c r="W74" s="23"/>
      <c r="X74" s="23"/>
      <c r="Y74" s="23"/>
      <c r="Z74" s="23"/>
      <c r="AA74" s="24" t="str">
        <f t="shared" si="3"/>
        <v/>
      </c>
      <c r="AB74" s="24" t="str">
        <f t="shared" si="4"/>
        <v/>
      </c>
      <c r="AC74" s="25" t="str">
        <f t="shared" si="5"/>
        <v/>
      </c>
      <c r="AD74" s="19"/>
    </row>
    <row r="75" ht="31.5" customHeight="1">
      <c r="A75" s="26" t="str">
        <f t="shared" si="1"/>
        <v/>
      </c>
      <c r="B75" s="27"/>
      <c r="C75" s="28"/>
      <c r="D75" s="26" t="str">
        <f t="shared" si="2"/>
        <v/>
      </c>
      <c r="E75" s="26" t="str">
        <f>IF(OR($C75="",'Tổng quan'!$B$6="",'Tổng quan'!$B$7=""),"",IF(OR($C75&lt;'Tổng quan'!$B$6,$C75&gt;'Tổng quan'!$B$7),"Ngoài kỳ","Tuần "&amp;(INT(($C75-'Tổng quan'!$B$6)/7)+1)))</f>
        <v/>
      </c>
      <c r="F75" s="29"/>
      <c r="G75" s="29"/>
      <c r="H75" s="27"/>
      <c r="I75" s="27"/>
      <c r="J75" s="29"/>
      <c r="K75" s="27"/>
      <c r="L75" s="27"/>
      <c r="M75" s="29"/>
      <c r="N75" s="29"/>
      <c r="O75" s="30"/>
      <c r="P75" s="30"/>
      <c r="Q75" s="28"/>
      <c r="R75" s="27"/>
      <c r="S75" s="26" t="str">
        <f>IF($F75="","",IF($R75="Hủy","Đã hủy",IF($R75="Đã đăng",IF($T75="","Đã đăng – thiếu link","Đã đăng"),IF($C75="","Chưa có ngày đăng",IF($C75&lt;'Tổng quan'!$H$11,"Trễ lịch đăng "&amp;('Tổng quan'!$H$11-$C75)&amp;" ngày",IF(AND($Q75&lt;&gt;"",$Q75&lt;'Tổng quan'!$H$11,OR($R75="Ý tưởng",$R75="Đang viết",$R75="")),"Trễ hạn nháp "&amp;('Tổng quan'!$H$11-$Q75)&amp;" ngày",IF($C75='Tổng quan'!$H$11,"Đăng hôm nay",IF($C75-'Tổng quan'!$H$11&lt;='Cài đặt'!$B$102,"Sắp đăng ("&amp;($C75-'Tổng quan'!$H$11)&amp;" ngày)","Còn "&amp;($C75-'Tổng quan'!$H$11)&amp;" ngày"))))))))</f>
        <v/>
      </c>
      <c r="T75" s="30"/>
      <c r="U75" s="32"/>
      <c r="V75" s="32"/>
      <c r="W75" s="33"/>
      <c r="X75" s="33"/>
      <c r="Y75" s="33"/>
      <c r="Z75" s="33"/>
      <c r="AA75" s="34" t="str">
        <f t="shared" si="3"/>
        <v/>
      </c>
      <c r="AB75" s="34" t="str">
        <f t="shared" si="4"/>
        <v/>
      </c>
      <c r="AC75" s="35" t="str">
        <f t="shared" si="5"/>
        <v/>
      </c>
      <c r="AD75" s="29"/>
    </row>
    <row r="76" ht="31.5" customHeight="1">
      <c r="A76" s="15" t="str">
        <f t="shared" si="1"/>
        <v/>
      </c>
      <c r="B76" s="16"/>
      <c r="C76" s="17"/>
      <c r="D76" s="15" t="str">
        <f t="shared" si="2"/>
        <v/>
      </c>
      <c r="E76" s="15" t="str">
        <f>IF(OR($C76="",'Tổng quan'!$B$6="",'Tổng quan'!$B$7=""),"",IF(OR($C76&lt;'Tổng quan'!$B$6,$C76&gt;'Tổng quan'!$B$7),"Ngoài kỳ","Tuần "&amp;(INT(($C76-'Tổng quan'!$B$6)/7)+1)))</f>
        <v/>
      </c>
      <c r="F76" s="19"/>
      <c r="G76" s="19"/>
      <c r="H76" s="16"/>
      <c r="I76" s="16"/>
      <c r="J76" s="19"/>
      <c r="K76" s="16"/>
      <c r="L76" s="16"/>
      <c r="M76" s="19"/>
      <c r="N76" s="19"/>
      <c r="O76" s="20"/>
      <c r="P76" s="20"/>
      <c r="Q76" s="17"/>
      <c r="R76" s="16"/>
      <c r="S76" s="15" t="str">
        <f>IF($F76="","",IF($R76="Hủy","Đã hủy",IF($R76="Đã đăng",IF($T76="","Đã đăng – thiếu link","Đã đăng"),IF($C76="","Chưa có ngày đăng",IF($C76&lt;'Tổng quan'!$H$11,"Trễ lịch đăng "&amp;('Tổng quan'!$H$11-$C76)&amp;" ngày",IF(AND($Q76&lt;&gt;"",$Q76&lt;'Tổng quan'!$H$11,OR($R76="Ý tưởng",$R76="Đang viết",$R76="")),"Trễ hạn nháp "&amp;('Tổng quan'!$H$11-$Q76)&amp;" ngày",IF($C76='Tổng quan'!$H$11,"Đăng hôm nay",IF($C76-'Tổng quan'!$H$11&lt;='Cài đặt'!$B$102,"Sắp đăng ("&amp;($C76-'Tổng quan'!$H$11)&amp;" ngày)","Còn "&amp;($C76-'Tổng quan'!$H$11)&amp;" ngày"))))))))</f>
        <v/>
      </c>
      <c r="T76" s="20"/>
      <c r="U76" s="22"/>
      <c r="V76" s="22"/>
      <c r="W76" s="23"/>
      <c r="X76" s="23"/>
      <c r="Y76" s="23"/>
      <c r="Z76" s="23"/>
      <c r="AA76" s="24" t="str">
        <f t="shared" si="3"/>
        <v/>
      </c>
      <c r="AB76" s="24" t="str">
        <f t="shared" si="4"/>
        <v/>
      </c>
      <c r="AC76" s="25" t="str">
        <f t="shared" si="5"/>
        <v/>
      </c>
      <c r="AD76" s="19"/>
    </row>
    <row r="77" ht="31.5" customHeight="1">
      <c r="A77" s="26" t="str">
        <f t="shared" si="1"/>
        <v/>
      </c>
      <c r="B77" s="27"/>
      <c r="C77" s="28"/>
      <c r="D77" s="26" t="str">
        <f t="shared" si="2"/>
        <v/>
      </c>
      <c r="E77" s="26" t="str">
        <f>IF(OR($C77="",'Tổng quan'!$B$6="",'Tổng quan'!$B$7=""),"",IF(OR($C77&lt;'Tổng quan'!$B$6,$C77&gt;'Tổng quan'!$B$7),"Ngoài kỳ","Tuần "&amp;(INT(($C77-'Tổng quan'!$B$6)/7)+1)))</f>
        <v/>
      </c>
      <c r="F77" s="29"/>
      <c r="G77" s="29"/>
      <c r="H77" s="27"/>
      <c r="I77" s="27"/>
      <c r="J77" s="29"/>
      <c r="K77" s="27"/>
      <c r="L77" s="27"/>
      <c r="M77" s="29"/>
      <c r="N77" s="29"/>
      <c r="O77" s="30"/>
      <c r="P77" s="30"/>
      <c r="Q77" s="28"/>
      <c r="R77" s="27"/>
      <c r="S77" s="26" t="str">
        <f>IF($F77="","",IF($R77="Hủy","Đã hủy",IF($R77="Đã đăng",IF($T77="","Đã đăng – thiếu link","Đã đăng"),IF($C77="","Chưa có ngày đăng",IF($C77&lt;'Tổng quan'!$H$11,"Trễ lịch đăng "&amp;('Tổng quan'!$H$11-$C77)&amp;" ngày",IF(AND($Q77&lt;&gt;"",$Q77&lt;'Tổng quan'!$H$11,OR($R77="Ý tưởng",$R77="Đang viết",$R77="")),"Trễ hạn nháp "&amp;('Tổng quan'!$H$11-$Q77)&amp;" ngày",IF($C77='Tổng quan'!$H$11,"Đăng hôm nay",IF($C77-'Tổng quan'!$H$11&lt;='Cài đặt'!$B$102,"Sắp đăng ("&amp;($C77-'Tổng quan'!$H$11)&amp;" ngày)","Còn "&amp;($C77-'Tổng quan'!$H$11)&amp;" ngày"))))))))</f>
        <v/>
      </c>
      <c r="T77" s="30"/>
      <c r="U77" s="32"/>
      <c r="V77" s="32"/>
      <c r="W77" s="33"/>
      <c r="X77" s="33"/>
      <c r="Y77" s="33"/>
      <c r="Z77" s="33"/>
      <c r="AA77" s="34" t="str">
        <f t="shared" si="3"/>
        <v/>
      </c>
      <c r="AB77" s="34" t="str">
        <f t="shared" si="4"/>
        <v/>
      </c>
      <c r="AC77" s="35" t="str">
        <f t="shared" si="5"/>
        <v/>
      </c>
      <c r="AD77" s="29"/>
    </row>
    <row r="78" ht="31.5" customHeight="1">
      <c r="A78" s="15" t="str">
        <f t="shared" si="1"/>
        <v/>
      </c>
      <c r="B78" s="16"/>
      <c r="C78" s="17"/>
      <c r="D78" s="15" t="str">
        <f t="shared" si="2"/>
        <v/>
      </c>
      <c r="E78" s="15" t="str">
        <f>IF(OR($C78="",'Tổng quan'!$B$6="",'Tổng quan'!$B$7=""),"",IF(OR($C78&lt;'Tổng quan'!$B$6,$C78&gt;'Tổng quan'!$B$7),"Ngoài kỳ","Tuần "&amp;(INT(($C78-'Tổng quan'!$B$6)/7)+1)))</f>
        <v/>
      </c>
      <c r="F78" s="19"/>
      <c r="G78" s="19"/>
      <c r="H78" s="16"/>
      <c r="I78" s="16"/>
      <c r="J78" s="19"/>
      <c r="K78" s="16"/>
      <c r="L78" s="16"/>
      <c r="M78" s="19"/>
      <c r="N78" s="19"/>
      <c r="O78" s="20"/>
      <c r="P78" s="20"/>
      <c r="Q78" s="17"/>
      <c r="R78" s="16"/>
      <c r="S78" s="15" t="str">
        <f>IF($F78="","",IF($R78="Hủy","Đã hủy",IF($R78="Đã đăng",IF($T78="","Đã đăng – thiếu link","Đã đăng"),IF($C78="","Chưa có ngày đăng",IF($C78&lt;'Tổng quan'!$H$11,"Trễ lịch đăng "&amp;('Tổng quan'!$H$11-$C78)&amp;" ngày",IF(AND($Q78&lt;&gt;"",$Q78&lt;'Tổng quan'!$H$11,OR($R78="Ý tưởng",$R78="Đang viết",$R78="")),"Trễ hạn nháp "&amp;('Tổng quan'!$H$11-$Q78)&amp;" ngày",IF($C78='Tổng quan'!$H$11,"Đăng hôm nay",IF($C78-'Tổng quan'!$H$11&lt;='Cài đặt'!$B$102,"Sắp đăng ("&amp;($C78-'Tổng quan'!$H$11)&amp;" ngày)","Còn "&amp;($C78-'Tổng quan'!$H$11)&amp;" ngày"))))))))</f>
        <v/>
      </c>
      <c r="T78" s="20"/>
      <c r="U78" s="22"/>
      <c r="V78" s="22"/>
      <c r="W78" s="23"/>
      <c r="X78" s="23"/>
      <c r="Y78" s="23"/>
      <c r="Z78" s="23"/>
      <c r="AA78" s="24" t="str">
        <f t="shared" si="3"/>
        <v/>
      </c>
      <c r="AB78" s="24" t="str">
        <f t="shared" si="4"/>
        <v/>
      </c>
      <c r="AC78" s="25" t="str">
        <f t="shared" si="5"/>
        <v/>
      </c>
      <c r="AD78" s="19"/>
    </row>
    <row r="79" ht="31.5" customHeight="1">
      <c r="A79" s="26" t="str">
        <f t="shared" si="1"/>
        <v/>
      </c>
      <c r="B79" s="27"/>
      <c r="C79" s="28"/>
      <c r="D79" s="26" t="str">
        <f t="shared" si="2"/>
        <v/>
      </c>
      <c r="E79" s="26" t="str">
        <f>IF(OR($C79="",'Tổng quan'!$B$6="",'Tổng quan'!$B$7=""),"",IF(OR($C79&lt;'Tổng quan'!$B$6,$C79&gt;'Tổng quan'!$B$7),"Ngoài kỳ","Tuần "&amp;(INT(($C79-'Tổng quan'!$B$6)/7)+1)))</f>
        <v/>
      </c>
      <c r="F79" s="29"/>
      <c r="G79" s="29"/>
      <c r="H79" s="27"/>
      <c r="I79" s="27"/>
      <c r="J79" s="29"/>
      <c r="K79" s="27"/>
      <c r="L79" s="27"/>
      <c r="M79" s="29"/>
      <c r="N79" s="29"/>
      <c r="O79" s="30"/>
      <c r="P79" s="30"/>
      <c r="Q79" s="28"/>
      <c r="R79" s="27"/>
      <c r="S79" s="26" t="str">
        <f>IF($F79="","",IF($R79="Hủy","Đã hủy",IF($R79="Đã đăng",IF($T79="","Đã đăng – thiếu link","Đã đăng"),IF($C79="","Chưa có ngày đăng",IF($C79&lt;'Tổng quan'!$H$11,"Trễ lịch đăng "&amp;('Tổng quan'!$H$11-$C79)&amp;" ngày",IF(AND($Q79&lt;&gt;"",$Q79&lt;'Tổng quan'!$H$11,OR($R79="Ý tưởng",$R79="Đang viết",$R79="")),"Trễ hạn nháp "&amp;('Tổng quan'!$H$11-$Q79)&amp;" ngày",IF($C79='Tổng quan'!$H$11,"Đăng hôm nay",IF($C79-'Tổng quan'!$H$11&lt;='Cài đặt'!$B$102,"Sắp đăng ("&amp;($C79-'Tổng quan'!$H$11)&amp;" ngày)","Còn "&amp;($C79-'Tổng quan'!$H$11)&amp;" ngày"))))))))</f>
        <v/>
      </c>
      <c r="T79" s="30"/>
      <c r="U79" s="32"/>
      <c r="V79" s="32"/>
      <c r="W79" s="33"/>
      <c r="X79" s="33"/>
      <c r="Y79" s="33"/>
      <c r="Z79" s="33"/>
      <c r="AA79" s="34" t="str">
        <f t="shared" si="3"/>
        <v/>
      </c>
      <c r="AB79" s="34" t="str">
        <f t="shared" si="4"/>
        <v/>
      </c>
      <c r="AC79" s="35" t="str">
        <f t="shared" si="5"/>
        <v/>
      </c>
      <c r="AD79" s="29"/>
    </row>
    <row r="80" ht="31.5" customHeight="1">
      <c r="A80" s="15" t="str">
        <f t="shared" si="1"/>
        <v/>
      </c>
      <c r="B80" s="16"/>
      <c r="C80" s="17"/>
      <c r="D80" s="15" t="str">
        <f t="shared" si="2"/>
        <v/>
      </c>
      <c r="E80" s="15" t="str">
        <f>IF(OR($C80="",'Tổng quan'!$B$6="",'Tổng quan'!$B$7=""),"",IF(OR($C80&lt;'Tổng quan'!$B$6,$C80&gt;'Tổng quan'!$B$7),"Ngoài kỳ","Tuần "&amp;(INT(($C80-'Tổng quan'!$B$6)/7)+1)))</f>
        <v/>
      </c>
      <c r="F80" s="19"/>
      <c r="G80" s="19"/>
      <c r="H80" s="16"/>
      <c r="I80" s="16"/>
      <c r="J80" s="19"/>
      <c r="K80" s="16"/>
      <c r="L80" s="16"/>
      <c r="M80" s="19"/>
      <c r="N80" s="19"/>
      <c r="O80" s="20"/>
      <c r="P80" s="20"/>
      <c r="Q80" s="17"/>
      <c r="R80" s="16"/>
      <c r="S80" s="15" t="str">
        <f>IF($F80="","",IF($R80="Hủy","Đã hủy",IF($R80="Đã đăng",IF($T80="","Đã đăng – thiếu link","Đã đăng"),IF($C80="","Chưa có ngày đăng",IF($C80&lt;'Tổng quan'!$H$11,"Trễ lịch đăng "&amp;('Tổng quan'!$H$11-$C80)&amp;" ngày",IF(AND($Q80&lt;&gt;"",$Q80&lt;'Tổng quan'!$H$11,OR($R80="Ý tưởng",$R80="Đang viết",$R80="")),"Trễ hạn nháp "&amp;('Tổng quan'!$H$11-$Q80)&amp;" ngày",IF($C80='Tổng quan'!$H$11,"Đăng hôm nay",IF($C80-'Tổng quan'!$H$11&lt;='Cài đặt'!$B$102,"Sắp đăng ("&amp;($C80-'Tổng quan'!$H$11)&amp;" ngày)","Còn "&amp;($C80-'Tổng quan'!$H$11)&amp;" ngày"))))))))</f>
        <v/>
      </c>
      <c r="T80" s="20"/>
      <c r="U80" s="22"/>
      <c r="V80" s="22"/>
      <c r="W80" s="23"/>
      <c r="X80" s="23"/>
      <c r="Y80" s="23"/>
      <c r="Z80" s="23"/>
      <c r="AA80" s="24" t="str">
        <f t="shared" si="3"/>
        <v/>
      </c>
      <c r="AB80" s="24" t="str">
        <f t="shared" si="4"/>
        <v/>
      </c>
      <c r="AC80" s="25" t="str">
        <f t="shared" si="5"/>
        <v/>
      </c>
      <c r="AD80" s="19"/>
    </row>
    <row r="81" ht="31.5" customHeight="1">
      <c r="A81" s="26" t="str">
        <f t="shared" si="1"/>
        <v/>
      </c>
      <c r="B81" s="27"/>
      <c r="C81" s="28"/>
      <c r="D81" s="26" t="str">
        <f t="shared" si="2"/>
        <v/>
      </c>
      <c r="E81" s="26" t="str">
        <f>IF(OR($C81="",'Tổng quan'!$B$6="",'Tổng quan'!$B$7=""),"",IF(OR($C81&lt;'Tổng quan'!$B$6,$C81&gt;'Tổng quan'!$B$7),"Ngoài kỳ","Tuần "&amp;(INT(($C81-'Tổng quan'!$B$6)/7)+1)))</f>
        <v/>
      </c>
      <c r="F81" s="29"/>
      <c r="G81" s="29"/>
      <c r="H81" s="27"/>
      <c r="I81" s="27"/>
      <c r="J81" s="29"/>
      <c r="K81" s="27"/>
      <c r="L81" s="27"/>
      <c r="M81" s="29"/>
      <c r="N81" s="29"/>
      <c r="O81" s="30"/>
      <c r="P81" s="30"/>
      <c r="Q81" s="28"/>
      <c r="R81" s="27"/>
      <c r="S81" s="26" t="str">
        <f>IF($F81="","",IF($R81="Hủy","Đã hủy",IF($R81="Đã đăng",IF($T81="","Đã đăng – thiếu link","Đã đăng"),IF($C81="","Chưa có ngày đăng",IF($C81&lt;'Tổng quan'!$H$11,"Trễ lịch đăng "&amp;('Tổng quan'!$H$11-$C81)&amp;" ngày",IF(AND($Q81&lt;&gt;"",$Q81&lt;'Tổng quan'!$H$11,OR($R81="Ý tưởng",$R81="Đang viết",$R81="")),"Trễ hạn nháp "&amp;('Tổng quan'!$H$11-$Q81)&amp;" ngày",IF($C81='Tổng quan'!$H$11,"Đăng hôm nay",IF($C81-'Tổng quan'!$H$11&lt;='Cài đặt'!$B$102,"Sắp đăng ("&amp;($C81-'Tổng quan'!$H$11)&amp;" ngày)","Còn "&amp;($C81-'Tổng quan'!$H$11)&amp;" ngày"))))))))</f>
        <v/>
      </c>
      <c r="T81" s="30"/>
      <c r="U81" s="32"/>
      <c r="V81" s="32"/>
      <c r="W81" s="33"/>
      <c r="X81" s="33"/>
      <c r="Y81" s="33"/>
      <c r="Z81" s="33"/>
      <c r="AA81" s="34" t="str">
        <f t="shared" si="3"/>
        <v/>
      </c>
      <c r="AB81" s="34" t="str">
        <f t="shared" si="4"/>
        <v/>
      </c>
      <c r="AC81" s="35" t="str">
        <f t="shared" si="5"/>
        <v/>
      </c>
      <c r="AD81" s="29"/>
    </row>
    <row r="82" ht="31.5" customHeight="1">
      <c r="A82" s="15" t="str">
        <f t="shared" si="1"/>
        <v/>
      </c>
      <c r="B82" s="16"/>
      <c r="C82" s="17"/>
      <c r="D82" s="15" t="str">
        <f t="shared" si="2"/>
        <v/>
      </c>
      <c r="E82" s="15" t="str">
        <f>IF(OR($C82="",'Tổng quan'!$B$6="",'Tổng quan'!$B$7=""),"",IF(OR($C82&lt;'Tổng quan'!$B$6,$C82&gt;'Tổng quan'!$B$7),"Ngoài kỳ","Tuần "&amp;(INT(($C82-'Tổng quan'!$B$6)/7)+1)))</f>
        <v/>
      </c>
      <c r="F82" s="19"/>
      <c r="G82" s="19"/>
      <c r="H82" s="16"/>
      <c r="I82" s="16"/>
      <c r="J82" s="19"/>
      <c r="K82" s="16"/>
      <c r="L82" s="16"/>
      <c r="M82" s="19"/>
      <c r="N82" s="19"/>
      <c r="O82" s="20"/>
      <c r="P82" s="20"/>
      <c r="Q82" s="17"/>
      <c r="R82" s="16"/>
      <c r="S82" s="15" t="str">
        <f>IF($F82="","",IF($R82="Hủy","Đã hủy",IF($R82="Đã đăng",IF($T82="","Đã đăng – thiếu link","Đã đăng"),IF($C82="","Chưa có ngày đăng",IF($C82&lt;'Tổng quan'!$H$11,"Trễ lịch đăng "&amp;('Tổng quan'!$H$11-$C82)&amp;" ngày",IF(AND($Q82&lt;&gt;"",$Q82&lt;'Tổng quan'!$H$11,OR($R82="Ý tưởng",$R82="Đang viết",$R82="")),"Trễ hạn nháp "&amp;('Tổng quan'!$H$11-$Q82)&amp;" ngày",IF($C82='Tổng quan'!$H$11,"Đăng hôm nay",IF($C82-'Tổng quan'!$H$11&lt;='Cài đặt'!$B$102,"Sắp đăng ("&amp;($C82-'Tổng quan'!$H$11)&amp;" ngày)","Còn "&amp;($C82-'Tổng quan'!$H$11)&amp;" ngày"))))))))</f>
        <v/>
      </c>
      <c r="T82" s="20"/>
      <c r="U82" s="22"/>
      <c r="V82" s="22"/>
      <c r="W82" s="23"/>
      <c r="X82" s="23"/>
      <c r="Y82" s="23"/>
      <c r="Z82" s="23"/>
      <c r="AA82" s="24" t="str">
        <f t="shared" si="3"/>
        <v/>
      </c>
      <c r="AB82" s="24" t="str">
        <f t="shared" si="4"/>
        <v/>
      </c>
      <c r="AC82" s="25" t="str">
        <f t="shared" si="5"/>
        <v/>
      </c>
      <c r="AD82" s="19"/>
    </row>
    <row r="83" ht="31.5" customHeight="1">
      <c r="A83" s="26" t="str">
        <f t="shared" si="1"/>
        <v/>
      </c>
      <c r="B83" s="27"/>
      <c r="C83" s="28"/>
      <c r="D83" s="26" t="str">
        <f t="shared" si="2"/>
        <v/>
      </c>
      <c r="E83" s="26" t="str">
        <f>IF(OR($C83="",'Tổng quan'!$B$6="",'Tổng quan'!$B$7=""),"",IF(OR($C83&lt;'Tổng quan'!$B$6,$C83&gt;'Tổng quan'!$B$7),"Ngoài kỳ","Tuần "&amp;(INT(($C83-'Tổng quan'!$B$6)/7)+1)))</f>
        <v/>
      </c>
      <c r="F83" s="29"/>
      <c r="G83" s="29"/>
      <c r="H83" s="27"/>
      <c r="I83" s="27"/>
      <c r="J83" s="29"/>
      <c r="K83" s="27"/>
      <c r="L83" s="27"/>
      <c r="M83" s="29"/>
      <c r="N83" s="29"/>
      <c r="O83" s="30"/>
      <c r="P83" s="30"/>
      <c r="Q83" s="28"/>
      <c r="R83" s="27"/>
      <c r="S83" s="26" t="str">
        <f>IF($F83="","",IF($R83="Hủy","Đã hủy",IF($R83="Đã đăng",IF($T83="","Đã đăng – thiếu link","Đã đăng"),IF($C83="","Chưa có ngày đăng",IF($C83&lt;'Tổng quan'!$H$11,"Trễ lịch đăng "&amp;('Tổng quan'!$H$11-$C83)&amp;" ngày",IF(AND($Q83&lt;&gt;"",$Q83&lt;'Tổng quan'!$H$11,OR($R83="Ý tưởng",$R83="Đang viết",$R83="")),"Trễ hạn nháp "&amp;('Tổng quan'!$H$11-$Q83)&amp;" ngày",IF($C83='Tổng quan'!$H$11,"Đăng hôm nay",IF($C83-'Tổng quan'!$H$11&lt;='Cài đặt'!$B$102,"Sắp đăng ("&amp;($C83-'Tổng quan'!$H$11)&amp;" ngày)","Còn "&amp;($C83-'Tổng quan'!$H$11)&amp;" ngày"))))))))</f>
        <v/>
      </c>
      <c r="T83" s="30"/>
      <c r="U83" s="32"/>
      <c r="V83" s="32"/>
      <c r="W83" s="33"/>
      <c r="X83" s="33"/>
      <c r="Y83" s="33"/>
      <c r="Z83" s="33"/>
      <c r="AA83" s="34" t="str">
        <f t="shared" si="3"/>
        <v/>
      </c>
      <c r="AB83" s="34" t="str">
        <f t="shared" si="4"/>
        <v/>
      </c>
      <c r="AC83" s="35" t="str">
        <f t="shared" si="5"/>
        <v/>
      </c>
      <c r="AD83" s="29"/>
    </row>
    <row r="84" ht="31.5" customHeight="1">
      <c r="A84" s="15" t="str">
        <f t="shared" si="1"/>
        <v/>
      </c>
      <c r="B84" s="16"/>
      <c r="C84" s="17"/>
      <c r="D84" s="15" t="str">
        <f t="shared" si="2"/>
        <v/>
      </c>
      <c r="E84" s="15" t="str">
        <f>IF(OR($C84="",'Tổng quan'!$B$6="",'Tổng quan'!$B$7=""),"",IF(OR($C84&lt;'Tổng quan'!$B$6,$C84&gt;'Tổng quan'!$B$7),"Ngoài kỳ","Tuần "&amp;(INT(($C84-'Tổng quan'!$B$6)/7)+1)))</f>
        <v/>
      </c>
      <c r="F84" s="19"/>
      <c r="G84" s="19"/>
      <c r="H84" s="16"/>
      <c r="I84" s="16"/>
      <c r="J84" s="19"/>
      <c r="K84" s="16"/>
      <c r="L84" s="16"/>
      <c r="M84" s="19"/>
      <c r="N84" s="19"/>
      <c r="O84" s="20"/>
      <c r="P84" s="20"/>
      <c r="Q84" s="17"/>
      <c r="R84" s="16"/>
      <c r="S84" s="15" t="str">
        <f>IF($F84="","",IF($R84="Hủy","Đã hủy",IF($R84="Đã đăng",IF($T84="","Đã đăng – thiếu link","Đã đăng"),IF($C84="","Chưa có ngày đăng",IF($C84&lt;'Tổng quan'!$H$11,"Trễ lịch đăng "&amp;('Tổng quan'!$H$11-$C84)&amp;" ngày",IF(AND($Q84&lt;&gt;"",$Q84&lt;'Tổng quan'!$H$11,OR($R84="Ý tưởng",$R84="Đang viết",$R84="")),"Trễ hạn nháp "&amp;('Tổng quan'!$H$11-$Q84)&amp;" ngày",IF($C84='Tổng quan'!$H$11,"Đăng hôm nay",IF($C84-'Tổng quan'!$H$11&lt;='Cài đặt'!$B$102,"Sắp đăng ("&amp;($C84-'Tổng quan'!$H$11)&amp;" ngày)","Còn "&amp;($C84-'Tổng quan'!$H$11)&amp;" ngày"))))))))</f>
        <v/>
      </c>
      <c r="T84" s="20"/>
      <c r="U84" s="22"/>
      <c r="V84" s="22"/>
      <c r="W84" s="23"/>
      <c r="X84" s="23"/>
      <c r="Y84" s="23"/>
      <c r="Z84" s="23"/>
      <c r="AA84" s="24" t="str">
        <f t="shared" si="3"/>
        <v/>
      </c>
      <c r="AB84" s="24" t="str">
        <f t="shared" si="4"/>
        <v/>
      </c>
      <c r="AC84" s="25" t="str">
        <f t="shared" si="5"/>
        <v/>
      </c>
      <c r="AD84" s="19"/>
    </row>
    <row r="85" ht="31.5" customHeight="1">
      <c r="A85" s="26" t="str">
        <f t="shared" si="1"/>
        <v/>
      </c>
      <c r="B85" s="27"/>
      <c r="C85" s="28"/>
      <c r="D85" s="26" t="str">
        <f t="shared" si="2"/>
        <v/>
      </c>
      <c r="E85" s="26" t="str">
        <f>IF(OR($C85="",'Tổng quan'!$B$6="",'Tổng quan'!$B$7=""),"",IF(OR($C85&lt;'Tổng quan'!$B$6,$C85&gt;'Tổng quan'!$B$7),"Ngoài kỳ","Tuần "&amp;(INT(($C85-'Tổng quan'!$B$6)/7)+1)))</f>
        <v/>
      </c>
      <c r="F85" s="29"/>
      <c r="G85" s="29"/>
      <c r="H85" s="27"/>
      <c r="I85" s="27"/>
      <c r="J85" s="29"/>
      <c r="K85" s="27"/>
      <c r="L85" s="27"/>
      <c r="M85" s="29"/>
      <c r="N85" s="29"/>
      <c r="O85" s="30"/>
      <c r="P85" s="30"/>
      <c r="Q85" s="28"/>
      <c r="R85" s="27"/>
      <c r="S85" s="26" t="str">
        <f>IF($F85="","",IF($R85="Hủy","Đã hủy",IF($R85="Đã đăng",IF($T85="","Đã đăng – thiếu link","Đã đăng"),IF($C85="","Chưa có ngày đăng",IF($C85&lt;'Tổng quan'!$H$11,"Trễ lịch đăng "&amp;('Tổng quan'!$H$11-$C85)&amp;" ngày",IF(AND($Q85&lt;&gt;"",$Q85&lt;'Tổng quan'!$H$11,OR($R85="Ý tưởng",$R85="Đang viết",$R85="")),"Trễ hạn nháp "&amp;('Tổng quan'!$H$11-$Q85)&amp;" ngày",IF($C85='Tổng quan'!$H$11,"Đăng hôm nay",IF($C85-'Tổng quan'!$H$11&lt;='Cài đặt'!$B$102,"Sắp đăng ("&amp;($C85-'Tổng quan'!$H$11)&amp;" ngày)","Còn "&amp;($C85-'Tổng quan'!$H$11)&amp;" ngày"))))))))</f>
        <v/>
      </c>
      <c r="T85" s="30"/>
      <c r="U85" s="32"/>
      <c r="V85" s="32"/>
      <c r="W85" s="33"/>
      <c r="X85" s="33"/>
      <c r="Y85" s="33"/>
      <c r="Z85" s="33"/>
      <c r="AA85" s="34" t="str">
        <f t="shared" si="3"/>
        <v/>
      </c>
      <c r="AB85" s="34" t="str">
        <f t="shared" si="4"/>
        <v/>
      </c>
      <c r="AC85" s="35" t="str">
        <f t="shared" si="5"/>
        <v/>
      </c>
      <c r="AD85" s="29"/>
    </row>
    <row r="86" ht="31.5" customHeight="1">
      <c r="A86" s="15" t="str">
        <f t="shared" si="1"/>
        <v/>
      </c>
      <c r="B86" s="16"/>
      <c r="C86" s="17"/>
      <c r="D86" s="15" t="str">
        <f t="shared" si="2"/>
        <v/>
      </c>
      <c r="E86" s="15" t="str">
        <f>IF(OR($C86="",'Tổng quan'!$B$6="",'Tổng quan'!$B$7=""),"",IF(OR($C86&lt;'Tổng quan'!$B$6,$C86&gt;'Tổng quan'!$B$7),"Ngoài kỳ","Tuần "&amp;(INT(($C86-'Tổng quan'!$B$6)/7)+1)))</f>
        <v/>
      </c>
      <c r="F86" s="19"/>
      <c r="G86" s="19"/>
      <c r="H86" s="16"/>
      <c r="I86" s="16"/>
      <c r="J86" s="19"/>
      <c r="K86" s="16"/>
      <c r="L86" s="16"/>
      <c r="M86" s="19"/>
      <c r="N86" s="19"/>
      <c r="O86" s="20"/>
      <c r="P86" s="20"/>
      <c r="Q86" s="17"/>
      <c r="R86" s="16"/>
      <c r="S86" s="15" t="str">
        <f>IF($F86="","",IF($R86="Hủy","Đã hủy",IF($R86="Đã đăng",IF($T86="","Đã đăng – thiếu link","Đã đăng"),IF($C86="","Chưa có ngày đăng",IF($C86&lt;'Tổng quan'!$H$11,"Trễ lịch đăng "&amp;('Tổng quan'!$H$11-$C86)&amp;" ngày",IF(AND($Q86&lt;&gt;"",$Q86&lt;'Tổng quan'!$H$11,OR($R86="Ý tưởng",$R86="Đang viết",$R86="")),"Trễ hạn nháp "&amp;('Tổng quan'!$H$11-$Q86)&amp;" ngày",IF($C86='Tổng quan'!$H$11,"Đăng hôm nay",IF($C86-'Tổng quan'!$H$11&lt;='Cài đặt'!$B$102,"Sắp đăng ("&amp;($C86-'Tổng quan'!$H$11)&amp;" ngày)","Còn "&amp;($C86-'Tổng quan'!$H$11)&amp;" ngày"))))))))</f>
        <v/>
      </c>
      <c r="T86" s="20"/>
      <c r="U86" s="22"/>
      <c r="V86" s="22"/>
      <c r="W86" s="23"/>
      <c r="X86" s="23"/>
      <c r="Y86" s="23"/>
      <c r="Z86" s="23"/>
      <c r="AA86" s="24" t="str">
        <f t="shared" si="3"/>
        <v/>
      </c>
      <c r="AB86" s="24" t="str">
        <f t="shared" si="4"/>
        <v/>
      </c>
      <c r="AC86" s="25" t="str">
        <f t="shared" si="5"/>
        <v/>
      </c>
      <c r="AD86" s="19"/>
    </row>
    <row r="87" ht="31.5" customHeight="1">
      <c r="A87" s="26" t="str">
        <f t="shared" si="1"/>
        <v/>
      </c>
      <c r="B87" s="27"/>
      <c r="C87" s="28"/>
      <c r="D87" s="26" t="str">
        <f t="shared" si="2"/>
        <v/>
      </c>
      <c r="E87" s="26" t="str">
        <f>IF(OR($C87="",'Tổng quan'!$B$6="",'Tổng quan'!$B$7=""),"",IF(OR($C87&lt;'Tổng quan'!$B$6,$C87&gt;'Tổng quan'!$B$7),"Ngoài kỳ","Tuần "&amp;(INT(($C87-'Tổng quan'!$B$6)/7)+1)))</f>
        <v/>
      </c>
      <c r="F87" s="29"/>
      <c r="G87" s="29"/>
      <c r="H87" s="27"/>
      <c r="I87" s="27"/>
      <c r="J87" s="29"/>
      <c r="K87" s="27"/>
      <c r="L87" s="27"/>
      <c r="M87" s="29"/>
      <c r="N87" s="29"/>
      <c r="O87" s="30"/>
      <c r="P87" s="30"/>
      <c r="Q87" s="28"/>
      <c r="R87" s="27"/>
      <c r="S87" s="26" t="str">
        <f>IF($F87="","",IF($R87="Hủy","Đã hủy",IF($R87="Đã đăng",IF($T87="","Đã đăng – thiếu link","Đã đăng"),IF($C87="","Chưa có ngày đăng",IF($C87&lt;'Tổng quan'!$H$11,"Trễ lịch đăng "&amp;('Tổng quan'!$H$11-$C87)&amp;" ngày",IF(AND($Q87&lt;&gt;"",$Q87&lt;'Tổng quan'!$H$11,OR($R87="Ý tưởng",$R87="Đang viết",$R87="")),"Trễ hạn nháp "&amp;('Tổng quan'!$H$11-$Q87)&amp;" ngày",IF($C87='Tổng quan'!$H$11,"Đăng hôm nay",IF($C87-'Tổng quan'!$H$11&lt;='Cài đặt'!$B$102,"Sắp đăng ("&amp;($C87-'Tổng quan'!$H$11)&amp;" ngày)","Còn "&amp;($C87-'Tổng quan'!$H$11)&amp;" ngày"))))))))</f>
        <v/>
      </c>
      <c r="T87" s="30"/>
      <c r="U87" s="32"/>
      <c r="V87" s="32"/>
      <c r="W87" s="33"/>
      <c r="X87" s="33"/>
      <c r="Y87" s="33"/>
      <c r="Z87" s="33"/>
      <c r="AA87" s="34" t="str">
        <f t="shared" si="3"/>
        <v/>
      </c>
      <c r="AB87" s="34" t="str">
        <f t="shared" si="4"/>
        <v/>
      </c>
      <c r="AC87" s="35" t="str">
        <f t="shared" si="5"/>
        <v/>
      </c>
      <c r="AD87" s="29"/>
    </row>
    <row r="88" ht="31.5" customHeight="1">
      <c r="A88" s="15" t="str">
        <f t="shared" si="1"/>
        <v/>
      </c>
      <c r="B88" s="16"/>
      <c r="C88" s="17"/>
      <c r="D88" s="15" t="str">
        <f t="shared" si="2"/>
        <v/>
      </c>
      <c r="E88" s="15" t="str">
        <f>IF(OR($C88="",'Tổng quan'!$B$6="",'Tổng quan'!$B$7=""),"",IF(OR($C88&lt;'Tổng quan'!$B$6,$C88&gt;'Tổng quan'!$B$7),"Ngoài kỳ","Tuần "&amp;(INT(($C88-'Tổng quan'!$B$6)/7)+1)))</f>
        <v/>
      </c>
      <c r="F88" s="19"/>
      <c r="G88" s="19"/>
      <c r="H88" s="16"/>
      <c r="I88" s="16"/>
      <c r="J88" s="19"/>
      <c r="K88" s="16"/>
      <c r="L88" s="16"/>
      <c r="M88" s="19"/>
      <c r="N88" s="19"/>
      <c r="O88" s="20"/>
      <c r="P88" s="20"/>
      <c r="Q88" s="17"/>
      <c r="R88" s="16"/>
      <c r="S88" s="15" t="str">
        <f>IF($F88="","",IF($R88="Hủy","Đã hủy",IF($R88="Đã đăng",IF($T88="","Đã đăng – thiếu link","Đã đăng"),IF($C88="","Chưa có ngày đăng",IF($C88&lt;'Tổng quan'!$H$11,"Trễ lịch đăng "&amp;('Tổng quan'!$H$11-$C88)&amp;" ngày",IF(AND($Q88&lt;&gt;"",$Q88&lt;'Tổng quan'!$H$11,OR($R88="Ý tưởng",$R88="Đang viết",$R88="")),"Trễ hạn nháp "&amp;('Tổng quan'!$H$11-$Q88)&amp;" ngày",IF($C88='Tổng quan'!$H$11,"Đăng hôm nay",IF($C88-'Tổng quan'!$H$11&lt;='Cài đặt'!$B$102,"Sắp đăng ("&amp;($C88-'Tổng quan'!$H$11)&amp;" ngày)","Còn "&amp;($C88-'Tổng quan'!$H$11)&amp;" ngày"))))))))</f>
        <v/>
      </c>
      <c r="T88" s="20"/>
      <c r="U88" s="22"/>
      <c r="V88" s="22"/>
      <c r="W88" s="23"/>
      <c r="X88" s="23"/>
      <c r="Y88" s="23"/>
      <c r="Z88" s="23"/>
      <c r="AA88" s="24" t="str">
        <f t="shared" si="3"/>
        <v/>
      </c>
      <c r="AB88" s="24" t="str">
        <f t="shared" si="4"/>
        <v/>
      </c>
      <c r="AC88" s="25" t="str">
        <f t="shared" si="5"/>
        <v/>
      </c>
      <c r="AD88" s="19"/>
    </row>
    <row r="89" ht="31.5" customHeight="1">
      <c r="A89" s="26" t="str">
        <f t="shared" si="1"/>
        <v/>
      </c>
      <c r="B89" s="27"/>
      <c r="C89" s="28"/>
      <c r="D89" s="26" t="str">
        <f t="shared" si="2"/>
        <v/>
      </c>
      <c r="E89" s="26" t="str">
        <f>IF(OR($C89="",'Tổng quan'!$B$6="",'Tổng quan'!$B$7=""),"",IF(OR($C89&lt;'Tổng quan'!$B$6,$C89&gt;'Tổng quan'!$B$7),"Ngoài kỳ","Tuần "&amp;(INT(($C89-'Tổng quan'!$B$6)/7)+1)))</f>
        <v/>
      </c>
      <c r="F89" s="29"/>
      <c r="G89" s="29"/>
      <c r="H89" s="27"/>
      <c r="I89" s="27"/>
      <c r="J89" s="29"/>
      <c r="K89" s="27"/>
      <c r="L89" s="27"/>
      <c r="M89" s="29"/>
      <c r="N89" s="29"/>
      <c r="O89" s="30"/>
      <c r="P89" s="30"/>
      <c r="Q89" s="28"/>
      <c r="R89" s="27"/>
      <c r="S89" s="26" t="str">
        <f>IF($F89="","",IF($R89="Hủy","Đã hủy",IF($R89="Đã đăng",IF($T89="","Đã đăng – thiếu link","Đã đăng"),IF($C89="","Chưa có ngày đăng",IF($C89&lt;'Tổng quan'!$H$11,"Trễ lịch đăng "&amp;('Tổng quan'!$H$11-$C89)&amp;" ngày",IF(AND($Q89&lt;&gt;"",$Q89&lt;'Tổng quan'!$H$11,OR($R89="Ý tưởng",$R89="Đang viết",$R89="")),"Trễ hạn nháp "&amp;('Tổng quan'!$H$11-$Q89)&amp;" ngày",IF($C89='Tổng quan'!$H$11,"Đăng hôm nay",IF($C89-'Tổng quan'!$H$11&lt;='Cài đặt'!$B$102,"Sắp đăng ("&amp;($C89-'Tổng quan'!$H$11)&amp;" ngày)","Còn "&amp;($C89-'Tổng quan'!$H$11)&amp;" ngày"))))))))</f>
        <v/>
      </c>
      <c r="T89" s="30"/>
      <c r="U89" s="32"/>
      <c r="V89" s="32"/>
      <c r="W89" s="33"/>
      <c r="X89" s="33"/>
      <c r="Y89" s="33"/>
      <c r="Z89" s="33"/>
      <c r="AA89" s="34" t="str">
        <f t="shared" si="3"/>
        <v/>
      </c>
      <c r="AB89" s="34" t="str">
        <f t="shared" si="4"/>
        <v/>
      </c>
      <c r="AC89" s="35" t="str">
        <f t="shared" si="5"/>
        <v/>
      </c>
      <c r="AD89" s="29"/>
    </row>
    <row r="90" ht="31.5" customHeight="1">
      <c r="A90" s="15" t="str">
        <f t="shared" si="1"/>
        <v/>
      </c>
      <c r="B90" s="16"/>
      <c r="C90" s="17"/>
      <c r="D90" s="15" t="str">
        <f t="shared" si="2"/>
        <v/>
      </c>
      <c r="E90" s="15" t="str">
        <f>IF(OR($C90="",'Tổng quan'!$B$6="",'Tổng quan'!$B$7=""),"",IF(OR($C90&lt;'Tổng quan'!$B$6,$C90&gt;'Tổng quan'!$B$7),"Ngoài kỳ","Tuần "&amp;(INT(($C90-'Tổng quan'!$B$6)/7)+1)))</f>
        <v/>
      </c>
      <c r="F90" s="19"/>
      <c r="G90" s="19"/>
      <c r="H90" s="16"/>
      <c r="I90" s="16"/>
      <c r="J90" s="19"/>
      <c r="K90" s="16"/>
      <c r="L90" s="16"/>
      <c r="M90" s="19"/>
      <c r="N90" s="19"/>
      <c r="O90" s="20"/>
      <c r="P90" s="20"/>
      <c r="Q90" s="17"/>
      <c r="R90" s="16"/>
      <c r="S90" s="15" t="str">
        <f>IF($F90="","",IF($R90="Hủy","Đã hủy",IF($R90="Đã đăng",IF($T90="","Đã đăng – thiếu link","Đã đăng"),IF($C90="","Chưa có ngày đăng",IF($C90&lt;'Tổng quan'!$H$11,"Trễ lịch đăng "&amp;('Tổng quan'!$H$11-$C90)&amp;" ngày",IF(AND($Q90&lt;&gt;"",$Q90&lt;'Tổng quan'!$H$11,OR($R90="Ý tưởng",$R90="Đang viết",$R90="")),"Trễ hạn nháp "&amp;('Tổng quan'!$H$11-$Q90)&amp;" ngày",IF($C90='Tổng quan'!$H$11,"Đăng hôm nay",IF($C90-'Tổng quan'!$H$11&lt;='Cài đặt'!$B$102,"Sắp đăng ("&amp;($C90-'Tổng quan'!$H$11)&amp;" ngày)","Còn "&amp;($C90-'Tổng quan'!$H$11)&amp;" ngày"))))))))</f>
        <v/>
      </c>
      <c r="T90" s="20"/>
      <c r="U90" s="22"/>
      <c r="V90" s="22"/>
      <c r="W90" s="23"/>
      <c r="X90" s="23"/>
      <c r="Y90" s="23"/>
      <c r="Z90" s="23"/>
      <c r="AA90" s="24" t="str">
        <f t="shared" si="3"/>
        <v/>
      </c>
      <c r="AB90" s="24" t="str">
        <f t="shared" si="4"/>
        <v/>
      </c>
      <c r="AC90" s="25" t="str">
        <f t="shared" si="5"/>
        <v/>
      </c>
      <c r="AD90" s="19"/>
    </row>
    <row r="91" ht="31.5" customHeight="1">
      <c r="A91" s="26" t="str">
        <f t="shared" si="1"/>
        <v/>
      </c>
      <c r="B91" s="27"/>
      <c r="C91" s="28"/>
      <c r="D91" s="26" t="str">
        <f t="shared" si="2"/>
        <v/>
      </c>
      <c r="E91" s="26" t="str">
        <f>IF(OR($C91="",'Tổng quan'!$B$6="",'Tổng quan'!$B$7=""),"",IF(OR($C91&lt;'Tổng quan'!$B$6,$C91&gt;'Tổng quan'!$B$7),"Ngoài kỳ","Tuần "&amp;(INT(($C91-'Tổng quan'!$B$6)/7)+1)))</f>
        <v/>
      </c>
      <c r="F91" s="29"/>
      <c r="G91" s="29"/>
      <c r="H91" s="27"/>
      <c r="I91" s="27"/>
      <c r="J91" s="29"/>
      <c r="K91" s="27"/>
      <c r="L91" s="27"/>
      <c r="M91" s="29"/>
      <c r="N91" s="29"/>
      <c r="O91" s="30"/>
      <c r="P91" s="30"/>
      <c r="Q91" s="28"/>
      <c r="R91" s="27"/>
      <c r="S91" s="26" t="str">
        <f>IF($F91="","",IF($R91="Hủy","Đã hủy",IF($R91="Đã đăng",IF($T91="","Đã đăng – thiếu link","Đã đăng"),IF($C91="","Chưa có ngày đăng",IF($C91&lt;'Tổng quan'!$H$11,"Trễ lịch đăng "&amp;('Tổng quan'!$H$11-$C91)&amp;" ngày",IF(AND($Q91&lt;&gt;"",$Q91&lt;'Tổng quan'!$H$11,OR($R91="Ý tưởng",$R91="Đang viết",$R91="")),"Trễ hạn nháp "&amp;('Tổng quan'!$H$11-$Q91)&amp;" ngày",IF($C91='Tổng quan'!$H$11,"Đăng hôm nay",IF($C91-'Tổng quan'!$H$11&lt;='Cài đặt'!$B$102,"Sắp đăng ("&amp;($C91-'Tổng quan'!$H$11)&amp;" ngày)","Còn "&amp;($C91-'Tổng quan'!$H$11)&amp;" ngày"))))))))</f>
        <v/>
      </c>
      <c r="T91" s="30"/>
      <c r="U91" s="32"/>
      <c r="V91" s="32"/>
      <c r="W91" s="33"/>
      <c r="X91" s="33"/>
      <c r="Y91" s="33"/>
      <c r="Z91" s="33"/>
      <c r="AA91" s="34" t="str">
        <f t="shared" si="3"/>
        <v/>
      </c>
      <c r="AB91" s="34" t="str">
        <f t="shared" si="4"/>
        <v/>
      </c>
      <c r="AC91" s="35" t="str">
        <f t="shared" si="5"/>
        <v/>
      </c>
      <c r="AD91" s="29"/>
    </row>
    <row r="92" ht="31.5" customHeight="1">
      <c r="A92" s="15" t="str">
        <f t="shared" si="1"/>
        <v/>
      </c>
      <c r="B92" s="16"/>
      <c r="C92" s="17"/>
      <c r="D92" s="15" t="str">
        <f t="shared" si="2"/>
        <v/>
      </c>
      <c r="E92" s="15" t="str">
        <f>IF(OR($C92="",'Tổng quan'!$B$6="",'Tổng quan'!$B$7=""),"",IF(OR($C92&lt;'Tổng quan'!$B$6,$C92&gt;'Tổng quan'!$B$7),"Ngoài kỳ","Tuần "&amp;(INT(($C92-'Tổng quan'!$B$6)/7)+1)))</f>
        <v/>
      </c>
      <c r="F92" s="19"/>
      <c r="G92" s="19"/>
      <c r="H92" s="16"/>
      <c r="I92" s="16"/>
      <c r="J92" s="19"/>
      <c r="K92" s="16"/>
      <c r="L92" s="16"/>
      <c r="M92" s="19"/>
      <c r="N92" s="19"/>
      <c r="O92" s="20"/>
      <c r="P92" s="20"/>
      <c r="Q92" s="17"/>
      <c r="R92" s="16"/>
      <c r="S92" s="15" t="str">
        <f>IF($F92="","",IF($R92="Hủy","Đã hủy",IF($R92="Đã đăng",IF($T92="","Đã đăng – thiếu link","Đã đăng"),IF($C92="","Chưa có ngày đăng",IF($C92&lt;'Tổng quan'!$H$11,"Trễ lịch đăng "&amp;('Tổng quan'!$H$11-$C92)&amp;" ngày",IF(AND($Q92&lt;&gt;"",$Q92&lt;'Tổng quan'!$H$11,OR($R92="Ý tưởng",$R92="Đang viết",$R92="")),"Trễ hạn nháp "&amp;('Tổng quan'!$H$11-$Q92)&amp;" ngày",IF($C92='Tổng quan'!$H$11,"Đăng hôm nay",IF($C92-'Tổng quan'!$H$11&lt;='Cài đặt'!$B$102,"Sắp đăng ("&amp;($C92-'Tổng quan'!$H$11)&amp;" ngày)","Còn "&amp;($C92-'Tổng quan'!$H$11)&amp;" ngày"))))))))</f>
        <v/>
      </c>
      <c r="T92" s="20"/>
      <c r="U92" s="22"/>
      <c r="V92" s="22"/>
      <c r="W92" s="23"/>
      <c r="X92" s="23"/>
      <c r="Y92" s="23"/>
      <c r="Z92" s="23"/>
      <c r="AA92" s="24" t="str">
        <f t="shared" si="3"/>
        <v/>
      </c>
      <c r="AB92" s="24" t="str">
        <f t="shared" si="4"/>
        <v/>
      </c>
      <c r="AC92" s="25" t="str">
        <f t="shared" si="5"/>
        <v/>
      </c>
      <c r="AD92" s="19"/>
    </row>
    <row r="93" ht="31.5" customHeight="1">
      <c r="A93" s="26" t="str">
        <f t="shared" si="1"/>
        <v/>
      </c>
      <c r="B93" s="27"/>
      <c r="C93" s="28"/>
      <c r="D93" s="26" t="str">
        <f t="shared" si="2"/>
        <v/>
      </c>
      <c r="E93" s="26" t="str">
        <f>IF(OR($C93="",'Tổng quan'!$B$6="",'Tổng quan'!$B$7=""),"",IF(OR($C93&lt;'Tổng quan'!$B$6,$C93&gt;'Tổng quan'!$B$7),"Ngoài kỳ","Tuần "&amp;(INT(($C93-'Tổng quan'!$B$6)/7)+1)))</f>
        <v/>
      </c>
      <c r="F93" s="29"/>
      <c r="G93" s="29"/>
      <c r="H93" s="27"/>
      <c r="I93" s="27"/>
      <c r="J93" s="29"/>
      <c r="K93" s="27"/>
      <c r="L93" s="27"/>
      <c r="M93" s="29"/>
      <c r="N93" s="29"/>
      <c r="O93" s="30"/>
      <c r="P93" s="30"/>
      <c r="Q93" s="28"/>
      <c r="R93" s="27"/>
      <c r="S93" s="26" t="str">
        <f>IF($F93="","",IF($R93="Hủy","Đã hủy",IF($R93="Đã đăng",IF($T93="","Đã đăng – thiếu link","Đã đăng"),IF($C93="","Chưa có ngày đăng",IF($C93&lt;'Tổng quan'!$H$11,"Trễ lịch đăng "&amp;('Tổng quan'!$H$11-$C93)&amp;" ngày",IF(AND($Q93&lt;&gt;"",$Q93&lt;'Tổng quan'!$H$11,OR($R93="Ý tưởng",$R93="Đang viết",$R93="")),"Trễ hạn nháp "&amp;('Tổng quan'!$H$11-$Q93)&amp;" ngày",IF($C93='Tổng quan'!$H$11,"Đăng hôm nay",IF($C93-'Tổng quan'!$H$11&lt;='Cài đặt'!$B$102,"Sắp đăng ("&amp;($C93-'Tổng quan'!$H$11)&amp;" ngày)","Còn "&amp;($C93-'Tổng quan'!$H$11)&amp;" ngày"))))))))</f>
        <v/>
      </c>
      <c r="T93" s="30"/>
      <c r="U93" s="32"/>
      <c r="V93" s="32"/>
      <c r="W93" s="33"/>
      <c r="X93" s="33"/>
      <c r="Y93" s="33"/>
      <c r="Z93" s="33"/>
      <c r="AA93" s="34" t="str">
        <f t="shared" si="3"/>
        <v/>
      </c>
      <c r="AB93" s="34" t="str">
        <f t="shared" si="4"/>
        <v/>
      </c>
      <c r="AC93" s="35" t="str">
        <f t="shared" si="5"/>
        <v/>
      </c>
      <c r="AD93" s="29"/>
    </row>
    <row r="94" ht="31.5" customHeight="1">
      <c r="A94" s="15" t="str">
        <f t="shared" si="1"/>
        <v/>
      </c>
      <c r="B94" s="16"/>
      <c r="C94" s="17"/>
      <c r="D94" s="15" t="str">
        <f t="shared" si="2"/>
        <v/>
      </c>
      <c r="E94" s="15" t="str">
        <f>IF(OR($C94="",'Tổng quan'!$B$6="",'Tổng quan'!$B$7=""),"",IF(OR($C94&lt;'Tổng quan'!$B$6,$C94&gt;'Tổng quan'!$B$7),"Ngoài kỳ","Tuần "&amp;(INT(($C94-'Tổng quan'!$B$6)/7)+1)))</f>
        <v/>
      </c>
      <c r="F94" s="19"/>
      <c r="G94" s="19"/>
      <c r="H94" s="16"/>
      <c r="I94" s="16"/>
      <c r="J94" s="19"/>
      <c r="K94" s="16"/>
      <c r="L94" s="16"/>
      <c r="M94" s="19"/>
      <c r="N94" s="19"/>
      <c r="O94" s="20"/>
      <c r="P94" s="20"/>
      <c r="Q94" s="17"/>
      <c r="R94" s="16"/>
      <c r="S94" s="15" t="str">
        <f>IF($F94="","",IF($R94="Hủy","Đã hủy",IF($R94="Đã đăng",IF($T94="","Đã đăng – thiếu link","Đã đăng"),IF($C94="","Chưa có ngày đăng",IF($C94&lt;'Tổng quan'!$H$11,"Trễ lịch đăng "&amp;('Tổng quan'!$H$11-$C94)&amp;" ngày",IF(AND($Q94&lt;&gt;"",$Q94&lt;'Tổng quan'!$H$11,OR($R94="Ý tưởng",$R94="Đang viết",$R94="")),"Trễ hạn nháp "&amp;('Tổng quan'!$H$11-$Q94)&amp;" ngày",IF($C94='Tổng quan'!$H$11,"Đăng hôm nay",IF($C94-'Tổng quan'!$H$11&lt;='Cài đặt'!$B$102,"Sắp đăng ("&amp;($C94-'Tổng quan'!$H$11)&amp;" ngày)","Còn "&amp;($C94-'Tổng quan'!$H$11)&amp;" ngày"))))))))</f>
        <v/>
      </c>
      <c r="T94" s="20"/>
      <c r="U94" s="22"/>
      <c r="V94" s="22"/>
      <c r="W94" s="23"/>
      <c r="X94" s="23"/>
      <c r="Y94" s="23"/>
      <c r="Z94" s="23"/>
      <c r="AA94" s="24" t="str">
        <f t="shared" si="3"/>
        <v/>
      </c>
      <c r="AB94" s="24" t="str">
        <f t="shared" si="4"/>
        <v/>
      </c>
      <c r="AC94" s="25" t="str">
        <f t="shared" si="5"/>
        <v/>
      </c>
      <c r="AD94" s="19"/>
    </row>
    <row r="95" ht="31.5" customHeight="1">
      <c r="A95" s="26" t="str">
        <f t="shared" si="1"/>
        <v/>
      </c>
      <c r="B95" s="27"/>
      <c r="C95" s="28"/>
      <c r="D95" s="26" t="str">
        <f t="shared" si="2"/>
        <v/>
      </c>
      <c r="E95" s="26" t="str">
        <f>IF(OR($C95="",'Tổng quan'!$B$6="",'Tổng quan'!$B$7=""),"",IF(OR($C95&lt;'Tổng quan'!$B$6,$C95&gt;'Tổng quan'!$B$7),"Ngoài kỳ","Tuần "&amp;(INT(($C95-'Tổng quan'!$B$6)/7)+1)))</f>
        <v/>
      </c>
      <c r="F95" s="29"/>
      <c r="G95" s="29"/>
      <c r="H95" s="27"/>
      <c r="I95" s="27"/>
      <c r="J95" s="29"/>
      <c r="K95" s="27"/>
      <c r="L95" s="27"/>
      <c r="M95" s="29"/>
      <c r="N95" s="29"/>
      <c r="O95" s="30"/>
      <c r="P95" s="30"/>
      <c r="Q95" s="28"/>
      <c r="R95" s="27"/>
      <c r="S95" s="26" t="str">
        <f>IF($F95="","",IF($R95="Hủy","Đã hủy",IF($R95="Đã đăng",IF($T95="","Đã đăng – thiếu link","Đã đăng"),IF($C95="","Chưa có ngày đăng",IF($C95&lt;'Tổng quan'!$H$11,"Trễ lịch đăng "&amp;('Tổng quan'!$H$11-$C95)&amp;" ngày",IF(AND($Q95&lt;&gt;"",$Q95&lt;'Tổng quan'!$H$11,OR($R95="Ý tưởng",$R95="Đang viết",$R95="")),"Trễ hạn nháp "&amp;('Tổng quan'!$H$11-$Q95)&amp;" ngày",IF($C95='Tổng quan'!$H$11,"Đăng hôm nay",IF($C95-'Tổng quan'!$H$11&lt;='Cài đặt'!$B$102,"Sắp đăng ("&amp;($C95-'Tổng quan'!$H$11)&amp;" ngày)","Còn "&amp;($C95-'Tổng quan'!$H$11)&amp;" ngày"))))))))</f>
        <v/>
      </c>
      <c r="T95" s="30"/>
      <c r="U95" s="32"/>
      <c r="V95" s="32"/>
      <c r="W95" s="33"/>
      <c r="X95" s="33"/>
      <c r="Y95" s="33"/>
      <c r="Z95" s="33"/>
      <c r="AA95" s="34" t="str">
        <f t="shared" si="3"/>
        <v/>
      </c>
      <c r="AB95" s="34" t="str">
        <f t="shared" si="4"/>
        <v/>
      </c>
      <c r="AC95" s="35" t="str">
        <f t="shared" si="5"/>
        <v/>
      </c>
      <c r="AD95" s="29"/>
    </row>
    <row r="96" ht="31.5" customHeight="1">
      <c r="A96" s="15" t="str">
        <f t="shared" si="1"/>
        <v/>
      </c>
      <c r="B96" s="16"/>
      <c r="C96" s="17"/>
      <c r="D96" s="15" t="str">
        <f t="shared" si="2"/>
        <v/>
      </c>
      <c r="E96" s="15" t="str">
        <f>IF(OR($C96="",'Tổng quan'!$B$6="",'Tổng quan'!$B$7=""),"",IF(OR($C96&lt;'Tổng quan'!$B$6,$C96&gt;'Tổng quan'!$B$7),"Ngoài kỳ","Tuần "&amp;(INT(($C96-'Tổng quan'!$B$6)/7)+1)))</f>
        <v/>
      </c>
      <c r="F96" s="19"/>
      <c r="G96" s="19"/>
      <c r="H96" s="16"/>
      <c r="I96" s="16"/>
      <c r="J96" s="19"/>
      <c r="K96" s="16"/>
      <c r="L96" s="16"/>
      <c r="M96" s="19"/>
      <c r="N96" s="19"/>
      <c r="O96" s="20"/>
      <c r="P96" s="20"/>
      <c r="Q96" s="17"/>
      <c r="R96" s="16"/>
      <c r="S96" s="15" t="str">
        <f>IF($F96="","",IF($R96="Hủy","Đã hủy",IF($R96="Đã đăng",IF($T96="","Đã đăng – thiếu link","Đã đăng"),IF($C96="","Chưa có ngày đăng",IF($C96&lt;'Tổng quan'!$H$11,"Trễ lịch đăng "&amp;('Tổng quan'!$H$11-$C96)&amp;" ngày",IF(AND($Q96&lt;&gt;"",$Q96&lt;'Tổng quan'!$H$11,OR($R96="Ý tưởng",$R96="Đang viết",$R96="")),"Trễ hạn nháp "&amp;('Tổng quan'!$H$11-$Q96)&amp;" ngày",IF($C96='Tổng quan'!$H$11,"Đăng hôm nay",IF($C96-'Tổng quan'!$H$11&lt;='Cài đặt'!$B$102,"Sắp đăng ("&amp;($C96-'Tổng quan'!$H$11)&amp;" ngày)","Còn "&amp;($C96-'Tổng quan'!$H$11)&amp;" ngày"))))))))</f>
        <v/>
      </c>
      <c r="T96" s="20"/>
      <c r="U96" s="22"/>
      <c r="V96" s="22"/>
      <c r="W96" s="23"/>
      <c r="X96" s="23"/>
      <c r="Y96" s="23"/>
      <c r="Z96" s="23"/>
      <c r="AA96" s="24" t="str">
        <f t="shared" si="3"/>
        <v/>
      </c>
      <c r="AB96" s="24" t="str">
        <f t="shared" si="4"/>
        <v/>
      </c>
      <c r="AC96" s="25" t="str">
        <f t="shared" si="5"/>
        <v/>
      </c>
      <c r="AD96" s="19"/>
    </row>
    <row r="97" ht="31.5" customHeight="1">
      <c r="A97" s="26" t="str">
        <f t="shared" si="1"/>
        <v/>
      </c>
      <c r="B97" s="27"/>
      <c r="C97" s="28"/>
      <c r="D97" s="26" t="str">
        <f t="shared" si="2"/>
        <v/>
      </c>
      <c r="E97" s="26" t="str">
        <f>IF(OR($C97="",'Tổng quan'!$B$6="",'Tổng quan'!$B$7=""),"",IF(OR($C97&lt;'Tổng quan'!$B$6,$C97&gt;'Tổng quan'!$B$7),"Ngoài kỳ","Tuần "&amp;(INT(($C97-'Tổng quan'!$B$6)/7)+1)))</f>
        <v/>
      </c>
      <c r="F97" s="29"/>
      <c r="G97" s="29"/>
      <c r="H97" s="27"/>
      <c r="I97" s="27"/>
      <c r="J97" s="29"/>
      <c r="K97" s="27"/>
      <c r="L97" s="27"/>
      <c r="M97" s="29"/>
      <c r="N97" s="29"/>
      <c r="O97" s="30"/>
      <c r="P97" s="30"/>
      <c r="Q97" s="28"/>
      <c r="R97" s="27"/>
      <c r="S97" s="26" t="str">
        <f>IF($F97="","",IF($R97="Hủy","Đã hủy",IF($R97="Đã đăng",IF($T97="","Đã đăng – thiếu link","Đã đăng"),IF($C97="","Chưa có ngày đăng",IF($C97&lt;'Tổng quan'!$H$11,"Trễ lịch đăng "&amp;('Tổng quan'!$H$11-$C97)&amp;" ngày",IF(AND($Q97&lt;&gt;"",$Q97&lt;'Tổng quan'!$H$11,OR($R97="Ý tưởng",$R97="Đang viết",$R97="")),"Trễ hạn nháp "&amp;('Tổng quan'!$H$11-$Q97)&amp;" ngày",IF($C97='Tổng quan'!$H$11,"Đăng hôm nay",IF($C97-'Tổng quan'!$H$11&lt;='Cài đặt'!$B$102,"Sắp đăng ("&amp;($C97-'Tổng quan'!$H$11)&amp;" ngày)","Còn "&amp;($C97-'Tổng quan'!$H$11)&amp;" ngày"))))))))</f>
        <v/>
      </c>
      <c r="T97" s="30"/>
      <c r="U97" s="32"/>
      <c r="V97" s="32"/>
      <c r="W97" s="33"/>
      <c r="X97" s="33"/>
      <c r="Y97" s="33"/>
      <c r="Z97" s="33"/>
      <c r="AA97" s="34" t="str">
        <f t="shared" si="3"/>
        <v/>
      </c>
      <c r="AB97" s="34" t="str">
        <f t="shared" si="4"/>
        <v/>
      </c>
      <c r="AC97" s="35" t="str">
        <f t="shared" si="5"/>
        <v/>
      </c>
      <c r="AD97" s="29"/>
    </row>
    <row r="98" ht="31.5" customHeight="1">
      <c r="A98" s="15" t="str">
        <f t="shared" si="1"/>
        <v/>
      </c>
      <c r="B98" s="16"/>
      <c r="C98" s="17"/>
      <c r="D98" s="15" t="str">
        <f t="shared" si="2"/>
        <v/>
      </c>
      <c r="E98" s="15" t="str">
        <f>IF(OR($C98="",'Tổng quan'!$B$6="",'Tổng quan'!$B$7=""),"",IF(OR($C98&lt;'Tổng quan'!$B$6,$C98&gt;'Tổng quan'!$B$7),"Ngoài kỳ","Tuần "&amp;(INT(($C98-'Tổng quan'!$B$6)/7)+1)))</f>
        <v/>
      </c>
      <c r="F98" s="19"/>
      <c r="G98" s="19"/>
      <c r="H98" s="16"/>
      <c r="I98" s="16"/>
      <c r="J98" s="19"/>
      <c r="K98" s="16"/>
      <c r="L98" s="16"/>
      <c r="M98" s="19"/>
      <c r="N98" s="19"/>
      <c r="O98" s="20"/>
      <c r="P98" s="20"/>
      <c r="Q98" s="17"/>
      <c r="R98" s="16"/>
      <c r="S98" s="15" t="str">
        <f>IF($F98="","",IF($R98="Hủy","Đã hủy",IF($R98="Đã đăng",IF($T98="","Đã đăng – thiếu link","Đã đăng"),IF($C98="","Chưa có ngày đăng",IF($C98&lt;'Tổng quan'!$H$11,"Trễ lịch đăng "&amp;('Tổng quan'!$H$11-$C98)&amp;" ngày",IF(AND($Q98&lt;&gt;"",$Q98&lt;'Tổng quan'!$H$11,OR($R98="Ý tưởng",$R98="Đang viết",$R98="")),"Trễ hạn nháp "&amp;('Tổng quan'!$H$11-$Q98)&amp;" ngày",IF($C98='Tổng quan'!$H$11,"Đăng hôm nay",IF($C98-'Tổng quan'!$H$11&lt;='Cài đặt'!$B$102,"Sắp đăng ("&amp;($C98-'Tổng quan'!$H$11)&amp;" ngày)","Còn "&amp;($C98-'Tổng quan'!$H$11)&amp;" ngày"))))))))</f>
        <v/>
      </c>
      <c r="T98" s="20"/>
      <c r="U98" s="22"/>
      <c r="V98" s="22"/>
      <c r="W98" s="23"/>
      <c r="X98" s="23"/>
      <c r="Y98" s="23"/>
      <c r="Z98" s="23"/>
      <c r="AA98" s="24" t="str">
        <f t="shared" si="3"/>
        <v/>
      </c>
      <c r="AB98" s="24" t="str">
        <f t="shared" si="4"/>
        <v/>
      </c>
      <c r="AC98" s="25" t="str">
        <f t="shared" si="5"/>
        <v/>
      </c>
      <c r="AD98" s="19"/>
    </row>
    <row r="99" ht="31.5" customHeight="1">
      <c r="A99" s="26" t="str">
        <f t="shared" si="1"/>
        <v/>
      </c>
      <c r="B99" s="27"/>
      <c r="C99" s="28"/>
      <c r="D99" s="26" t="str">
        <f t="shared" si="2"/>
        <v/>
      </c>
      <c r="E99" s="26" t="str">
        <f>IF(OR($C99="",'Tổng quan'!$B$6="",'Tổng quan'!$B$7=""),"",IF(OR($C99&lt;'Tổng quan'!$B$6,$C99&gt;'Tổng quan'!$B$7),"Ngoài kỳ","Tuần "&amp;(INT(($C99-'Tổng quan'!$B$6)/7)+1)))</f>
        <v/>
      </c>
      <c r="F99" s="29"/>
      <c r="G99" s="29"/>
      <c r="H99" s="27"/>
      <c r="I99" s="27"/>
      <c r="J99" s="29"/>
      <c r="K99" s="27"/>
      <c r="L99" s="27"/>
      <c r="M99" s="29"/>
      <c r="N99" s="29"/>
      <c r="O99" s="30"/>
      <c r="P99" s="30"/>
      <c r="Q99" s="28"/>
      <c r="R99" s="27"/>
      <c r="S99" s="26" t="str">
        <f>IF($F99="","",IF($R99="Hủy","Đã hủy",IF($R99="Đã đăng",IF($T99="","Đã đăng – thiếu link","Đã đăng"),IF($C99="","Chưa có ngày đăng",IF($C99&lt;'Tổng quan'!$H$11,"Trễ lịch đăng "&amp;('Tổng quan'!$H$11-$C99)&amp;" ngày",IF(AND($Q99&lt;&gt;"",$Q99&lt;'Tổng quan'!$H$11,OR($R99="Ý tưởng",$R99="Đang viết",$R99="")),"Trễ hạn nháp "&amp;('Tổng quan'!$H$11-$Q99)&amp;" ngày",IF($C99='Tổng quan'!$H$11,"Đăng hôm nay",IF($C99-'Tổng quan'!$H$11&lt;='Cài đặt'!$B$102,"Sắp đăng ("&amp;($C99-'Tổng quan'!$H$11)&amp;" ngày)","Còn "&amp;($C99-'Tổng quan'!$H$11)&amp;" ngày"))))))))</f>
        <v/>
      </c>
      <c r="T99" s="30"/>
      <c r="U99" s="32"/>
      <c r="V99" s="32"/>
      <c r="W99" s="33"/>
      <c r="X99" s="33"/>
      <c r="Y99" s="33"/>
      <c r="Z99" s="33"/>
      <c r="AA99" s="34" t="str">
        <f t="shared" si="3"/>
        <v/>
      </c>
      <c r="AB99" s="34" t="str">
        <f t="shared" si="4"/>
        <v/>
      </c>
      <c r="AC99" s="35" t="str">
        <f t="shared" si="5"/>
        <v/>
      </c>
      <c r="AD99" s="29"/>
    </row>
    <row r="100" ht="31.5" customHeight="1">
      <c r="A100" s="15" t="str">
        <f t="shared" si="1"/>
        <v/>
      </c>
      <c r="B100" s="16"/>
      <c r="C100" s="17"/>
      <c r="D100" s="15" t="str">
        <f t="shared" si="2"/>
        <v/>
      </c>
      <c r="E100" s="15" t="str">
        <f>IF(OR($C100="",'Tổng quan'!$B$6="",'Tổng quan'!$B$7=""),"",IF(OR($C100&lt;'Tổng quan'!$B$6,$C100&gt;'Tổng quan'!$B$7),"Ngoài kỳ","Tuần "&amp;(INT(($C100-'Tổng quan'!$B$6)/7)+1)))</f>
        <v/>
      </c>
      <c r="F100" s="19"/>
      <c r="G100" s="19"/>
      <c r="H100" s="16"/>
      <c r="I100" s="16"/>
      <c r="J100" s="19"/>
      <c r="K100" s="16"/>
      <c r="L100" s="16"/>
      <c r="M100" s="19"/>
      <c r="N100" s="19"/>
      <c r="O100" s="20"/>
      <c r="P100" s="20"/>
      <c r="Q100" s="17"/>
      <c r="R100" s="16"/>
      <c r="S100" s="15" t="str">
        <f>IF($F100="","",IF($R100="Hủy","Đã hủy",IF($R100="Đã đăng",IF($T100="","Đã đăng – thiếu link","Đã đăng"),IF($C100="","Chưa có ngày đăng",IF($C100&lt;'Tổng quan'!$H$11,"Trễ lịch đăng "&amp;('Tổng quan'!$H$11-$C100)&amp;" ngày",IF(AND($Q100&lt;&gt;"",$Q100&lt;'Tổng quan'!$H$11,OR($R100="Ý tưởng",$R100="Đang viết",$R100="")),"Trễ hạn nháp "&amp;('Tổng quan'!$H$11-$Q100)&amp;" ngày",IF($C100='Tổng quan'!$H$11,"Đăng hôm nay",IF($C100-'Tổng quan'!$H$11&lt;='Cài đặt'!$B$102,"Sắp đăng ("&amp;($C100-'Tổng quan'!$H$11)&amp;" ngày)","Còn "&amp;($C100-'Tổng quan'!$H$11)&amp;" ngày"))))))))</f>
        <v/>
      </c>
      <c r="T100" s="20"/>
      <c r="U100" s="22"/>
      <c r="V100" s="22"/>
      <c r="W100" s="23"/>
      <c r="X100" s="23"/>
      <c r="Y100" s="23"/>
      <c r="Z100" s="23"/>
      <c r="AA100" s="24" t="str">
        <f t="shared" si="3"/>
        <v/>
      </c>
      <c r="AB100" s="24" t="str">
        <f t="shared" si="4"/>
        <v/>
      </c>
      <c r="AC100" s="25" t="str">
        <f t="shared" si="5"/>
        <v/>
      </c>
      <c r="AD100" s="19"/>
    </row>
    <row r="101" ht="31.5" customHeight="1">
      <c r="A101" s="26" t="str">
        <f t="shared" si="1"/>
        <v/>
      </c>
      <c r="B101" s="27"/>
      <c r="C101" s="28"/>
      <c r="D101" s="26" t="str">
        <f t="shared" si="2"/>
        <v/>
      </c>
      <c r="E101" s="26" t="str">
        <f>IF(OR($C101="",'Tổng quan'!$B$6="",'Tổng quan'!$B$7=""),"",IF(OR($C101&lt;'Tổng quan'!$B$6,$C101&gt;'Tổng quan'!$B$7),"Ngoài kỳ","Tuần "&amp;(INT(($C101-'Tổng quan'!$B$6)/7)+1)))</f>
        <v/>
      </c>
      <c r="F101" s="29"/>
      <c r="G101" s="29"/>
      <c r="H101" s="27"/>
      <c r="I101" s="27"/>
      <c r="J101" s="29"/>
      <c r="K101" s="27"/>
      <c r="L101" s="27"/>
      <c r="M101" s="29"/>
      <c r="N101" s="29"/>
      <c r="O101" s="30"/>
      <c r="P101" s="30"/>
      <c r="Q101" s="28"/>
      <c r="R101" s="27"/>
      <c r="S101" s="26" t="str">
        <f>IF($F101="","",IF($R101="Hủy","Đã hủy",IF($R101="Đã đăng",IF($T101="","Đã đăng – thiếu link","Đã đăng"),IF($C101="","Chưa có ngày đăng",IF($C101&lt;'Tổng quan'!$H$11,"Trễ lịch đăng "&amp;('Tổng quan'!$H$11-$C101)&amp;" ngày",IF(AND($Q101&lt;&gt;"",$Q101&lt;'Tổng quan'!$H$11,OR($R101="Ý tưởng",$R101="Đang viết",$R101="")),"Trễ hạn nháp "&amp;('Tổng quan'!$H$11-$Q101)&amp;" ngày",IF($C101='Tổng quan'!$H$11,"Đăng hôm nay",IF($C101-'Tổng quan'!$H$11&lt;='Cài đặt'!$B$102,"Sắp đăng ("&amp;($C101-'Tổng quan'!$H$11)&amp;" ngày)","Còn "&amp;($C101-'Tổng quan'!$H$11)&amp;" ngày"))))))))</f>
        <v/>
      </c>
      <c r="T101" s="30"/>
      <c r="U101" s="32"/>
      <c r="V101" s="32"/>
      <c r="W101" s="33"/>
      <c r="X101" s="33"/>
      <c r="Y101" s="33"/>
      <c r="Z101" s="33"/>
      <c r="AA101" s="34" t="str">
        <f t="shared" si="3"/>
        <v/>
      </c>
      <c r="AB101" s="34" t="str">
        <f t="shared" si="4"/>
        <v/>
      </c>
      <c r="AC101" s="35" t="str">
        <f t="shared" si="5"/>
        <v/>
      </c>
      <c r="AD101" s="29"/>
    </row>
    <row r="102" ht="31.5" customHeight="1">
      <c r="A102" s="15" t="str">
        <f t="shared" si="1"/>
        <v/>
      </c>
      <c r="B102" s="16"/>
      <c r="C102" s="17"/>
      <c r="D102" s="15" t="str">
        <f t="shared" si="2"/>
        <v/>
      </c>
      <c r="E102" s="15" t="str">
        <f>IF(OR($C102="",'Tổng quan'!$B$6="",'Tổng quan'!$B$7=""),"",IF(OR($C102&lt;'Tổng quan'!$B$6,$C102&gt;'Tổng quan'!$B$7),"Ngoài kỳ","Tuần "&amp;(INT(($C102-'Tổng quan'!$B$6)/7)+1)))</f>
        <v/>
      </c>
      <c r="F102" s="19"/>
      <c r="G102" s="19"/>
      <c r="H102" s="16"/>
      <c r="I102" s="16"/>
      <c r="J102" s="19"/>
      <c r="K102" s="16"/>
      <c r="L102" s="16"/>
      <c r="M102" s="19"/>
      <c r="N102" s="19"/>
      <c r="O102" s="20"/>
      <c r="P102" s="20"/>
      <c r="Q102" s="17"/>
      <c r="R102" s="16"/>
      <c r="S102" s="15" t="str">
        <f>IF($F102="","",IF($R102="Hủy","Đã hủy",IF($R102="Đã đăng",IF($T102="","Đã đăng – thiếu link","Đã đăng"),IF($C102="","Chưa có ngày đăng",IF($C102&lt;'Tổng quan'!$H$11,"Trễ lịch đăng "&amp;('Tổng quan'!$H$11-$C102)&amp;" ngày",IF(AND($Q102&lt;&gt;"",$Q102&lt;'Tổng quan'!$H$11,OR($R102="Ý tưởng",$R102="Đang viết",$R102="")),"Trễ hạn nháp "&amp;('Tổng quan'!$H$11-$Q102)&amp;" ngày",IF($C102='Tổng quan'!$H$11,"Đăng hôm nay",IF($C102-'Tổng quan'!$H$11&lt;='Cài đặt'!$B$102,"Sắp đăng ("&amp;($C102-'Tổng quan'!$H$11)&amp;" ngày)","Còn "&amp;($C102-'Tổng quan'!$H$11)&amp;" ngày"))))))))</f>
        <v/>
      </c>
      <c r="T102" s="20"/>
      <c r="U102" s="22"/>
      <c r="V102" s="22"/>
      <c r="W102" s="23"/>
      <c r="X102" s="23"/>
      <c r="Y102" s="23"/>
      <c r="Z102" s="23"/>
      <c r="AA102" s="24" t="str">
        <f t="shared" si="3"/>
        <v/>
      </c>
      <c r="AB102" s="24" t="str">
        <f t="shared" si="4"/>
        <v/>
      </c>
      <c r="AC102" s="25" t="str">
        <f t="shared" si="5"/>
        <v/>
      </c>
      <c r="AD102" s="19"/>
    </row>
    <row r="103" ht="31.5" customHeight="1">
      <c r="A103" s="26" t="str">
        <f t="shared" si="1"/>
        <v/>
      </c>
      <c r="B103" s="27"/>
      <c r="C103" s="28"/>
      <c r="D103" s="26" t="str">
        <f t="shared" si="2"/>
        <v/>
      </c>
      <c r="E103" s="26" t="str">
        <f>IF(OR($C103="",'Tổng quan'!$B$6="",'Tổng quan'!$B$7=""),"",IF(OR($C103&lt;'Tổng quan'!$B$6,$C103&gt;'Tổng quan'!$B$7),"Ngoài kỳ","Tuần "&amp;(INT(($C103-'Tổng quan'!$B$6)/7)+1)))</f>
        <v/>
      </c>
      <c r="F103" s="29"/>
      <c r="G103" s="29"/>
      <c r="H103" s="27"/>
      <c r="I103" s="27"/>
      <c r="J103" s="29"/>
      <c r="K103" s="27"/>
      <c r="L103" s="27"/>
      <c r="M103" s="29"/>
      <c r="N103" s="29"/>
      <c r="O103" s="30"/>
      <c r="P103" s="30"/>
      <c r="Q103" s="28"/>
      <c r="R103" s="27"/>
      <c r="S103" s="26" t="str">
        <f>IF($F103="","",IF($R103="Hủy","Đã hủy",IF($R103="Đã đăng",IF($T103="","Đã đăng – thiếu link","Đã đăng"),IF($C103="","Chưa có ngày đăng",IF($C103&lt;'Tổng quan'!$H$11,"Trễ lịch đăng "&amp;('Tổng quan'!$H$11-$C103)&amp;" ngày",IF(AND($Q103&lt;&gt;"",$Q103&lt;'Tổng quan'!$H$11,OR($R103="Ý tưởng",$R103="Đang viết",$R103="")),"Trễ hạn nháp "&amp;('Tổng quan'!$H$11-$Q103)&amp;" ngày",IF($C103='Tổng quan'!$H$11,"Đăng hôm nay",IF($C103-'Tổng quan'!$H$11&lt;='Cài đặt'!$B$102,"Sắp đăng ("&amp;($C103-'Tổng quan'!$H$11)&amp;" ngày)","Còn "&amp;($C103-'Tổng quan'!$H$11)&amp;" ngày"))))))))</f>
        <v/>
      </c>
      <c r="T103" s="30"/>
      <c r="U103" s="32"/>
      <c r="V103" s="32"/>
      <c r="W103" s="33"/>
      <c r="X103" s="33"/>
      <c r="Y103" s="33"/>
      <c r="Z103" s="33"/>
      <c r="AA103" s="34" t="str">
        <f t="shared" si="3"/>
        <v/>
      </c>
      <c r="AB103" s="34" t="str">
        <f t="shared" si="4"/>
        <v/>
      </c>
      <c r="AC103" s="35" t="str">
        <f t="shared" si="5"/>
        <v/>
      </c>
      <c r="AD103" s="29"/>
    </row>
    <row r="104" ht="31.5" customHeight="1">
      <c r="A104" s="15" t="str">
        <f t="shared" si="1"/>
        <v/>
      </c>
      <c r="B104" s="16"/>
      <c r="C104" s="17"/>
      <c r="D104" s="15" t="str">
        <f t="shared" si="2"/>
        <v/>
      </c>
      <c r="E104" s="15" t="str">
        <f>IF(OR($C104="",'Tổng quan'!$B$6="",'Tổng quan'!$B$7=""),"",IF(OR($C104&lt;'Tổng quan'!$B$6,$C104&gt;'Tổng quan'!$B$7),"Ngoài kỳ","Tuần "&amp;(INT(($C104-'Tổng quan'!$B$6)/7)+1)))</f>
        <v/>
      </c>
      <c r="F104" s="19"/>
      <c r="G104" s="19"/>
      <c r="H104" s="16"/>
      <c r="I104" s="16"/>
      <c r="J104" s="19"/>
      <c r="K104" s="16"/>
      <c r="L104" s="16"/>
      <c r="M104" s="19"/>
      <c r="N104" s="19"/>
      <c r="O104" s="20"/>
      <c r="P104" s="20"/>
      <c r="Q104" s="17"/>
      <c r="R104" s="16"/>
      <c r="S104" s="15" t="str">
        <f>IF($F104="","",IF($R104="Hủy","Đã hủy",IF($R104="Đã đăng",IF($T104="","Đã đăng – thiếu link","Đã đăng"),IF($C104="","Chưa có ngày đăng",IF($C104&lt;'Tổng quan'!$H$11,"Trễ lịch đăng "&amp;('Tổng quan'!$H$11-$C104)&amp;" ngày",IF(AND($Q104&lt;&gt;"",$Q104&lt;'Tổng quan'!$H$11,OR($R104="Ý tưởng",$R104="Đang viết",$R104="")),"Trễ hạn nháp "&amp;('Tổng quan'!$H$11-$Q104)&amp;" ngày",IF($C104='Tổng quan'!$H$11,"Đăng hôm nay",IF($C104-'Tổng quan'!$H$11&lt;='Cài đặt'!$B$102,"Sắp đăng ("&amp;($C104-'Tổng quan'!$H$11)&amp;" ngày)","Còn "&amp;($C104-'Tổng quan'!$H$11)&amp;" ngày"))))))))</f>
        <v/>
      </c>
      <c r="T104" s="20"/>
      <c r="U104" s="22"/>
      <c r="V104" s="22"/>
      <c r="W104" s="23"/>
      <c r="X104" s="23"/>
      <c r="Y104" s="23"/>
      <c r="Z104" s="23"/>
      <c r="AA104" s="24" t="str">
        <f t="shared" si="3"/>
        <v/>
      </c>
      <c r="AB104" s="24" t="str">
        <f t="shared" si="4"/>
        <v/>
      </c>
      <c r="AC104" s="25" t="str">
        <f t="shared" si="5"/>
        <v/>
      </c>
      <c r="AD104" s="19"/>
    </row>
    <row r="105" ht="31.5" customHeight="1">
      <c r="A105" s="26" t="str">
        <f t="shared" si="1"/>
        <v/>
      </c>
      <c r="B105" s="27"/>
      <c r="C105" s="28"/>
      <c r="D105" s="26" t="str">
        <f t="shared" si="2"/>
        <v/>
      </c>
      <c r="E105" s="26" t="str">
        <f>IF(OR($C105="",'Tổng quan'!$B$6="",'Tổng quan'!$B$7=""),"",IF(OR($C105&lt;'Tổng quan'!$B$6,$C105&gt;'Tổng quan'!$B$7),"Ngoài kỳ","Tuần "&amp;(INT(($C105-'Tổng quan'!$B$6)/7)+1)))</f>
        <v/>
      </c>
      <c r="F105" s="29"/>
      <c r="G105" s="29"/>
      <c r="H105" s="27"/>
      <c r="I105" s="27"/>
      <c r="J105" s="29"/>
      <c r="K105" s="27"/>
      <c r="L105" s="27"/>
      <c r="M105" s="29"/>
      <c r="N105" s="29"/>
      <c r="O105" s="30"/>
      <c r="P105" s="30"/>
      <c r="Q105" s="28"/>
      <c r="R105" s="27"/>
      <c r="S105" s="26" t="str">
        <f>IF($F105="","",IF($R105="Hủy","Đã hủy",IF($R105="Đã đăng",IF($T105="","Đã đăng – thiếu link","Đã đăng"),IF($C105="","Chưa có ngày đăng",IF($C105&lt;'Tổng quan'!$H$11,"Trễ lịch đăng "&amp;('Tổng quan'!$H$11-$C105)&amp;" ngày",IF(AND($Q105&lt;&gt;"",$Q105&lt;'Tổng quan'!$H$11,OR($R105="Ý tưởng",$R105="Đang viết",$R105="")),"Trễ hạn nháp "&amp;('Tổng quan'!$H$11-$Q105)&amp;" ngày",IF($C105='Tổng quan'!$H$11,"Đăng hôm nay",IF($C105-'Tổng quan'!$H$11&lt;='Cài đặt'!$B$102,"Sắp đăng ("&amp;($C105-'Tổng quan'!$H$11)&amp;" ngày)","Còn "&amp;($C105-'Tổng quan'!$H$11)&amp;" ngày"))))))))</f>
        <v/>
      </c>
      <c r="T105" s="30"/>
      <c r="U105" s="32"/>
      <c r="V105" s="32"/>
      <c r="W105" s="33"/>
      <c r="X105" s="33"/>
      <c r="Y105" s="33"/>
      <c r="Z105" s="33"/>
      <c r="AA105" s="34" t="str">
        <f t="shared" si="3"/>
        <v/>
      </c>
      <c r="AB105" s="34" t="str">
        <f t="shared" si="4"/>
        <v/>
      </c>
      <c r="AC105" s="35" t="str">
        <f t="shared" si="5"/>
        <v/>
      </c>
      <c r="AD105" s="29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AD1"/>
    <mergeCell ref="A2:AD2"/>
    <mergeCell ref="A4:F4"/>
    <mergeCell ref="G4:N4"/>
    <mergeCell ref="O4:T4"/>
    <mergeCell ref="U4:V4"/>
    <mergeCell ref="W4:AC4"/>
  </mergeCells>
  <conditionalFormatting sqref="S6:S105">
    <cfRule type="expression" dxfId="5" priority="1">
      <formula>LEFT($S6,3)="Trễ"</formula>
    </cfRule>
  </conditionalFormatting>
  <conditionalFormatting sqref="S6:S105">
    <cfRule type="expression" dxfId="2" priority="2">
      <formula>OR($S6="Đăng hôm nay",LEFT($S6,3)="Sắp",ISNUMBER(SEARCH("thiếu link",$S6)))</formula>
    </cfRule>
  </conditionalFormatting>
  <conditionalFormatting sqref="S6:S105">
    <cfRule type="expression" dxfId="6" priority="3">
      <formula>OR($S6="Đã đăng",$S6="Đã hủy")</formula>
    </cfRule>
  </conditionalFormatting>
  <conditionalFormatting sqref="R6:R105">
    <cfRule type="cellIs" dxfId="2" priority="4" operator="equal">
      <formula>"Đã đăng"</formula>
    </cfRule>
  </conditionalFormatting>
  <conditionalFormatting sqref="R6:R105">
    <cfRule type="cellIs" dxfId="6" priority="5" operator="equal">
      <formula>"Hủy"</formula>
    </cfRule>
  </conditionalFormatting>
  <conditionalFormatting sqref="R6:R105">
    <cfRule type="expression" dxfId="4" priority="6">
      <formula>OR($R6="Chờ duyệt",$R6="Đã duyệt")</formula>
    </cfRule>
  </conditionalFormatting>
  <dataValidations>
    <dataValidation type="list" allowBlank="1" sqref="J6:J105">
      <formula1>'Cài đặt'!$A$42:$A$47</formula1>
    </dataValidation>
    <dataValidation type="list" allowBlank="1" sqref="L6:L105">
      <formula1>'Cài đặt'!$A$58:$A$62</formula1>
    </dataValidation>
    <dataValidation type="list" allowBlank="1" sqref="H6:H105">
      <formula1>'Cài đặt'!$A$29:$A$38</formula1>
    </dataValidation>
    <dataValidation type="list" allowBlank="1" sqref="R6:R105">
      <formula1>'Cài đặt'!$A$75:$A$80</formula1>
    </dataValidation>
    <dataValidation type="date" operator="greaterThan" allowBlank="1" sqref="C6:C105 Q6:Q105">
      <formula1>36526.0</formula1>
    </dataValidation>
    <dataValidation type="list" allowBlank="1" sqref="G6:G105">
      <formula1>'Cài đặt'!$A$6:$A$13</formula1>
    </dataValidation>
    <dataValidation type="list" allowBlank="1" sqref="I6:I105">
      <formula1>'Cài đặt'!$A$18:$A$25</formula1>
    </dataValidation>
    <dataValidation type="list" allowBlank="1" sqref="K6:K105">
      <formula1>'Cài đặt'!$A$51:$A$54</formula1>
    </dataValidation>
    <dataValidation type="list" allowBlank="1" sqref="O6:P105">
      <formula1>'Cài đặt'!$A$85:$A$99</formula1>
    </dataValidation>
    <dataValidation type="decimal" operator="greaterThanOrEqual" allowBlank="1" sqref="U6:Z105">
      <formula1>0.0</formula1>
    </dataValidation>
  </dataValidations>
  <printOptions/>
  <pageMargins bottom="1.0" footer="0.0" header="0.0" left="0.75" right="0.75" top="1.0"/>
  <pageSetup fitToHeight="0"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/>
  </sheetViews>
  <sheetFormatPr customHeight="1" defaultColWidth="14.43" defaultRowHeight="15.0"/>
  <cols>
    <col customWidth="1" min="1" max="7" width="25.0"/>
    <col customWidth="1" min="8" max="8" width="15.0"/>
    <col customWidth="1" min="9" max="26" width="8.71"/>
  </cols>
  <sheetData>
    <row r="1" ht="42.0" customHeight="1">
      <c r="A1" s="1" t="s">
        <v>0</v>
      </c>
      <c r="B1" s="2"/>
      <c r="C1" s="2"/>
      <c r="D1" s="2"/>
      <c r="E1" s="2"/>
      <c r="F1" s="2"/>
      <c r="G1" s="2"/>
      <c r="H1" s="3"/>
    </row>
    <row r="2" ht="19.5" customHeight="1">
      <c r="A2" s="4" t="str">
        <f>IF('Tổng quan'!$B$6="","",'Tổng quan'!B5&amp;"  |  "&amp;TEXT('Tổng quan'!$B$6,"dd/mm/yyyy")&amp;" – "&amp;TEXT('Tổng quan'!$B$7,"dd/mm/yyyy"))</f>
        <v>Mùa không khí sạch – Quý 4/2026  |  05/10/2026 – 08/11/2026</v>
      </c>
    </row>
    <row r="4">
      <c r="A4" s="7" t="s">
        <v>6</v>
      </c>
      <c r="D4" s="8"/>
      <c r="E4" s="9" t="s">
        <v>9</v>
      </c>
      <c r="G4" s="12">
        <f>IF(D4&lt;&gt;"",D4-WEEKDAY(D4,2)+1,'Tổng quan'!$B$6-WEEKDAY('Tổng quan'!$B$6,2)+1)</f>
        <v>46300</v>
      </c>
    </row>
    <row r="6" ht="24.0" customHeight="1">
      <c r="A6" s="13" t="s">
        <v>37</v>
      </c>
      <c r="B6" s="13" t="s">
        <v>42</v>
      </c>
      <c r="C6" s="13" t="s">
        <v>43</v>
      </c>
      <c r="D6" s="13" t="s">
        <v>44</v>
      </c>
      <c r="E6" s="13" t="s">
        <v>45</v>
      </c>
      <c r="F6" s="13" t="s">
        <v>46</v>
      </c>
      <c r="G6" s="13" t="s">
        <v>47</v>
      </c>
      <c r="H6" s="13" t="s">
        <v>48</v>
      </c>
    </row>
    <row r="7" ht="19.5" customHeight="1">
      <c r="A7" s="14">
        <f>$G$4+0</f>
        <v>46300</v>
      </c>
      <c r="B7" s="14">
        <f>$G$4+1</f>
        <v>46301</v>
      </c>
      <c r="C7" s="14">
        <f>$G$4+2</f>
        <v>46302</v>
      </c>
      <c r="D7" s="14">
        <f>$G$4+3</f>
        <v>46303</v>
      </c>
      <c r="E7" s="14">
        <f>$G$4+4</f>
        <v>46304</v>
      </c>
      <c r="F7" s="14">
        <f>$G$4+5</f>
        <v>46305</v>
      </c>
      <c r="G7" s="14">
        <f>$G$4+6</f>
        <v>46306</v>
      </c>
      <c r="H7" s="18">
        <f>COUNTIFS('Lịch nội dung'!$C$6:$C$105,"&gt;="&amp;A7,'Lịch nội dung'!$C$6:$C$105,"&lt;="&amp;G7,'Lịch nội dung'!$R$6:$R$105,"&lt;&gt;Hủy")</f>
        <v>3</v>
      </c>
    </row>
    <row r="8" ht="57.75" customHeight="1">
      <c r="A8" s="21" t="str">
        <f t="array" ref="A8">IF(COUNTIFS('Lịch nội dung'!$C$6:$C$105,A7,'Lịch nội dung'!$R$6:$R$105,"&lt;&gt;Hủy")=0,"",INDEX('Lịch nội dung'!$F$6:$F$105,MATCH(A7,'Lịch nội dung'!$C$6:$C$105,0))&amp;" ["&amp;INDEX('Lịch nội dung'!$I$6:$I$105,MATCH(A7,'Lịch nội dung'!$C$6:$C$105,0))&amp;"]"&amp;IF(COUNTIFS('Lịch nội dung'!$C$6:$C$105,A7,'Lịch nội dung'!$R$6:$R$105,"&lt;&gt;Hủy")&gt;1,CHAR(10)&amp;"+"&amp;(COUNTIFS('Lịch nội dung'!$C$6:$C$105,A7,'Lịch nội dung'!$R$6:$R$105,"&lt;&gt;Hủy")-1)&amp;" nội dung khác",""))</f>
        <v/>
      </c>
      <c r="B8" s="21" t="str">
        <f t="array" ref="B8">IF(COUNTIFS('Lịch nội dung'!$C$6:$C$105,B7,'Lịch nội dung'!$R$6:$R$105,"&lt;&gt;Hủy")=0,"",INDEX('Lịch nội dung'!$F$6:$F$105,MATCH(B7,'Lịch nội dung'!$C$6:$C$105,0))&amp;" ["&amp;INDEX('Lịch nội dung'!$I$6:$I$105,MATCH(B7,'Lịch nội dung'!$C$6:$C$105,0))&amp;"]"&amp;IF(COUNTIFS('Lịch nội dung'!$C$6:$C$105,B7,'Lịch nội dung'!$R$6:$R$105,"&lt;&gt;Hủy")&gt;1,CHAR(10)&amp;"+"&amp;(COUNTIFS('Lịch nội dung'!$C$6:$C$105,B7,'Lịch nội dung'!$R$6:$R$105,"&lt;&gt;Hủy")-1)&amp;" nội dung khác",""))</f>
        <v>5 dấu hiệu không khí trong nhà đang ô nhiễm [Website/Blog]</v>
      </c>
      <c r="C8" s="21" t="str">
        <f t="array" ref="C8">IF(COUNTIFS('Lịch nội dung'!$C$6:$C$105,C7,'Lịch nội dung'!$R$6:$R$105,"&lt;&gt;Hủy")=0,"",INDEX('Lịch nội dung'!$F$6:$F$105,MATCH(C7,'Lịch nội dung'!$C$6:$C$105,0))&amp;" ["&amp;INDEX('Lịch nội dung'!$I$6:$I$105,MATCH(C7,'Lịch nội dung'!$C$6:$C$105,0))&amp;"]"&amp;IF(COUNTIFS('Lịch nội dung'!$C$6:$C$105,C7,'Lịch nội dung'!$R$6:$R$105,"&lt;&gt;Hủy")&gt;1,CHAR(10)&amp;"+"&amp;(COUNTIFS('Lịch nội dung'!$C$6:$C$105,C7,'Lịch nội dung'!$R$6:$R$105,"&lt;&gt;Hủy")-1)&amp;" nội dung khác",""))</f>
        <v>Infographic: PM2.5 là gì và ảnh hưởng ra sao? [Facebook]</v>
      </c>
      <c r="D8" s="21" t="str">
        <f t="array" ref="D8">IF(COUNTIFS('Lịch nội dung'!$C$6:$C$105,D7,'Lịch nội dung'!$R$6:$R$105,"&lt;&gt;Hủy")=0,"",INDEX('Lịch nội dung'!$F$6:$F$105,MATCH(D7,'Lịch nội dung'!$C$6:$C$105,0))&amp;" ["&amp;INDEX('Lịch nội dung'!$I$6:$I$105,MATCH(D7,'Lịch nội dung'!$C$6:$C$105,0))&amp;"]"&amp;IF(COUNTIFS('Lịch nội dung'!$C$6:$C$105,D7,'Lịch nội dung'!$R$6:$R$105,"&lt;&gt;Hủy")&gt;1,CHAR(10)&amp;"+"&amp;(COUNTIFS('Lịch nội dung'!$C$6:$C$105,D7,'Lịch nội dung'!$R$6:$R$105,"&lt;&gt;Hủy")-1)&amp;" nội dung khác",""))</f>
        <v/>
      </c>
      <c r="E8" s="21" t="str">
        <f t="array" ref="E8">IF(COUNTIFS('Lịch nội dung'!$C$6:$C$105,E7,'Lịch nội dung'!$R$6:$R$105,"&lt;&gt;Hủy")=0,"",INDEX('Lịch nội dung'!$F$6:$F$105,MATCH(E7,'Lịch nội dung'!$C$6:$C$105,0))&amp;" ["&amp;INDEX('Lịch nội dung'!$I$6:$I$105,MATCH(E7,'Lịch nội dung'!$C$6:$C$105,0))&amp;"]"&amp;IF(COUNTIFS('Lịch nội dung'!$C$6:$C$105,E7,'Lịch nội dung'!$R$6:$R$105,"&lt;&gt;Hủy")&gt;1,CHAR(10)&amp;"+"&amp;(COUNTIFS('Lịch nội dung'!$C$6:$C$105,E7,'Lịch nội dung'!$R$6:$R$105,"&lt;&gt;Hủy")-1)&amp;" nội dung khác",""))</f>
        <v>Thử nghiệm: 1 giờ bật máy lọc, bụi mịn giảm bao nhiêu? [TikTok]</v>
      </c>
      <c r="F8" s="21" t="str">
        <f t="array" ref="F8">IF(COUNTIFS('Lịch nội dung'!$C$6:$C$105,F7,'Lịch nội dung'!$R$6:$R$105,"&lt;&gt;Hủy")=0,"",INDEX('Lịch nội dung'!$F$6:$F$105,MATCH(F7,'Lịch nội dung'!$C$6:$C$105,0))&amp;" ["&amp;INDEX('Lịch nội dung'!$I$6:$I$105,MATCH(F7,'Lịch nội dung'!$C$6:$C$105,0))&amp;"]"&amp;IF(COUNTIFS('Lịch nội dung'!$C$6:$C$105,F7,'Lịch nội dung'!$R$6:$R$105,"&lt;&gt;Hủy")&gt;1,CHAR(10)&amp;"+"&amp;(COUNTIFS('Lịch nội dung'!$C$6:$C$105,F7,'Lịch nội dung'!$R$6:$R$105,"&lt;&gt;Hủy")-1)&amp;" nội dung khác",""))</f>
        <v/>
      </c>
      <c r="G8" s="21" t="str">
        <f t="array" ref="G8">IF(COUNTIFS('Lịch nội dung'!$C$6:$C$105,G7,'Lịch nội dung'!$R$6:$R$105,"&lt;&gt;Hủy")=0,"",INDEX('Lịch nội dung'!$F$6:$F$105,MATCH(G7,'Lịch nội dung'!$C$6:$C$105,0))&amp;" ["&amp;INDEX('Lịch nội dung'!$I$6:$I$105,MATCH(G7,'Lịch nội dung'!$C$6:$C$105,0))&amp;"]"&amp;IF(COUNTIFS('Lịch nội dung'!$C$6:$C$105,G7,'Lịch nội dung'!$R$6:$R$105,"&lt;&gt;Hủy")&gt;1,CHAR(10)&amp;"+"&amp;(COUNTIFS('Lịch nội dung'!$C$6:$C$105,G7,'Lịch nội dung'!$R$6:$R$105,"&lt;&gt;Hủy")-1)&amp;" nội dung khác",""))</f>
        <v/>
      </c>
      <c r="H8" s="31" t="str">
        <f>"Đã đăng: "&amp;COUNTIFS('Lịch nội dung'!$C$6:$C$105,"&gt;="&amp;A7,'Lịch nội dung'!$C$6:$C$105,"&lt;="&amp;G7,'Lịch nội dung'!$R$6:$R$105,"Đã đăng")</f>
        <v>Đã đăng: 3</v>
      </c>
    </row>
    <row r="9" ht="19.5" customHeight="1">
      <c r="A9" s="14">
        <f>$G$4+7</f>
        <v>46307</v>
      </c>
      <c r="B9" s="14">
        <f>$G$4+8</f>
        <v>46308</v>
      </c>
      <c r="C9" s="14">
        <f>$G$4+9</f>
        <v>46309</v>
      </c>
      <c r="D9" s="14">
        <f>$G$4+10</f>
        <v>46310</v>
      </c>
      <c r="E9" s="14">
        <f>$G$4+11</f>
        <v>46311</v>
      </c>
      <c r="F9" s="14">
        <f>$G$4+12</f>
        <v>46312</v>
      </c>
      <c r="G9" s="14">
        <f>$G$4+13</f>
        <v>46313</v>
      </c>
      <c r="H9" s="18">
        <f>COUNTIFS('Lịch nội dung'!$C$6:$C$105,"&gt;="&amp;A9,'Lịch nội dung'!$C$6:$C$105,"&lt;="&amp;G9,'Lịch nội dung'!$R$6:$R$105,"&lt;&gt;Hủy")</f>
        <v>4</v>
      </c>
    </row>
    <row r="10" ht="57.75" customHeight="1">
      <c r="A10" s="21" t="str">
        <f t="array" ref="A10">IF(COUNTIFS('Lịch nội dung'!$C$6:$C$105,A9,'Lịch nội dung'!$R$6:$R$105,"&lt;&gt;Hủy")=0,"",INDEX('Lịch nội dung'!$F$6:$F$105,MATCH(A9,'Lịch nội dung'!$C$6:$C$105,0))&amp;" ["&amp;INDEX('Lịch nội dung'!$I$6:$I$105,MATCH(A9,'Lịch nội dung'!$C$6:$C$105,0))&amp;"]"&amp;IF(COUNTIFS('Lịch nội dung'!$C$6:$C$105,A9,'Lịch nội dung'!$R$6:$R$105,"&lt;&gt;Hủy")&gt;1,CHAR(10)&amp;"+"&amp;(COUNTIFS('Lịch nội dung'!$C$6:$C$105,A9,'Lịch nội dung'!$R$6:$R$105,"&lt;&gt;Hủy")-1)&amp;" nội dung khác",""))</f>
        <v/>
      </c>
      <c r="B10" s="21" t="str">
        <f t="array" ref="B10">IF(COUNTIFS('Lịch nội dung'!$C$6:$C$105,B9,'Lịch nội dung'!$R$6:$R$105,"&lt;&gt;Hủy")=0,"",INDEX('Lịch nội dung'!$F$6:$F$105,MATCH(B9,'Lịch nội dung'!$C$6:$C$105,0))&amp;" ["&amp;INDEX('Lịch nội dung'!$I$6:$I$105,MATCH(B9,'Lịch nội dung'!$C$6:$C$105,0))&amp;"]"&amp;IF(COUNTIFS('Lịch nội dung'!$C$6:$C$105,B9,'Lịch nội dung'!$R$6:$R$105,"&lt;&gt;Hủy")&gt;1,CHAR(10)&amp;"+"&amp;(COUNTIFS('Lịch nội dung'!$C$6:$C$105,B9,'Lịch nội dung'!$R$6:$R$105,"&lt;&gt;Hủy")-1)&amp;" nội dung khác",""))</f>
        <v>Hướng dẫn chọn máy lọc theo diện tích phòng [Email]</v>
      </c>
      <c r="C10" s="21" t="str">
        <f t="array" ref="C10">IF(COUNTIFS('Lịch nội dung'!$C$6:$C$105,C9,'Lịch nội dung'!$R$6:$R$105,"&lt;&gt;Hủy")=0,"",INDEX('Lịch nội dung'!$F$6:$F$105,MATCH(C9,'Lịch nội dung'!$C$6:$C$105,0))&amp;" ["&amp;INDEX('Lịch nội dung'!$I$6:$I$105,MATCH(C9,'Lịch nội dung'!$C$6:$C$105,0))&amp;"]"&amp;IF(COUNTIFS('Lịch nội dung'!$C$6:$C$105,C9,'Lịch nội dung'!$R$6:$R$105,"&lt;&gt;Hủy")&gt;1,CHAR(10)&amp;"+"&amp;(COUNTIFS('Lịch nội dung'!$C$6:$C$105,C9,'Lịch nội dung'!$R$6:$R$105,"&lt;&gt;Hủy")-1)&amp;" nội dung khác",""))</f>
        <v>Câu chuyện chị Lan: Con hết ho nhờ không khí sạch [Facebook]</v>
      </c>
      <c r="D10" s="21" t="str">
        <f t="array" ref="D10">IF(COUNTIFS('Lịch nội dung'!$C$6:$C$105,D9,'Lịch nội dung'!$R$6:$R$105,"&lt;&gt;Hủy")=0,"",INDEX('Lịch nội dung'!$F$6:$F$105,MATCH(D9,'Lịch nội dung'!$C$6:$C$105,0))&amp;" ["&amp;INDEX('Lịch nội dung'!$I$6:$I$105,MATCH(D9,'Lịch nội dung'!$C$6:$C$105,0))&amp;"]"&amp;IF(COUNTIFS('Lịch nội dung'!$C$6:$C$105,D9,'Lịch nội dung'!$R$6:$R$105,"&lt;&gt;Hủy")&gt;1,CHAR(10)&amp;"+"&amp;(COUNTIFS('Lịch nội dung'!$C$6:$C$105,D9,'Lịch nội dung'!$R$6:$R$105,"&lt;&gt;Hủy")-1)&amp;" nội dung khác",""))</f>
        <v/>
      </c>
      <c r="E10" s="21" t="str">
        <f t="array" ref="E10">IF(COUNTIFS('Lịch nội dung'!$C$6:$C$105,E9,'Lịch nội dung'!$R$6:$R$105,"&lt;&gt;Hủy")=0,"",INDEX('Lịch nội dung'!$F$6:$F$105,MATCH(E9,'Lịch nội dung'!$C$6:$C$105,0))&amp;" ["&amp;INDEX('Lịch nội dung'!$I$6:$I$105,MATCH(E9,'Lịch nội dung'!$C$6:$C$105,0))&amp;"]"&amp;IF(COUNTIFS('Lịch nội dung'!$C$6:$C$105,E9,'Lịch nội dung'!$R$6:$R$105,"&lt;&gt;Hủy")&gt;1,CHAR(10)&amp;"+"&amp;(COUNTIFS('Lịch nội dung'!$C$6:$C$105,E9,'Lịch nội dung'!$R$6:$R$105,"&lt;&gt;Hủy")-1)&amp;" nội dung khác",""))</f>
        <v>Một ngày ở xưởng lắp ráp AirPure [Instagram]</v>
      </c>
      <c r="F10" s="21" t="str">
        <f t="array" ref="F10">IF(COUNTIFS('Lịch nội dung'!$C$6:$C$105,F9,'Lịch nội dung'!$R$6:$R$105,"&lt;&gt;Hủy")=0,"",INDEX('Lịch nội dung'!$F$6:$F$105,MATCH(F9,'Lịch nội dung'!$C$6:$C$105,0))&amp;" ["&amp;INDEX('Lịch nội dung'!$I$6:$I$105,MATCH(F9,'Lịch nội dung'!$C$6:$C$105,0))&amp;"]"&amp;IF(COUNTIFS('Lịch nội dung'!$C$6:$C$105,F9,'Lịch nội dung'!$R$6:$R$105,"&lt;&gt;Hủy")&gt;1,CHAR(10)&amp;"+"&amp;(COUNTIFS('Lịch nội dung'!$C$6:$C$105,F9,'Lịch nội dung'!$R$6:$R$105,"&lt;&gt;Hủy")-1)&amp;" nội dung khác",""))</f>
        <v>Review chi tiết AirPure Pro sau 30 ngày sử dụng [YouTube]</v>
      </c>
      <c r="G10" s="21" t="str">
        <f t="array" ref="G10">IF(COUNTIFS('Lịch nội dung'!$C$6:$C$105,G9,'Lịch nội dung'!$R$6:$R$105,"&lt;&gt;Hủy")=0,"",INDEX('Lịch nội dung'!$F$6:$F$105,MATCH(G9,'Lịch nội dung'!$C$6:$C$105,0))&amp;" ["&amp;INDEX('Lịch nội dung'!$I$6:$I$105,MATCH(G9,'Lịch nội dung'!$C$6:$C$105,0))&amp;"]"&amp;IF(COUNTIFS('Lịch nội dung'!$C$6:$C$105,G9,'Lịch nội dung'!$R$6:$R$105,"&lt;&gt;Hủy")&gt;1,CHAR(10)&amp;"+"&amp;(COUNTIFS('Lịch nội dung'!$C$6:$C$105,G9,'Lịch nội dung'!$R$6:$R$105,"&lt;&gt;Hủy")-1)&amp;" nội dung khác",""))</f>
        <v/>
      </c>
      <c r="H10" s="31" t="str">
        <f>"Đã đăng: "&amp;COUNTIFS('Lịch nội dung'!$C$6:$C$105,"&gt;="&amp;A9,'Lịch nội dung'!$C$6:$C$105,"&lt;="&amp;G9,'Lịch nội dung'!$R$6:$R$105,"Đã đăng")</f>
        <v>Đã đăng: 4</v>
      </c>
    </row>
    <row r="11" ht="19.5" customHeight="1">
      <c r="A11" s="14">
        <f>$G$4+14</f>
        <v>46314</v>
      </c>
      <c r="B11" s="14">
        <f>$G$4+15</f>
        <v>46315</v>
      </c>
      <c r="C11" s="14">
        <f>$G$4+16</f>
        <v>46316</v>
      </c>
      <c r="D11" s="14">
        <f>$G$4+17</f>
        <v>46317</v>
      </c>
      <c r="E11" s="14">
        <f>$G$4+18</f>
        <v>46318</v>
      </c>
      <c r="F11" s="14">
        <f>$G$4+19</f>
        <v>46319</v>
      </c>
      <c r="G11" s="14">
        <f>$G$4+20</f>
        <v>46320</v>
      </c>
      <c r="H11" s="18">
        <f>COUNTIFS('Lịch nội dung'!$C$6:$C$105,"&gt;="&amp;A11,'Lịch nội dung'!$C$6:$C$105,"&lt;="&amp;G11,'Lịch nội dung'!$R$6:$R$105,"&lt;&gt;Hủy")</f>
        <v>3</v>
      </c>
    </row>
    <row r="12" ht="57.75" customHeight="1">
      <c r="A12" s="21" t="str">
        <f t="array" ref="A12">IF(COUNTIFS('Lịch nội dung'!$C$6:$C$105,A11,'Lịch nội dung'!$R$6:$R$105,"&lt;&gt;Hủy")=0,"",INDEX('Lịch nội dung'!$F$6:$F$105,MATCH(A11,'Lịch nội dung'!$C$6:$C$105,0))&amp;" ["&amp;INDEX('Lịch nội dung'!$I$6:$I$105,MATCH(A11,'Lịch nội dung'!$C$6:$C$105,0))&amp;"]"&amp;IF(COUNTIFS('Lịch nội dung'!$C$6:$C$105,A11,'Lịch nội dung'!$R$6:$R$105,"&lt;&gt;Hủy")&gt;1,CHAR(10)&amp;"+"&amp;(COUNTIFS('Lịch nội dung'!$C$6:$C$105,A11,'Lịch nội dung'!$R$6:$R$105,"&lt;&gt;Hủy")-1)&amp;" nội dung khác",""))</f>
        <v/>
      </c>
      <c r="B12" s="21" t="str">
        <f t="array" ref="B12">IF(COUNTIFS('Lịch nội dung'!$C$6:$C$105,B11,'Lịch nội dung'!$R$6:$R$105,"&lt;&gt;Hủy")=0,"",INDEX('Lịch nội dung'!$F$6:$F$105,MATCH(B11,'Lịch nội dung'!$C$6:$C$105,0))&amp;" ["&amp;INDEX('Lịch nội dung'!$I$6:$I$105,MATCH(B11,'Lịch nội dung'!$C$6:$C$105,0))&amp;"]"&amp;IF(COUNTIFS('Lịch nội dung'!$C$6:$C$105,B11,'Lịch nội dung'!$R$6:$R$105,"&lt;&gt;Hủy")&gt;1,CHAR(10)&amp;"+"&amp;(COUNTIFS('Lịch nội dung'!$C$6:$C$105,B11,'Lịch nội dung'!$R$6:$R$105,"&lt;&gt;Hủy")-1)&amp;" nội dung khác",""))</f>
        <v>So sánh bộ lọc HEPA và than hoạt tính [Website/Blog]</v>
      </c>
      <c r="C12" s="21" t="str">
        <f t="array" ref="C12">IF(COUNTIFS('Lịch nội dung'!$C$6:$C$105,C11,'Lịch nội dung'!$R$6:$R$105,"&lt;&gt;Hủy")=0,"",INDEX('Lịch nội dung'!$F$6:$F$105,MATCH(C11,'Lịch nội dung'!$C$6:$C$105,0))&amp;" ["&amp;INDEX('Lịch nội dung'!$I$6:$I$105,MATCH(C11,'Lịch nội dung'!$C$6:$C$105,0))&amp;"]"&amp;IF(COUNTIFS('Lịch nội dung'!$C$6:$C$105,C11,'Lịch nội dung'!$R$6:$R$105,"&lt;&gt;Hủy")&gt;1,CHAR(10)&amp;"+"&amp;(COUNTIFS('Lịch nội dung'!$C$6:$C$105,C11,'Lịch nội dung'!$R$6:$R$105,"&lt;&gt;Hủy")-1)&amp;" nội dung khác",""))</f>
        <v>3 mẹo giữ không khí sạch khi trời nồm [TikTok]</v>
      </c>
      <c r="D12" s="21" t="str">
        <f t="array" ref="D12">IF(COUNTIFS('Lịch nội dung'!$C$6:$C$105,D11,'Lịch nội dung'!$R$6:$R$105,"&lt;&gt;Hủy")=0,"",INDEX('Lịch nội dung'!$F$6:$F$105,MATCH(D11,'Lịch nội dung'!$C$6:$C$105,0))&amp;" ["&amp;INDEX('Lịch nội dung'!$I$6:$I$105,MATCH(D11,'Lịch nội dung'!$C$6:$C$105,0))&amp;"]"&amp;IF(COUNTIFS('Lịch nội dung'!$C$6:$C$105,D11,'Lịch nội dung'!$R$6:$R$105,"&lt;&gt;Hủy")&gt;1,CHAR(10)&amp;"+"&amp;(COUNTIFS('Lịch nội dung'!$C$6:$C$105,D11,'Lịch nội dung'!$R$6:$R$105,"&lt;&gt;Hủy")-1)&amp;" nội dung khác",""))</f>
        <v/>
      </c>
      <c r="E12" s="21" t="str">
        <f t="array" ref="E12">IF(COUNTIFS('Lịch nội dung'!$C$6:$C$105,E11,'Lịch nội dung'!$R$6:$R$105,"&lt;&gt;Hủy")=0,"",INDEX('Lịch nội dung'!$F$6:$F$105,MATCH(E11,'Lịch nội dung'!$C$6:$C$105,0))&amp;" ["&amp;INDEX('Lịch nội dung'!$I$6:$I$105,MATCH(E11,'Lịch nội dung'!$C$6:$C$105,0))&amp;"]"&amp;IF(COUNTIFS('Lịch nội dung'!$C$6:$C$105,E11,'Lịch nội dung'!$R$6:$R$105,"&lt;&gt;Hủy")&gt;1,CHAR(10)&amp;"+"&amp;(COUNTIFS('Lịch nội dung'!$C$6:$C$105,E11,'Lịch nội dung'!$R$6:$R$105,"&lt;&gt;Hủy")-1)&amp;" nội dung khác",""))</f>
        <v>Ưu đãi giảm 15% dòng AirPure Mini [Facebook]</v>
      </c>
      <c r="F12" s="21" t="str">
        <f t="array" ref="F12">IF(COUNTIFS('Lịch nội dung'!$C$6:$C$105,F11,'Lịch nội dung'!$R$6:$R$105,"&lt;&gt;Hủy")=0,"",INDEX('Lịch nội dung'!$F$6:$F$105,MATCH(F11,'Lịch nội dung'!$C$6:$C$105,0))&amp;" ["&amp;INDEX('Lịch nội dung'!$I$6:$I$105,MATCH(F11,'Lịch nội dung'!$C$6:$C$105,0))&amp;"]"&amp;IF(COUNTIFS('Lịch nội dung'!$C$6:$C$105,F11,'Lịch nội dung'!$R$6:$R$105,"&lt;&gt;Hủy")&gt;1,CHAR(10)&amp;"+"&amp;(COUNTIFS('Lịch nội dung'!$C$6:$C$105,F11,'Lịch nội dung'!$R$6:$R$105,"&lt;&gt;Hủy")-1)&amp;" nội dung khác",""))</f>
        <v/>
      </c>
      <c r="G12" s="21" t="str">
        <f t="array" ref="G12">IF(COUNTIFS('Lịch nội dung'!$C$6:$C$105,G11,'Lịch nội dung'!$R$6:$R$105,"&lt;&gt;Hủy")=0,"",INDEX('Lịch nội dung'!$F$6:$F$105,MATCH(G11,'Lịch nội dung'!$C$6:$C$105,0))&amp;" ["&amp;INDEX('Lịch nội dung'!$I$6:$I$105,MATCH(G11,'Lịch nội dung'!$C$6:$C$105,0))&amp;"]"&amp;IF(COUNTIFS('Lịch nội dung'!$C$6:$C$105,G11,'Lịch nội dung'!$R$6:$R$105,"&lt;&gt;Hủy")&gt;1,CHAR(10)&amp;"+"&amp;(COUNTIFS('Lịch nội dung'!$C$6:$C$105,G11,'Lịch nội dung'!$R$6:$R$105,"&lt;&gt;Hủy")-1)&amp;" nội dung khác",""))</f>
        <v/>
      </c>
      <c r="H12" s="31" t="str">
        <f>"Đã đăng: "&amp;COUNTIFS('Lịch nội dung'!$C$6:$C$105,"&gt;="&amp;A11,'Lịch nội dung'!$C$6:$C$105,"&lt;="&amp;G11,'Lịch nội dung'!$R$6:$R$105,"Đã đăng")</f>
        <v>Đã đăng: 3</v>
      </c>
    </row>
    <row r="13" ht="19.5" customHeight="1">
      <c r="A13" s="14">
        <f>$G$4+21</f>
        <v>46321</v>
      </c>
      <c r="B13" s="14">
        <f>$G$4+22</f>
        <v>46322</v>
      </c>
      <c r="C13" s="14">
        <f>$G$4+23</f>
        <v>46323</v>
      </c>
      <c r="D13" s="14">
        <f>$G$4+24</f>
        <v>46324</v>
      </c>
      <c r="E13" s="14">
        <f>$G$4+25</f>
        <v>46325</v>
      </c>
      <c r="F13" s="14">
        <f>$G$4+26</f>
        <v>46326</v>
      </c>
      <c r="G13" s="14">
        <f>$G$4+27</f>
        <v>46327</v>
      </c>
      <c r="H13" s="18">
        <f>COUNTIFS('Lịch nội dung'!$C$6:$C$105,"&gt;="&amp;A13,'Lịch nội dung'!$C$6:$C$105,"&lt;="&amp;G13,'Lịch nội dung'!$R$6:$R$105,"&lt;&gt;Hủy")</f>
        <v>4</v>
      </c>
    </row>
    <row r="14" ht="57.75" customHeight="1">
      <c r="A14" s="21" t="str">
        <f t="array" ref="A14">IF(COUNTIFS('Lịch nội dung'!$C$6:$C$105,A13,'Lịch nội dung'!$R$6:$R$105,"&lt;&gt;Hủy")=0,"",INDEX('Lịch nội dung'!$F$6:$F$105,MATCH(A13,'Lịch nội dung'!$C$6:$C$105,0))&amp;" ["&amp;INDEX('Lịch nội dung'!$I$6:$I$105,MATCH(A13,'Lịch nội dung'!$C$6:$C$105,0))&amp;"]"&amp;IF(COUNTIFS('Lịch nội dung'!$C$6:$C$105,A13,'Lịch nội dung'!$R$6:$R$105,"&lt;&gt;Hủy")&gt;1,CHAR(10)&amp;"+"&amp;(COUNTIFS('Lịch nội dung'!$C$6:$C$105,A13,'Lịch nội dung'!$R$6:$R$105,"&lt;&gt;Hủy")-1)&amp;" nội dung khác",""))</f>
        <v/>
      </c>
      <c r="B14" s="21" t="str">
        <f t="array" ref="B14">IF(COUNTIFS('Lịch nội dung'!$C$6:$C$105,B13,'Lịch nội dung'!$R$6:$R$105,"&lt;&gt;Hủy")=0,"",INDEX('Lịch nội dung'!$F$6:$F$105,MATCH(B13,'Lịch nội dung'!$C$6:$C$105,0))&amp;" ["&amp;INDEX('Lịch nội dung'!$I$6:$I$105,MATCH(B13,'Lịch nội dung'!$C$6:$C$105,0))&amp;"]"&amp;IF(COUNTIFS('Lịch nội dung'!$C$6:$C$105,B13,'Lịch nội dung'!$R$6:$R$105,"&lt;&gt;Hủy")&gt;1,CHAR(10)&amp;"+"&amp;(COUNTIFS('Lịch nội dung'!$C$6:$C$105,B13,'Lịch nội dung'!$R$6:$R$105,"&lt;&gt;Hủy")-1)&amp;" nội dung khác",""))</f>
        <v>Xu hướng chất lượng không khí văn phòng năm 2026 [LinkedIn]</v>
      </c>
      <c r="C14" s="21" t="str">
        <f t="array" ref="C14">IF(COUNTIFS('Lịch nội dung'!$C$6:$C$105,C13,'Lịch nội dung'!$R$6:$R$105,"&lt;&gt;Hủy")=0,"",INDEX('Lịch nội dung'!$F$6:$F$105,MATCH(C13,'Lịch nội dung'!$C$6:$C$105,0))&amp;" ["&amp;INDEX('Lịch nội dung'!$I$6:$I$105,MATCH(C13,'Lịch nội dung'!$C$6:$C$105,0))&amp;"]"&amp;IF(COUNTIFS('Lịch nội dung'!$C$6:$C$105,C13,'Lịch nội dung'!$R$6:$R$105,"&lt;&gt;Hủy")&gt;1,CHAR(10)&amp;"+"&amp;(COUNTIFS('Lịch nội dung'!$C$6:$C$105,C13,'Lịch nội dung'!$R$6:$R$105,"&lt;&gt;Hủy")-1)&amp;" nội dung khác",""))</f>
        <v>Hậu trường: Kiểm định chất lượng từng máy trước khi giao [Facebook]</v>
      </c>
      <c r="D14" s="21" t="str">
        <f t="array" ref="D14">IF(COUNTIFS('Lịch nội dung'!$C$6:$C$105,D13,'Lịch nội dung'!$R$6:$R$105,"&lt;&gt;Hủy")=0,"",INDEX('Lịch nội dung'!$F$6:$F$105,MATCH(D13,'Lịch nội dung'!$C$6:$C$105,0))&amp;" ["&amp;INDEX('Lịch nội dung'!$I$6:$I$105,MATCH(D13,'Lịch nội dung'!$C$6:$C$105,0))&amp;"]"&amp;IF(COUNTIFS('Lịch nội dung'!$C$6:$C$105,D13,'Lịch nội dung'!$R$6:$R$105,"&lt;&gt;Hủy")&gt;1,CHAR(10)&amp;"+"&amp;(COUNTIFS('Lịch nội dung'!$C$6:$C$105,D13,'Lịch nội dung'!$R$6:$R$105,"&lt;&gt;Hủy")-1)&amp;" nội dung khác",""))</f>
        <v/>
      </c>
      <c r="E14" s="21" t="str">
        <f t="array" ref="E14">IF(COUNTIFS('Lịch nội dung'!$C$6:$C$105,E13,'Lịch nội dung'!$R$6:$R$105,"&lt;&gt;Hủy")=0,"",INDEX('Lịch nội dung'!$F$6:$F$105,MATCH(E13,'Lịch nội dung'!$C$6:$C$105,0))&amp;" ["&amp;INDEX('Lịch nội dung'!$I$6:$I$105,MATCH(E13,'Lịch nội dung'!$C$6:$C$105,0))&amp;"]"&amp;IF(COUNTIFS('Lịch nội dung'!$C$6:$C$105,E13,'Lịch nội dung'!$R$6:$R$105,"&lt;&gt;Hủy")&gt;1,CHAR(10)&amp;"+"&amp;(COUNTIFS('Lịch nội dung'!$C$6:$C$105,E13,'Lịch nội dung'!$R$6:$R$105,"&lt;&gt;Hủy")-1)&amp;" nội dung khác",""))</f>
        <v>Chuỗi email chăm sóc lead – thư số 2 [Email]</v>
      </c>
      <c r="F14" s="21" t="str">
        <f t="array" ref="F14">IF(COUNTIFS('Lịch nội dung'!$C$6:$C$105,F13,'Lịch nội dung'!$R$6:$R$105,"&lt;&gt;Hủy")=0,"",INDEX('Lịch nội dung'!$F$6:$F$105,MATCH(F13,'Lịch nội dung'!$C$6:$C$105,0))&amp;" ["&amp;INDEX('Lịch nội dung'!$I$6:$I$105,MATCH(F13,'Lịch nội dung'!$C$6:$C$105,0))&amp;"]"&amp;IF(COUNTIFS('Lịch nội dung'!$C$6:$C$105,F13,'Lịch nội dung'!$R$6:$R$105,"&lt;&gt;Hủy")&gt;1,CHAR(10)&amp;"+"&amp;(COUNTIFS('Lịch nội dung'!$C$6:$C$105,F13,'Lịch nội dung'!$R$6:$R$105,"&lt;&gt;Hủy")-1)&amp;" nội dung khác",""))</f>
        <v>Góc nhìn: Không khí sạch giúp ngủ ngon hơn [Instagram]</v>
      </c>
      <c r="G14" s="21" t="str">
        <f t="array" ref="G14">IF(COUNTIFS('Lịch nội dung'!$C$6:$C$105,G13,'Lịch nội dung'!$R$6:$R$105,"&lt;&gt;Hủy")=0,"",INDEX('Lịch nội dung'!$F$6:$F$105,MATCH(G13,'Lịch nội dung'!$C$6:$C$105,0))&amp;" ["&amp;INDEX('Lịch nội dung'!$I$6:$I$105,MATCH(G13,'Lịch nội dung'!$C$6:$C$105,0))&amp;"]"&amp;IF(COUNTIFS('Lịch nội dung'!$C$6:$C$105,G13,'Lịch nội dung'!$R$6:$R$105,"&lt;&gt;Hủy")&gt;1,CHAR(10)&amp;"+"&amp;(COUNTIFS('Lịch nội dung'!$C$6:$C$105,G13,'Lịch nội dung'!$R$6:$R$105,"&lt;&gt;Hủy")-1)&amp;" nội dung khác",""))</f>
        <v/>
      </c>
      <c r="H14" s="31" t="str">
        <f>"Đã đăng: "&amp;COUNTIFS('Lịch nội dung'!$C$6:$C$105,"&gt;="&amp;A13,'Lịch nội dung'!$C$6:$C$105,"&lt;="&amp;G13,'Lịch nội dung'!$R$6:$R$105,"Đã đăng")</f>
        <v>Đã đăng: 2</v>
      </c>
    </row>
    <row r="15" ht="19.5" customHeight="1">
      <c r="A15" s="14">
        <f>$G$4+28</f>
        <v>46328</v>
      </c>
      <c r="B15" s="14">
        <f>$G$4+29</f>
        <v>46329</v>
      </c>
      <c r="C15" s="14">
        <f>$G$4+30</f>
        <v>46330</v>
      </c>
      <c r="D15" s="14">
        <f>$G$4+31</f>
        <v>46331</v>
      </c>
      <c r="E15" s="14">
        <f>$G$4+32</f>
        <v>46332</v>
      </c>
      <c r="F15" s="14">
        <f>$G$4+33</f>
        <v>46333</v>
      </c>
      <c r="G15" s="14">
        <f>$G$4+34</f>
        <v>46334</v>
      </c>
      <c r="H15" s="18">
        <f>COUNTIFS('Lịch nội dung'!$C$6:$C$105,"&gt;="&amp;A15,'Lịch nội dung'!$C$6:$C$105,"&lt;="&amp;G15,'Lịch nội dung'!$R$6:$R$105,"&lt;&gt;Hủy")</f>
        <v>7</v>
      </c>
    </row>
    <row r="16" ht="57.75" customHeight="1">
      <c r="A16" s="21" t="str">
        <f t="array" ref="A16">IF(COUNTIFS('Lịch nội dung'!$C$6:$C$105,A15,'Lịch nội dung'!$R$6:$R$105,"&lt;&gt;Hủy")=0,"",INDEX('Lịch nội dung'!$F$6:$F$105,MATCH(A15,'Lịch nội dung'!$C$6:$C$105,0))&amp;" ["&amp;INDEX('Lịch nội dung'!$I$6:$I$105,MATCH(A15,'Lịch nội dung'!$C$6:$C$105,0))&amp;"]"&amp;IF(COUNTIFS('Lịch nội dung'!$C$6:$C$105,A15,'Lịch nội dung'!$R$6:$R$105,"&lt;&gt;Hủy")&gt;1,CHAR(10)&amp;"+"&amp;(COUNTIFS('Lịch nội dung'!$C$6:$C$105,A15,'Lịch nội dung'!$R$6:$R$105,"&lt;&gt;Hủy")-1)&amp;" nội dung khác",""))</f>
        <v>Checklist chuẩn bị mùa đông cho không khí trong nhà [Website/Blog]</v>
      </c>
      <c r="B16" s="21" t="str">
        <f t="array" ref="B16">IF(COUNTIFS('Lịch nội dung'!$C$6:$C$105,B15,'Lịch nội dung'!$R$6:$R$105,"&lt;&gt;Hủy")=0,"",INDEX('Lịch nội dung'!$F$6:$F$105,MATCH(B15,'Lịch nội dung'!$C$6:$C$105,0))&amp;" ["&amp;INDEX('Lịch nội dung'!$I$6:$I$105,MATCH(B15,'Lịch nội dung'!$C$6:$C$105,0))&amp;"]"&amp;IF(COUNTIFS('Lịch nội dung'!$C$6:$C$105,B15,'Lịch nội dung'!$R$6:$R$105,"&lt;&gt;Hủy")&gt;1,CHAR(10)&amp;"+"&amp;(COUNTIFS('Lịch nội dung'!$C$6:$C$105,B15,'Lịch nội dung'!$R$6:$R$105,"&lt;&gt;Hủy")-1)&amp;" nội dung khác",""))</f>
        <v>Trước &amp; sau: Phòng ngủ có và không có máy lọc [TikTok]</v>
      </c>
      <c r="C16" s="21" t="str">
        <f t="array" ref="C16">IF(COUNTIFS('Lịch nội dung'!$C$6:$C$105,C15,'Lịch nội dung'!$R$6:$R$105,"&lt;&gt;Hủy")=0,"",INDEX('Lịch nội dung'!$F$6:$F$105,MATCH(C15,'Lịch nội dung'!$C$6:$C$105,0))&amp;" ["&amp;INDEX('Lịch nội dung'!$I$6:$I$105,MATCH(C15,'Lịch nội dung'!$C$6:$C$105,0))&amp;"]"&amp;IF(COUNTIFS('Lịch nội dung'!$C$6:$C$105,C15,'Lịch nội dung'!$R$6:$R$105,"&lt;&gt;Hủy")&gt;1,CHAR(10)&amp;"+"&amp;(COUNTIFS('Lịch nội dung'!$C$6:$C$105,C15,'Lịch nội dung'!$R$6:$R$105,"&lt;&gt;Hủy")-1)&amp;" nội dung khác",""))</f>
        <v>Livestream: Tư vấn chọn máy lọc cùng chuyên gia [Facebook]</v>
      </c>
      <c r="D16" s="21" t="str">
        <f t="array" ref="D16">IF(COUNTIFS('Lịch nội dung'!$C$6:$C$105,D15,'Lịch nội dung'!$R$6:$R$105,"&lt;&gt;Hủy")=0,"",INDEX('Lịch nội dung'!$F$6:$F$105,MATCH(D15,'Lịch nội dung'!$C$6:$C$105,0))&amp;" ["&amp;INDEX('Lịch nội dung'!$I$6:$I$105,MATCH(D15,'Lịch nội dung'!$C$6:$C$105,0))&amp;"]"&amp;IF(COUNTIFS('Lịch nội dung'!$C$6:$C$105,D15,'Lịch nội dung'!$R$6:$R$105,"&lt;&gt;Hủy")&gt;1,CHAR(10)&amp;"+"&amp;(COUNTIFS('Lịch nội dung'!$C$6:$C$105,D15,'Lịch nội dung'!$R$6:$R$105,"&lt;&gt;Hủy")-1)&amp;" nội dung khác",""))</f>
        <v>Hướng dẫn thay bộ lọc tại nhà trong 5 phút [YouTube]</v>
      </c>
      <c r="E16" s="21" t="str">
        <f t="array" ref="E16">IF(COUNTIFS('Lịch nội dung'!$C$6:$C$105,E15,'Lịch nội dung'!$R$6:$R$105,"&lt;&gt;Hủy")=0,"",INDEX('Lịch nội dung'!$F$6:$F$105,MATCH(E15,'Lịch nội dung'!$C$6:$C$105,0))&amp;" ["&amp;INDEX('Lịch nội dung'!$I$6:$I$105,MATCH(E15,'Lịch nội dung'!$C$6:$C$105,0))&amp;"]"&amp;IF(COUNTIFS('Lịch nội dung'!$C$6:$C$105,E15,'Lịch nội dung'!$R$6:$R$105,"&lt;&gt;Hủy")&gt;1,CHAR(10)&amp;"+"&amp;(COUNTIFS('Lịch nội dung'!$C$6:$C$105,E15,'Lịch nội dung'!$R$6:$R$105,"&lt;&gt;Hủy")-1)&amp;" nội dung khác",""))</f>
        <v>Văn phòng 20 nhân viên đổi sang máy lọc: Kết quả sau 3 tháng [Facebook]</v>
      </c>
      <c r="F16" s="21" t="str">
        <f t="array" ref="F16">IF(COUNTIFS('Lịch nội dung'!$C$6:$C$105,F15,'Lịch nội dung'!$R$6:$R$105,"&lt;&gt;Hủy")=0,"",INDEX('Lịch nội dung'!$F$6:$F$105,MATCH(F15,'Lịch nội dung'!$C$6:$C$105,0))&amp;" ["&amp;INDEX('Lịch nội dung'!$I$6:$I$105,MATCH(F15,'Lịch nội dung'!$C$6:$C$105,0))&amp;"]"&amp;IF(COUNTIFS('Lịch nội dung'!$C$6:$C$105,F15,'Lịch nội dung'!$R$6:$R$105,"&lt;&gt;Hủy")&gt;1,CHAR(10)&amp;"+"&amp;(COUNTIFS('Lịch nội dung'!$C$6:$C$105,F15,'Lịch nội dung'!$R$6:$R$105,"&lt;&gt;Hủy")-1)&amp;" nội dung khác",""))</f>
        <v>Ưu đãi cuối tuần dành cho khách hàng thân thiết [Email]</v>
      </c>
      <c r="G16" s="21" t="str">
        <f t="array" ref="G16">IF(COUNTIFS('Lịch nội dung'!$C$6:$C$105,G15,'Lịch nội dung'!$R$6:$R$105,"&lt;&gt;Hủy")=0,"",INDEX('Lịch nội dung'!$F$6:$F$105,MATCH(G15,'Lịch nội dung'!$C$6:$C$105,0))&amp;" ["&amp;INDEX('Lịch nội dung'!$I$6:$I$105,MATCH(G15,'Lịch nội dung'!$C$6:$C$105,0))&amp;"]"&amp;IF(COUNTIFS('Lịch nội dung'!$C$6:$C$105,G15,'Lịch nội dung'!$R$6:$R$105,"&lt;&gt;Hủy")&gt;1,CHAR(10)&amp;"+"&amp;(COUNTIFS('Lịch nội dung'!$C$6:$C$105,G15,'Lịch nội dung'!$R$6:$R$105,"&lt;&gt;Hủy")-1)&amp;" nội dung khác",""))</f>
        <v>Bạn có biết? 5 sự thật về bụi mịn [Instagram]</v>
      </c>
      <c r="H16" s="31" t="str">
        <f>"Đã đăng: "&amp;COUNTIFS('Lịch nội dung'!$C$6:$C$105,"&gt;="&amp;A15,'Lịch nội dung'!$C$6:$C$105,"&lt;="&amp;G15,'Lịch nội dung'!$R$6:$R$105,"Đã đăng")</f>
        <v>Đã đăng: 0</v>
      </c>
    </row>
    <row r="17" ht="19.5" customHeight="1">
      <c r="A17" s="14">
        <f>$G$4+35</f>
        <v>46335</v>
      </c>
      <c r="B17" s="14">
        <f>$G$4+36</f>
        <v>46336</v>
      </c>
      <c r="C17" s="14">
        <f>$G$4+37</f>
        <v>46337</v>
      </c>
      <c r="D17" s="14">
        <f>$G$4+38</f>
        <v>46338</v>
      </c>
      <c r="E17" s="14">
        <f>$G$4+39</f>
        <v>46339</v>
      </c>
      <c r="F17" s="14">
        <f>$G$4+40</f>
        <v>46340</v>
      </c>
      <c r="G17" s="14">
        <f>$G$4+41</f>
        <v>46341</v>
      </c>
      <c r="H17" s="18">
        <f>COUNTIFS('Lịch nội dung'!$C$6:$C$105,"&gt;="&amp;A17,'Lịch nội dung'!$C$6:$C$105,"&lt;="&amp;G17,'Lịch nội dung'!$R$6:$R$105,"&lt;&gt;Hủy")</f>
        <v>0</v>
      </c>
    </row>
    <row r="18" ht="57.75" customHeight="1">
      <c r="A18" s="21" t="str">
        <f t="array" ref="A18">IF(COUNTIFS('Lịch nội dung'!$C$6:$C$105,A17,'Lịch nội dung'!$R$6:$R$105,"&lt;&gt;Hủy")=0,"",INDEX('Lịch nội dung'!$F$6:$F$105,MATCH(A17,'Lịch nội dung'!$C$6:$C$105,0))&amp;" ["&amp;INDEX('Lịch nội dung'!$I$6:$I$105,MATCH(A17,'Lịch nội dung'!$C$6:$C$105,0))&amp;"]"&amp;IF(COUNTIFS('Lịch nội dung'!$C$6:$C$105,A17,'Lịch nội dung'!$R$6:$R$105,"&lt;&gt;Hủy")&gt;1,CHAR(10)&amp;"+"&amp;(COUNTIFS('Lịch nội dung'!$C$6:$C$105,A17,'Lịch nội dung'!$R$6:$R$105,"&lt;&gt;Hủy")-1)&amp;" nội dung khác",""))</f>
        <v/>
      </c>
      <c r="B18" s="21" t="str">
        <f t="array" ref="B18">IF(COUNTIFS('Lịch nội dung'!$C$6:$C$105,B17,'Lịch nội dung'!$R$6:$R$105,"&lt;&gt;Hủy")=0,"",INDEX('Lịch nội dung'!$F$6:$F$105,MATCH(B17,'Lịch nội dung'!$C$6:$C$105,0))&amp;" ["&amp;INDEX('Lịch nội dung'!$I$6:$I$105,MATCH(B17,'Lịch nội dung'!$C$6:$C$105,0))&amp;"]"&amp;IF(COUNTIFS('Lịch nội dung'!$C$6:$C$105,B17,'Lịch nội dung'!$R$6:$R$105,"&lt;&gt;Hủy")&gt;1,CHAR(10)&amp;"+"&amp;(COUNTIFS('Lịch nội dung'!$C$6:$C$105,B17,'Lịch nội dung'!$R$6:$R$105,"&lt;&gt;Hủy")-1)&amp;" nội dung khác",""))</f>
        <v/>
      </c>
      <c r="C18" s="21" t="str">
        <f t="array" ref="C18">IF(COUNTIFS('Lịch nội dung'!$C$6:$C$105,C17,'Lịch nội dung'!$R$6:$R$105,"&lt;&gt;Hủy")=0,"",INDEX('Lịch nội dung'!$F$6:$F$105,MATCH(C17,'Lịch nội dung'!$C$6:$C$105,0))&amp;" ["&amp;INDEX('Lịch nội dung'!$I$6:$I$105,MATCH(C17,'Lịch nội dung'!$C$6:$C$105,0))&amp;"]"&amp;IF(COUNTIFS('Lịch nội dung'!$C$6:$C$105,C17,'Lịch nội dung'!$R$6:$R$105,"&lt;&gt;Hủy")&gt;1,CHAR(10)&amp;"+"&amp;(COUNTIFS('Lịch nội dung'!$C$6:$C$105,C17,'Lịch nội dung'!$R$6:$R$105,"&lt;&gt;Hủy")-1)&amp;" nội dung khác",""))</f>
        <v/>
      </c>
      <c r="D18" s="21" t="str">
        <f t="array" ref="D18">IF(COUNTIFS('Lịch nội dung'!$C$6:$C$105,D17,'Lịch nội dung'!$R$6:$R$105,"&lt;&gt;Hủy")=0,"",INDEX('Lịch nội dung'!$F$6:$F$105,MATCH(D17,'Lịch nội dung'!$C$6:$C$105,0))&amp;" ["&amp;INDEX('Lịch nội dung'!$I$6:$I$105,MATCH(D17,'Lịch nội dung'!$C$6:$C$105,0))&amp;"]"&amp;IF(COUNTIFS('Lịch nội dung'!$C$6:$C$105,D17,'Lịch nội dung'!$R$6:$R$105,"&lt;&gt;Hủy")&gt;1,CHAR(10)&amp;"+"&amp;(COUNTIFS('Lịch nội dung'!$C$6:$C$105,D17,'Lịch nội dung'!$R$6:$R$105,"&lt;&gt;Hủy")-1)&amp;" nội dung khác",""))</f>
        <v/>
      </c>
      <c r="E18" s="21" t="str">
        <f t="array" ref="E18">IF(COUNTIFS('Lịch nội dung'!$C$6:$C$105,E17,'Lịch nội dung'!$R$6:$R$105,"&lt;&gt;Hủy")=0,"",INDEX('Lịch nội dung'!$F$6:$F$105,MATCH(E17,'Lịch nội dung'!$C$6:$C$105,0))&amp;" ["&amp;INDEX('Lịch nội dung'!$I$6:$I$105,MATCH(E17,'Lịch nội dung'!$C$6:$C$105,0))&amp;"]"&amp;IF(COUNTIFS('Lịch nội dung'!$C$6:$C$105,E17,'Lịch nội dung'!$R$6:$R$105,"&lt;&gt;Hủy")&gt;1,CHAR(10)&amp;"+"&amp;(COUNTIFS('Lịch nội dung'!$C$6:$C$105,E17,'Lịch nội dung'!$R$6:$R$105,"&lt;&gt;Hủy")-1)&amp;" nội dung khác",""))</f>
        <v/>
      </c>
      <c r="F18" s="21" t="str">
        <f t="array" ref="F18">IF(COUNTIFS('Lịch nội dung'!$C$6:$C$105,F17,'Lịch nội dung'!$R$6:$R$105,"&lt;&gt;Hủy")=0,"",INDEX('Lịch nội dung'!$F$6:$F$105,MATCH(F17,'Lịch nội dung'!$C$6:$C$105,0))&amp;" ["&amp;INDEX('Lịch nội dung'!$I$6:$I$105,MATCH(F17,'Lịch nội dung'!$C$6:$C$105,0))&amp;"]"&amp;IF(COUNTIFS('Lịch nội dung'!$C$6:$C$105,F17,'Lịch nội dung'!$R$6:$R$105,"&lt;&gt;Hủy")&gt;1,CHAR(10)&amp;"+"&amp;(COUNTIFS('Lịch nội dung'!$C$6:$C$105,F17,'Lịch nội dung'!$R$6:$R$105,"&lt;&gt;Hủy")-1)&amp;" nội dung khác",""))</f>
        <v/>
      </c>
      <c r="G18" s="21" t="str">
        <f t="array" ref="G18">IF(COUNTIFS('Lịch nội dung'!$C$6:$C$105,G17,'Lịch nội dung'!$R$6:$R$105,"&lt;&gt;Hủy")=0,"",INDEX('Lịch nội dung'!$F$6:$F$105,MATCH(G17,'Lịch nội dung'!$C$6:$C$105,0))&amp;" ["&amp;INDEX('Lịch nội dung'!$I$6:$I$105,MATCH(G17,'Lịch nội dung'!$C$6:$C$105,0))&amp;"]"&amp;IF(COUNTIFS('Lịch nội dung'!$C$6:$C$105,G17,'Lịch nội dung'!$R$6:$R$105,"&lt;&gt;Hủy")&gt;1,CHAR(10)&amp;"+"&amp;(COUNTIFS('Lịch nội dung'!$C$6:$C$105,G17,'Lịch nội dung'!$R$6:$R$105,"&lt;&gt;Hủy")-1)&amp;" nội dung khác",""))</f>
        <v/>
      </c>
      <c r="H18" s="31" t="str">
        <f>"Đã đăng: "&amp;COUNTIFS('Lịch nội dung'!$C$6:$C$105,"&gt;="&amp;A17,'Lịch nội dung'!$C$6:$C$105,"&lt;="&amp;G17,'Lịch nội dung'!$R$6:$R$105,"Đã đăng")</f>
        <v>Đã đăng: 0</v>
      </c>
    </row>
    <row r="20">
      <c r="A20" s="70" t="s">
        <v>216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A2:H2"/>
    <mergeCell ref="A4:C4"/>
    <mergeCell ref="E4:F4"/>
  </mergeCells>
  <conditionalFormatting sqref="A8:G8">
    <cfRule type="expression" dxfId="0" priority="1">
      <formula>A8&lt;&gt;""</formula>
    </cfRule>
  </conditionalFormatting>
  <conditionalFormatting sqref="A10:G10">
    <cfRule type="expression" dxfId="0" priority="2">
      <formula>A10&lt;&gt;""</formula>
    </cfRule>
  </conditionalFormatting>
  <conditionalFormatting sqref="A12:G12">
    <cfRule type="expression" dxfId="0" priority="3">
      <formula>A12&lt;&gt;""</formula>
    </cfRule>
  </conditionalFormatting>
  <conditionalFormatting sqref="A14:G14">
    <cfRule type="expression" dxfId="0" priority="4">
      <formula>A14&lt;&gt;""</formula>
    </cfRule>
  </conditionalFormatting>
  <conditionalFormatting sqref="A16:G16">
    <cfRule type="expression" dxfId="0" priority="5">
      <formula>A16&lt;&gt;""</formula>
    </cfRule>
  </conditionalFormatting>
  <conditionalFormatting sqref="A18:G18">
    <cfRule type="expression" dxfId="0" priority="6">
      <formula>A18&lt;&gt;""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6.0"/>
    <col customWidth="1" min="2" max="2" width="46.0"/>
    <col customWidth="1" min="3" max="3" width="22.0"/>
    <col customWidth="1" min="4" max="6" width="16.0"/>
    <col customWidth="1" min="7" max="7" width="18.0"/>
    <col customWidth="1" min="8" max="9" width="11.0"/>
    <col customWidth="1" min="10" max="10" width="12.0"/>
    <col customWidth="1" min="11" max="11" width="9.0"/>
    <col customWidth="1" min="12" max="12" width="18.0"/>
    <col customWidth="1" min="13" max="13" width="28.0"/>
    <col customWidth="1" min="14" max="26" width="8.71"/>
  </cols>
  <sheetData>
    <row r="1" ht="42.0" customHeight="1">
      <c r="A1" s="1" t="s">
        <v>129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19.5" customHeight="1">
      <c r="A2" s="4" t="s">
        <v>130</v>
      </c>
    </row>
    <row r="4" ht="43.5" customHeight="1">
      <c r="A4" s="13" t="s">
        <v>11</v>
      </c>
      <c r="B4" s="13" t="s">
        <v>131</v>
      </c>
      <c r="C4" s="13" t="s">
        <v>17</v>
      </c>
      <c r="D4" s="13" t="s">
        <v>132</v>
      </c>
      <c r="E4" s="13" t="s">
        <v>133</v>
      </c>
      <c r="F4" s="13" t="s">
        <v>134</v>
      </c>
      <c r="G4" s="13" t="s">
        <v>135</v>
      </c>
      <c r="H4" s="13" t="s">
        <v>136</v>
      </c>
      <c r="I4" s="13" t="s">
        <v>137</v>
      </c>
      <c r="J4" s="13" t="s">
        <v>138</v>
      </c>
      <c r="K4" s="13" t="s">
        <v>139</v>
      </c>
      <c r="L4" s="13" t="s">
        <v>140</v>
      </c>
      <c r="M4" s="13" t="s">
        <v>41</v>
      </c>
    </row>
    <row r="5" ht="30.0" customHeight="1">
      <c r="A5" s="52">
        <f t="shared" ref="A5:A64" si="1">IF(B5="","",ROW()-4)</f>
        <v>1</v>
      </c>
      <c r="B5" s="19" t="s">
        <v>50</v>
      </c>
      <c r="C5" s="20" t="s">
        <v>51</v>
      </c>
      <c r="D5" s="20" t="s">
        <v>52</v>
      </c>
      <c r="E5" s="20" t="s">
        <v>53</v>
      </c>
      <c r="F5" s="20" t="s">
        <v>151</v>
      </c>
      <c r="G5" s="20" t="s">
        <v>59</v>
      </c>
      <c r="H5" s="55">
        <v>5.0</v>
      </c>
      <c r="I5" s="55">
        <v>2.0</v>
      </c>
      <c r="J5" s="52">
        <f t="shared" ref="J5:J64" si="2">IF(OR(B5="",H5="",I5=""),"",H5*(6-I5))</f>
        <v>20</v>
      </c>
      <c r="K5" s="52">
        <f t="shared" ref="K5:K64" si="3">IF(J5="","",RANK(J5,$J$5:$J$64))</f>
        <v>2</v>
      </c>
      <c r="L5" s="15" t="str">
        <f>IF(B5="","",IF(COUNTIF('Lịch nội dung'!$F$6:$F$105,B5)&gt;0,"Đã lên lịch","Chưa lên lịch"))</f>
        <v>Đã lên lịch</v>
      </c>
      <c r="M5" s="19" t="s">
        <v>158</v>
      </c>
    </row>
    <row r="6" ht="30.0" customHeight="1">
      <c r="A6" s="56">
        <f t="shared" si="1"/>
        <v>2</v>
      </c>
      <c r="B6" s="29" t="s">
        <v>159</v>
      </c>
      <c r="C6" s="30" t="s">
        <v>74</v>
      </c>
      <c r="D6" s="30" t="s">
        <v>75</v>
      </c>
      <c r="E6" s="30" t="s">
        <v>76</v>
      </c>
      <c r="F6" s="30" t="s">
        <v>160</v>
      </c>
      <c r="G6" s="30" t="s">
        <v>81</v>
      </c>
      <c r="H6" s="57">
        <v>4.0</v>
      </c>
      <c r="I6" s="57">
        <v>2.0</v>
      </c>
      <c r="J6" s="56">
        <f t="shared" si="2"/>
        <v>16</v>
      </c>
      <c r="K6" s="56">
        <f t="shared" si="3"/>
        <v>3</v>
      </c>
      <c r="L6" s="26" t="str">
        <f>IF(B6="","",IF(COUNTIF('Lịch nội dung'!$F$6:$F$105,B6)&gt;0,"Đã lên lịch","Chưa lên lịch"))</f>
        <v>Đã lên lịch</v>
      </c>
      <c r="M6" s="29"/>
    </row>
    <row r="7" ht="30.0" customHeight="1">
      <c r="A7" s="52">
        <f t="shared" si="1"/>
        <v>3</v>
      </c>
      <c r="B7" s="19" t="s">
        <v>163</v>
      </c>
      <c r="C7" s="20" t="s">
        <v>51</v>
      </c>
      <c r="D7" s="20" t="s">
        <v>75</v>
      </c>
      <c r="E7" s="20" t="s">
        <v>66</v>
      </c>
      <c r="F7" s="20" t="s">
        <v>164</v>
      </c>
      <c r="G7" s="20" t="s">
        <v>59</v>
      </c>
      <c r="H7" s="55">
        <v>5.0</v>
      </c>
      <c r="I7" s="55">
        <v>1.0</v>
      </c>
      <c r="J7" s="52">
        <f t="shared" si="2"/>
        <v>25</v>
      </c>
      <c r="K7" s="52">
        <f t="shared" si="3"/>
        <v>1</v>
      </c>
      <c r="L7" s="15" t="str">
        <f>IF(B7="","",IF(COUNTIF('Lịch nội dung'!$F$6:$F$105,B7)&gt;0,"Đã lên lịch","Chưa lên lịch"))</f>
        <v>Chưa lên lịch</v>
      </c>
      <c r="M7" s="19" t="s">
        <v>166</v>
      </c>
    </row>
    <row r="8" ht="30.0" customHeight="1">
      <c r="A8" s="56">
        <f t="shared" si="1"/>
        <v>4</v>
      </c>
      <c r="B8" s="29" t="s">
        <v>167</v>
      </c>
      <c r="C8" s="30" t="s">
        <v>51</v>
      </c>
      <c r="D8" s="30" t="s">
        <v>65</v>
      </c>
      <c r="E8" s="30" t="s">
        <v>145</v>
      </c>
      <c r="F8" s="30" t="s">
        <v>160</v>
      </c>
      <c r="G8" s="30" t="s">
        <v>70</v>
      </c>
      <c r="H8" s="57">
        <v>3.0</v>
      </c>
      <c r="I8" s="57">
        <v>2.0</v>
      </c>
      <c r="J8" s="56">
        <f t="shared" si="2"/>
        <v>12</v>
      </c>
      <c r="K8" s="56">
        <f t="shared" si="3"/>
        <v>5</v>
      </c>
      <c r="L8" s="26" t="str">
        <f>IF(B8="","",IF(COUNTIF('Lịch nội dung'!$F$6:$F$105,B8)&gt;0,"Đã lên lịch","Chưa lên lịch"))</f>
        <v>Chưa lên lịch</v>
      </c>
      <c r="M8" s="29"/>
    </row>
    <row r="9" ht="30.0" customHeight="1">
      <c r="A9" s="52">
        <f t="shared" si="1"/>
        <v>5</v>
      </c>
      <c r="B9" s="19" t="s">
        <v>170</v>
      </c>
      <c r="C9" s="20" t="s">
        <v>51</v>
      </c>
      <c r="D9" s="20" t="s">
        <v>127</v>
      </c>
      <c r="E9" s="20" t="s">
        <v>66</v>
      </c>
      <c r="F9" s="20" t="s">
        <v>171</v>
      </c>
      <c r="G9" s="20" t="s">
        <v>60</v>
      </c>
      <c r="H9" s="55">
        <v>5.0</v>
      </c>
      <c r="I9" s="55">
        <v>4.0</v>
      </c>
      <c r="J9" s="52">
        <f t="shared" si="2"/>
        <v>10</v>
      </c>
      <c r="K9" s="52">
        <f t="shared" si="3"/>
        <v>6</v>
      </c>
      <c r="L9" s="15" t="str">
        <f>IF(B9="","",IF(COUNTIF('Lịch nội dung'!$F$6:$F$105,B9)&gt;0,"Đã lên lịch","Chưa lên lịch"))</f>
        <v>Chưa lên lịch</v>
      </c>
      <c r="M9" s="19" t="s">
        <v>172</v>
      </c>
    </row>
    <row r="10" ht="30.0" customHeight="1">
      <c r="A10" s="56">
        <f t="shared" si="1"/>
        <v>6</v>
      </c>
      <c r="B10" s="29" t="s">
        <v>173</v>
      </c>
      <c r="C10" s="30" t="s">
        <v>144</v>
      </c>
      <c r="D10" s="30" t="s">
        <v>152</v>
      </c>
      <c r="E10" s="30" t="s">
        <v>153</v>
      </c>
      <c r="F10" s="30" t="s">
        <v>171</v>
      </c>
      <c r="G10" s="30" t="s">
        <v>81</v>
      </c>
      <c r="H10" s="57">
        <v>3.0</v>
      </c>
      <c r="I10" s="57">
        <v>5.0</v>
      </c>
      <c r="J10" s="56">
        <f t="shared" si="2"/>
        <v>3</v>
      </c>
      <c r="K10" s="56">
        <f t="shared" si="3"/>
        <v>8</v>
      </c>
      <c r="L10" s="26" t="str">
        <f>IF(B10="","",IF(COUNTIF('Lịch nội dung'!$F$6:$F$105,B10)&gt;0,"Đã lên lịch","Chưa lên lịch"))</f>
        <v>Chưa lên lịch</v>
      </c>
      <c r="M10" s="29"/>
    </row>
    <row r="11" ht="30.0" customHeight="1">
      <c r="A11" s="52">
        <f t="shared" si="1"/>
        <v>7</v>
      </c>
      <c r="B11" s="19" t="s">
        <v>182</v>
      </c>
      <c r="C11" s="20" t="s">
        <v>183</v>
      </c>
      <c r="D11" s="20" t="s">
        <v>111</v>
      </c>
      <c r="E11" s="20" t="s">
        <v>66</v>
      </c>
      <c r="F11" s="20" t="s">
        <v>184</v>
      </c>
      <c r="G11" s="20" t="s">
        <v>96</v>
      </c>
      <c r="H11" s="55">
        <v>4.0</v>
      </c>
      <c r="I11" s="55">
        <v>2.0</v>
      </c>
      <c r="J11" s="52">
        <f t="shared" si="2"/>
        <v>16</v>
      </c>
      <c r="K11" s="52">
        <f t="shared" si="3"/>
        <v>3</v>
      </c>
      <c r="L11" s="15" t="str">
        <f>IF(B11="","",IF(COUNTIF('Lịch nội dung'!$F$6:$F$105,B11)&gt;0,"Đã lên lịch","Chưa lên lịch"))</f>
        <v>Chưa lên lịch</v>
      </c>
      <c r="M11" s="19"/>
    </row>
    <row r="12" ht="30.0" customHeight="1">
      <c r="A12" s="56">
        <f t="shared" si="1"/>
        <v>8</v>
      </c>
      <c r="B12" s="29" t="s">
        <v>199</v>
      </c>
      <c r="C12" s="30" t="s">
        <v>110</v>
      </c>
      <c r="D12" s="30" t="s">
        <v>202</v>
      </c>
      <c r="E12" s="30" t="s">
        <v>53</v>
      </c>
      <c r="F12" s="30" t="s">
        <v>164</v>
      </c>
      <c r="G12" s="30" t="s">
        <v>59</v>
      </c>
      <c r="H12" s="57">
        <v>5.0</v>
      </c>
      <c r="I12" s="57">
        <v>4.0</v>
      </c>
      <c r="J12" s="56">
        <f t="shared" si="2"/>
        <v>10</v>
      </c>
      <c r="K12" s="56">
        <f t="shared" si="3"/>
        <v>6</v>
      </c>
      <c r="L12" s="26" t="str">
        <f>IF(B12="","",IF(COUNTIF('Lịch nội dung'!$F$6:$F$105,B12)&gt;0,"Đã lên lịch","Chưa lên lịch"))</f>
        <v>Chưa lên lịch</v>
      </c>
      <c r="M12" s="29"/>
    </row>
    <row r="13" ht="30.0" customHeight="1">
      <c r="A13" s="52" t="str">
        <f t="shared" si="1"/>
        <v/>
      </c>
      <c r="B13" s="19"/>
      <c r="C13" s="20"/>
      <c r="D13" s="20"/>
      <c r="E13" s="20"/>
      <c r="F13" s="20"/>
      <c r="G13" s="20"/>
      <c r="H13" s="55"/>
      <c r="I13" s="55"/>
      <c r="J13" s="52" t="str">
        <f t="shared" si="2"/>
        <v/>
      </c>
      <c r="K13" s="52" t="str">
        <f t="shared" si="3"/>
        <v/>
      </c>
      <c r="L13" s="15" t="str">
        <f>IF(B13="","",IF(COUNTIF('Lịch nội dung'!$F$6:$F$105,B13)&gt;0,"Đã lên lịch","Chưa lên lịch"))</f>
        <v/>
      </c>
      <c r="M13" s="19"/>
    </row>
    <row r="14" ht="30.0" customHeight="1">
      <c r="A14" s="56" t="str">
        <f t="shared" si="1"/>
        <v/>
      </c>
      <c r="B14" s="29"/>
      <c r="C14" s="30"/>
      <c r="D14" s="30"/>
      <c r="E14" s="30"/>
      <c r="F14" s="30"/>
      <c r="G14" s="30"/>
      <c r="H14" s="57"/>
      <c r="I14" s="57"/>
      <c r="J14" s="56" t="str">
        <f t="shared" si="2"/>
        <v/>
      </c>
      <c r="K14" s="56" t="str">
        <f t="shared" si="3"/>
        <v/>
      </c>
      <c r="L14" s="26" t="str">
        <f>IF(B14="","",IF(COUNTIF('Lịch nội dung'!$F$6:$F$105,B14)&gt;0,"Đã lên lịch","Chưa lên lịch"))</f>
        <v/>
      </c>
      <c r="M14" s="29"/>
    </row>
    <row r="15" ht="30.0" customHeight="1">
      <c r="A15" s="52" t="str">
        <f t="shared" si="1"/>
        <v/>
      </c>
      <c r="B15" s="19"/>
      <c r="C15" s="20"/>
      <c r="D15" s="20"/>
      <c r="E15" s="20"/>
      <c r="F15" s="20"/>
      <c r="G15" s="20"/>
      <c r="H15" s="55"/>
      <c r="I15" s="55"/>
      <c r="J15" s="52" t="str">
        <f t="shared" si="2"/>
        <v/>
      </c>
      <c r="K15" s="52" t="str">
        <f t="shared" si="3"/>
        <v/>
      </c>
      <c r="L15" s="15" t="str">
        <f>IF(B15="","",IF(COUNTIF('Lịch nội dung'!$F$6:$F$105,B15)&gt;0,"Đã lên lịch","Chưa lên lịch"))</f>
        <v/>
      </c>
      <c r="M15" s="19"/>
    </row>
    <row r="16" ht="30.0" customHeight="1">
      <c r="A16" s="56" t="str">
        <f t="shared" si="1"/>
        <v/>
      </c>
      <c r="B16" s="29"/>
      <c r="C16" s="30"/>
      <c r="D16" s="30"/>
      <c r="E16" s="30"/>
      <c r="F16" s="30"/>
      <c r="G16" s="30"/>
      <c r="H16" s="57"/>
      <c r="I16" s="57"/>
      <c r="J16" s="56" t="str">
        <f t="shared" si="2"/>
        <v/>
      </c>
      <c r="K16" s="56" t="str">
        <f t="shared" si="3"/>
        <v/>
      </c>
      <c r="L16" s="26" t="str">
        <f>IF(B16="","",IF(COUNTIF('Lịch nội dung'!$F$6:$F$105,B16)&gt;0,"Đã lên lịch","Chưa lên lịch"))</f>
        <v/>
      </c>
      <c r="M16" s="29"/>
    </row>
    <row r="17" ht="30.0" customHeight="1">
      <c r="A17" s="52" t="str">
        <f t="shared" si="1"/>
        <v/>
      </c>
      <c r="B17" s="19"/>
      <c r="C17" s="20"/>
      <c r="D17" s="20"/>
      <c r="E17" s="20"/>
      <c r="F17" s="20"/>
      <c r="G17" s="20"/>
      <c r="H17" s="55"/>
      <c r="I17" s="55"/>
      <c r="J17" s="52" t="str">
        <f t="shared" si="2"/>
        <v/>
      </c>
      <c r="K17" s="52" t="str">
        <f t="shared" si="3"/>
        <v/>
      </c>
      <c r="L17" s="15" t="str">
        <f>IF(B17="","",IF(COUNTIF('Lịch nội dung'!$F$6:$F$105,B17)&gt;0,"Đã lên lịch","Chưa lên lịch"))</f>
        <v/>
      </c>
      <c r="M17" s="19"/>
    </row>
    <row r="18" ht="30.0" customHeight="1">
      <c r="A18" s="56" t="str">
        <f t="shared" si="1"/>
        <v/>
      </c>
      <c r="B18" s="29"/>
      <c r="C18" s="30"/>
      <c r="D18" s="30"/>
      <c r="E18" s="30"/>
      <c r="F18" s="30"/>
      <c r="G18" s="30"/>
      <c r="H18" s="57"/>
      <c r="I18" s="57"/>
      <c r="J18" s="56" t="str">
        <f t="shared" si="2"/>
        <v/>
      </c>
      <c r="K18" s="56" t="str">
        <f t="shared" si="3"/>
        <v/>
      </c>
      <c r="L18" s="26" t="str">
        <f>IF(B18="","",IF(COUNTIF('Lịch nội dung'!$F$6:$F$105,B18)&gt;0,"Đã lên lịch","Chưa lên lịch"))</f>
        <v/>
      </c>
      <c r="M18" s="29"/>
    </row>
    <row r="19" ht="30.0" customHeight="1">
      <c r="A19" s="52" t="str">
        <f t="shared" si="1"/>
        <v/>
      </c>
      <c r="B19" s="19"/>
      <c r="C19" s="20"/>
      <c r="D19" s="20"/>
      <c r="E19" s="20"/>
      <c r="F19" s="20"/>
      <c r="G19" s="20"/>
      <c r="H19" s="55"/>
      <c r="I19" s="55"/>
      <c r="J19" s="52" t="str">
        <f t="shared" si="2"/>
        <v/>
      </c>
      <c r="K19" s="52" t="str">
        <f t="shared" si="3"/>
        <v/>
      </c>
      <c r="L19" s="15" t="str">
        <f>IF(B19="","",IF(COUNTIF('Lịch nội dung'!$F$6:$F$105,B19)&gt;0,"Đã lên lịch","Chưa lên lịch"))</f>
        <v/>
      </c>
      <c r="M19" s="19"/>
    </row>
    <row r="20" ht="30.0" customHeight="1">
      <c r="A20" s="56" t="str">
        <f t="shared" si="1"/>
        <v/>
      </c>
      <c r="B20" s="29"/>
      <c r="C20" s="30"/>
      <c r="D20" s="30"/>
      <c r="E20" s="30"/>
      <c r="F20" s="30"/>
      <c r="G20" s="30"/>
      <c r="H20" s="57"/>
      <c r="I20" s="57"/>
      <c r="J20" s="56" t="str">
        <f t="shared" si="2"/>
        <v/>
      </c>
      <c r="K20" s="56" t="str">
        <f t="shared" si="3"/>
        <v/>
      </c>
      <c r="L20" s="26" t="str">
        <f>IF(B20="","",IF(COUNTIF('Lịch nội dung'!$F$6:$F$105,B20)&gt;0,"Đã lên lịch","Chưa lên lịch"))</f>
        <v/>
      </c>
      <c r="M20" s="29"/>
    </row>
    <row r="21" ht="30.0" customHeight="1">
      <c r="A21" s="52" t="str">
        <f t="shared" si="1"/>
        <v/>
      </c>
      <c r="B21" s="19"/>
      <c r="C21" s="20"/>
      <c r="D21" s="20"/>
      <c r="E21" s="20"/>
      <c r="F21" s="20"/>
      <c r="G21" s="20"/>
      <c r="H21" s="55"/>
      <c r="I21" s="55"/>
      <c r="J21" s="52" t="str">
        <f t="shared" si="2"/>
        <v/>
      </c>
      <c r="K21" s="52" t="str">
        <f t="shared" si="3"/>
        <v/>
      </c>
      <c r="L21" s="15" t="str">
        <f>IF(B21="","",IF(COUNTIF('Lịch nội dung'!$F$6:$F$105,B21)&gt;0,"Đã lên lịch","Chưa lên lịch"))</f>
        <v/>
      </c>
      <c r="M21" s="19"/>
    </row>
    <row r="22" ht="30.0" customHeight="1">
      <c r="A22" s="56" t="str">
        <f t="shared" si="1"/>
        <v/>
      </c>
      <c r="B22" s="29"/>
      <c r="C22" s="30"/>
      <c r="D22" s="30"/>
      <c r="E22" s="30"/>
      <c r="F22" s="30"/>
      <c r="G22" s="30"/>
      <c r="H22" s="57"/>
      <c r="I22" s="57"/>
      <c r="J22" s="56" t="str">
        <f t="shared" si="2"/>
        <v/>
      </c>
      <c r="K22" s="56" t="str">
        <f t="shared" si="3"/>
        <v/>
      </c>
      <c r="L22" s="26" t="str">
        <f>IF(B22="","",IF(COUNTIF('Lịch nội dung'!$F$6:$F$105,B22)&gt;0,"Đã lên lịch","Chưa lên lịch"))</f>
        <v/>
      </c>
      <c r="M22" s="29"/>
    </row>
    <row r="23" ht="30.0" customHeight="1">
      <c r="A23" s="52" t="str">
        <f t="shared" si="1"/>
        <v/>
      </c>
      <c r="B23" s="19"/>
      <c r="C23" s="20"/>
      <c r="D23" s="20"/>
      <c r="E23" s="20"/>
      <c r="F23" s="20"/>
      <c r="G23" s="20"/>
      <c r="H23" s="55"/>
      <c r="I23" s="55"/>
      <c r="J23" s="52" t="str">
        <f t="shared" si="2"/>
        <v/>
      </c>
      <c r="K23" s="52" t="str">
        <f t="shared" si="3"/>
        <v/>
      </c>
      <c r="L23" s="15" t="str">
        <f>IF(B23="","",IF(COUNTIF('Lịch nội dung'!$F$6:$F$105,B23)&gt;0,"Đã lên lịch","Chưa lên lịch"))</f>
        <v/>
      </c>
      <c r="M23" s="19"/>
    </row>
    <row r="24" ht="30.0" customHeight="1">
      <c r="A24" s="56" t="str">
        <f t="shared" si="1"/>
        <v/>
      </c>
      <c r="B24" s="29"/>
      <c r="C24" s="30"/>
      <c r="D24" s="30"/>
      <c r="E24" s="30"/>
      <c r="F24" s="30"/>
      <c r="G24" s="30"/>
      <c r="H24" s="57"/>
      <c r="I24" s="57"/>
      <c r="J24" s="56" t="str">
        <f t="shared" si="2"/>
        <v/>
      </c>
      <c r="K24" s="56" t="str">
        <f t="shared" si="3"/>
        <v/>
      </c>
      <c r="L24" s="26" t="str">
        <f>IF(B24="","",IF(COUNTIF('Lịch nội dung'!$F$6:$F$105,B24)&gt;0,"Đã lên lịch","Chưa lên lịch"))</f>
        <v/>
      </c>
      <c r="M24" s="29"/>
    </row>
    <row r="25" ht="30.0" customHeight="1">
      <c r="A25" s="52" t="str">
        <f t="shared" si="1"/>
        <v/>
      </c>
      <c r="B25" s="19"/>
      <c r="C25" s="20"/>
      <c r="D25" s="20"/>
      <c r="E25" s="20"/>
      <c r="F25" s="20"/>
      <c r="G25" s="20"/>
      <c r="H25" s="55"/>
      <c r="I25" s="55"/>
      <c r="J25" s="52" t="str">
        <f t="shared" si="2"/>
        <v/>
      </c>
      <c r="K25" s="52" t="str">
        <f t="shared" si="3"/>
        <v/>
      </c>
      <c r="L25" s="15" t="str">
        <f>IF(B25="","",IF(COUNTIF('Lịch nội dung'!$F$6:$F$105,B25)&gt;0,"Đã lên lịch","Chưa lên lịch"))</f>
        <v/>
      </c>
      <c r="M25" s="19"/>
    </row>
    <row r="26" ht="30.0" customHeight="1">
      <c r="A26" s="56" t="str">
        <f t="shared" si="1"/>
        <v/>
      </c>
      <c r="B26" s="29"/>
      <c r="C26" s="30"/>
      <c r="D26" s="30"/>
      <c r="E26" s="30"/>
      <c r="F26" s="30"/>
      <c r="G26" s="30"/>
      <c r="H26" s="57"/>
      <c r="I26" s="57"/>
      <c r="J26" s="56" t="str">
        <f t="shared" si="2"/>
        <v/>
      </c>
      <c r="K26" s="56" t="str">
        <f t="shared" si="3"/>
        <v/>
      </c>
      <c r="L26" s="26" t="str">
        <f>IF(B26="","",IF(COUNTIF('Lịch nội dung'!$F$6:$F$105,B26)&gt;0,"Đã lên lịch","Chưa lên lịch"))</f>
        <v/>
      </c>
      <c r="M26" s="29"/>
    </row>
    <row r="27" ht="30.0" customHeight="1">
      <c r="A27" s="52" t="str">
        <f t="shared" si="1"/>
        <v/>
      </c>
      <c r="B27" s="19"/>
      <c r="C27" s="20"/>
      <c r="D27" s="20"/>
      <c r="E27" s="20"/>
      <c r="F27" s="20"/>
      <c r="G27" s="20"/>
      <c r="H27" s="55"/>
      <c r="I27" s="55"/>
      <c r="J27" s="52" t="str">
        <f t="shared" si="2"/>
        <v/>
      </c>
      <c r="K27" s="52" t="str">
        <f t="shared" si="3"/>
        <v/>
      </c>
      <c r="L27" s="15" t="str">
        <f>IF(B27="","",IF(COUNTIF('Lịch nội dung'!$F$6:$F$105,B27)&gt;0,"Đã lên lịch","Chưa lên lịch"))</f>
        <v/>
      </c>
      <c r="M27" s="19"/>
    </row>
    <row r="28" ht="30.0" customHeight="1">
      <c r="A28" s="56" t="str">
        <f t="shared" si="1"/>
        <v/>
      </c>
      <c r="B28" s="29"/>
      <c r="C28" s="30"/>
      <c r="D28" s="30"/>
      <c r="E28" s="30"/>
      <c r="F28" s="30"/>
      <c r="G28" s="30"/>
      <c r="H28" s="57"/>
      <c r="I28" s="57"/>
      <c r="J28" s="56" t="str">
        <f t="shared" si="2"/>
        <v/>
      </c>
      <c r="K28" s="56" t="str">
        <f t="shared" si="3"/>
        <v/>
      </c>
      <c r="L28" s="26" t="str">
        <f>IF(B28="","",IF(COUNTIF('Lịch nội dung'!$F$6:$F$105,B28)&gt;0,"Đã lên lịch","Chưa lên lịch"))</f>
        <v/>
      </c>
      <c r="M28" s="29"/>
    </row>
    <row r="29" ht="30.0" customHeight="1">
      <c r="A29" s="52" t="str">
        <f t="shared" si="1"/>
        <v/>
      </c>
      <c r="B29" s="19"/>
      <c r="C29" s="20"/>
      <c r="D29" s="20"/>
      <c r="E29" s="20"/>
      <c r="F29" s="20"/>
      <c r="G29" s="20"/>
      <c r="H29" s="55"/>
      <c r="I29" s="55"/>
      <c r="J29" s="52" t="str">
        <f t="shared" si="2"/>
        <v/>
      </c>
      <c r="K29" s="52" t="str">
        <f t="shared" si="3"/>
        <v/>
      </c>
      <c r="L29" s="15" t="str">
        <f>IF(B29="","",IF(COUNTIF('Lịch nội dung'!$F$6:$F$105,B29)&gt;0,"Đã lên lịch","Chưa lên lịch"))</f>
        <v/>
      </c>
      <c r="M29" s="19"/>
    </row>
    <row r="30" ht="30.0" customHeight="1">
      <c r="A30" s="56" t="str">
        <f t="shared" si="1"/>
        <v/>
      </c>
      <c r="B30" s="29"/>
      <c r="C30" s="30"/>
      <c r="D30" s="30"/>
      <c r="E30" s="30"/>
      <c r="F30" s="30"/>
      <c r="G30" s="30"/>
      <c r="H30" s="57"/>
      <c r="I30" s="57"/>
      <c r="J30" s="56" t="str">
        <f t="shared" si="2"/>
        <v/>
      </c>
      <c r="K30" s="56" t="str">
        <f t="shared" si="3"/>
        <v/>
      </c>
      <c r="L30" s="26" t="str">
        <f>IF(B30="","",IF(COUNTIF('Lịch nội dung'!$F$6:$F$105,B30)&gt;0,"Đã lên lịch","Chưa lên lịch"))</f>
        <v/>
      </c>
      <c r="M30" s="29"/>
    </row>
    <row r="31" ht="30.0" customHeight="1">
      <c r="A31" s="52" t="str">
        <f t="shared" si="1"/>
        <v/>
      </c>
      <c r="B31" s="19"/>
      <c r="C31" s="20"/>
      <c r="D31" s="20"/>
      <c r="E31" s="20"/>
      <c r="F31" s="20"/>
      <c r="G31" s="20"/>
      <c r="H31" s="55"/>
      <c r="I31" s="55"/>
      <c r="J31" s="52" t="str">
        <f t="shared" si="2"/>
        <v/>
      </c>
      <c r="K31" s="52" t="str">
        <f t="shared" si="3"/>
        <v/>
      </c>
      <c r="L31" s="15" t="str">
        <f>IF(B31="","",IF(COUNTIF('Lịch nội dung'!$F$6:$F$105,B31)&gt;0,"Đã lên lịch","Chưa lên lịch"))</f>
        <v/>
      </c>
      <c r="M31" s="19"/>
    </row>
    <row r="32" ht="30.0" customHeight="1">
      <c r="A32" s="56" t="str">
        <f t="shared" si="1"/>
        <v/>
      </c>
      <c r="B32" s="29"/>
      <c r="C32" s="30"/>
      <c r="D32" s="30"/>
      <c r="E32" s="30"/>
      <c r="F32" s="30"/>
      <c r="G32" s="30"/>
      <c r="H32" s="57"/>
      <c r="I32" s="57"/>
      <c r="J32" s="56" t="str">
        <f t="shared" si="2"/>
        <v/>
      </c>
      <c r="K32" s="56" t="str">
        <f t="shared" si="3"/>
        <v/>
      </c>
      <c r="L32" s="26" t="str">
        <f>IF(B32="","",IF(COUNTIF('Lịch nội dung'!$F$6:$F$105,B32)&gt;0,"Đã lên lịch","Chưa lên lịch"))</f>
        <v/>
      </c>
      <c r="M32" s="29"/>
    </row>
    <row r="33" ht="30.0" customHeight="1">
      <c r="A33" s="52" t="str">
        <f t="shared" si="1"/>
        <v/>
      </c>
      <c r="B33" s="19"/>
      <c r="C33" s="20"/>
      <c r="D33" s="20"/>
      <c r="E33" s="20"/>
      <c r="F33" s="20"/>
      <c r="G33" s="20"/>
      <c r="H33" s="55"/>
      <c r="I33" s="55"/>
      <c r="J33" s="52" t="str">
        <f t="shared" si="2"/>
        <v/>
      </c>
      <c r="K33" s="52" t="str">
        <f t="shared" si="3"/>
        <v/>
      </c>
      <c r="L33" s="15" t="str">
        <f>IF(B33="","",IF(COUNTIF('Lịch nội dung'!$F$6:$F$105,B33)&gt;0,"Đã lên lịch","Chưa lên lịch"))</f>
        <v/>
      </c>
      <c r="M33" s="19"/>
    </row>
    <row r="34" ht="30.0" customHeight="1">
      <c r="A34" s="56" t="str">
        <f t="shared" si="1"/>
        <v/>
      </c>
      <c r="B34" s="29"/>
      <c r="C34" s="30"/>
      <c r="D34" s="30"/>
      <c r="E34" s="30"/>
      <c r="F34" s="30"/>
      <c r="G34" s="30"/>
      <c r="H34" s="57"/>
      <c r="I34" s="57"/>
      <c r="J34" s="56" t="str">
        <f t="shared" si="2"/>
        <v/>
      </c>
      <c r="K34" s="56" t="str">
        <f t="shared" si="3"/>
        <v/>
      </c>
      <c r="L34" s="26" t="str">
        <f>IF(B34="","",IF(COUNTIF('Lịch nội dung'!$F$6:$F$105,B34)&gt;0,"Đã lên lịch","Chưa lên lịch"))</f>
        <v/>
      </c>
      <c r="M34" s="29"/>
    </row>
    <row r="35" ht="30.0" customHeight="1">
      <c r="A35" s="52" t="str">
        <f t="shared" si="1"/>
        <v/>
      </c>
      <c r="B35" s="19"/>
      <c r="C35" s="20"/>
      <c r="D35" s="20"/>
      <c r="E35" s="20"/>
      <c r="F35" s="20"/>
      <c r="G35" s="20"/>
      <c r="H35" s="55"/>
      <c r="I35" s="55"/>
      <c r="J35" s="52" t="str">
        <f t="shared" si="2"/>
        <v/>
      </c>
      <c r="K35" s="52" t="str">
        <f t="shared" si="3"/>
        <v/>
      </c>
      <c r="L35" s="15" t="str">
        <f>IF(B35="","",IF(COUNTIF('Lịch nội dung'!$F$6:$F$105,B35)&gt;0,"Đã lên lịch","Chưa lên lịch"))</f>
        <v/>
      </c>
      <c r="M35" s="19"/>
    </row>
    <row r="36" ht="30.0" customHeight="1">
      <c r="A36" s="56" t="str">
        <f t="shared" si="1"/>
        <v/>
      </c>
      <c r="B36" s="29"/>
      <c r="C36" s="30"/>
      <c r="D36" s="30"/>
      <c r="E36" s="30"/>
      <c r="F36" s="30"/>
      <c r="G36" s="30"/>
      <c r="H36" s="57"/>
      <c r="I36" s="57"/>
      <c r="J36" s="56" t="str">
        <f t="shared" si="2"/>
        <v/>
      </c>
      <c r="K36" s="56" t="str">
        <f t="shared" si="3"/>
        <v/>
      </c>
      <c r="L36" s="26" t="str">
        <f>IF(B36="","",IF(COUNTIF('Lịch nội dung'!$F$6:$F$105,B36)&gt;0,"Đã lên lịch","Chưa lên lịch"))</f>
        <v/>
      </c>
      <c r="M36" s="29"/>
    </row>
    <row r="37" ht="30.0" customHeight="1">
      <c r="A37" s="52" t="str">
        <f t="shared" si="1"/>
        <v/>
      </c>
      <c r="B37" s="19"/>
      <c r="C37" s="20"/>
      <c r="D37" s="20"/>
      <c r="E37" s="20"/>
      <c r="F37" s="20"/>
      <c r="G37" s="20"/>
      <c r="H37" s="55"/>
      <c r="I37" s="55"/>
      <c r="J37" s="52" t="str">
        <f t="shared" si="2"/>
        <v/>
      </c>
      <c r="K37" s="52" t="str">
        <f t="shared" si="3"/>
        <v/>
      </c>
      <c r="L37" s="15" t="str">
        <f>IF(B37="","",IF(COUNTIF('Lịch nội dung'!$F$6:$F$105,B37)&gt;0,"Đã lên lịch","Chưa lên lịch"))</f>
        <v/>
      </c>
      <c r="M37" s="19"/>
    </row>
    <row r="38" ht="30.0" customHeight="1">
      <c r="A38" s="56" t="str">
        <f t="shared" si="1"/>
        <v/>
      </c>
      <c r="B38" s="29"/>
      <c r="C38" s="30"/>
      <c r="D38" s="30"/>
      <c r="E38" s="30"/>
      <c r="F38" s="30"/>
      <c r="G38" s="30"/>
      <c r="H38" s="57"/>
      <c r="I38" s="57"/>
      <c r="J38" s="56" t="str">
        <f t="shared" si="2"/>
        <v/>
      </c>
      <c r="K38" s="56" t="str">
        <f t="shared" si="3"/>
        <v/>
      </c>
      <c r="L38" s="26" t="str">
        <f>IF(B38="","",IF(COUNTIF('Lịch nội dung'!$F$6:$F$105,B38)&gt;0,"Đã lên lịch","Chưa lên lịch"))</f>
        <v/>
      </c>
      <c r="M38" s="29"/>
    </row>
    <row r="39" ht="30.0" customHeight="1">
      <c r="A39" s="52" t="str">
        <f t="shared" si="1"/>
        <v/>
      </c>
      <c r="B39" s="19"/>
      <c r="C39" s="20"/>
      <c r="D39" s="20"/>
      <c r="E39" s="20"/>
      <c r="F39" s="20"/>
      <c r="G39" s="20"/>
      <c r="H39" s="55"/>
      <c r="I39" s="55"/>
      <c r="J39" s="52" t="str">
        <f t="shared" si="2"/>
        <v/>
      </c>
      <c r="K39" s="52" t="str">
        <f t="shared" si="3"/>
        <v/>
      </c>
      <c r="L39" s="15" t="str">
        <f>IF(B39="","",IF(COUNTIF('Lịch nội dung'!$F$6:$F$105,B39)&gt;0,"Đã lên lịch","Chưa lên lịch"))</f>
        <v/>
      </c>
      <c r="M39" s="19"/>
    </row>
    <row r="40" ht="30.0" customHeight="1">
      <c r="A40" s="56" t="str">
        <f t="shared" si="1"/>
        <v/>
      </c>
      <c r="B40" s="29"/>
      <c r="C40" s="30"/>
      <c r="D40" s="30"/>
      <c r="E40" s="30"/>
      <c r="F40" s="30"/>
      <c r="G40" s="30"/>
      <c r="H40" s="57"/>
      <c r="I40" s="57"/>
      <c r="J40" s="56" t="str">
        <f t="shared" si="2"/>
        <v/>
      </c>
      <c r="K40" s="56" t="str">
        <f t="shared" si="3"/>
        <v/>
      </c>
      <c r="L40" s="26" t="str">
        <f>IF(B40="","",IF(COUNTIF('Lịch nội dung'!$F$6:$F$105,B40)&gt;0,"Đã lên lịch","Chưa lên lịch"))</f>
        <v/>
      </c>
      <c r="M40" s="29"/>
    </row>
    <row r="41" ht="30.0" customHeight="1">
      <c r="A41" s="52" t="str">
        <f t="shared" si="1"/>
        <v/>
      </c>
      <c r="B41" s="19"/>
      <c r="C41" s="20"/>
      <c r="D41" s="20"/>
      <c r="E41" s="20"/>
      <c r="F41" s="20"/>
      <c r="G41" s="20"/>
      <c r="H41" s="55"/>
      <c r="I41" s="55"/>
      <c r="J41" s="52" t="str">
        <f t="shared" si="2"/>
        <v/>
      </c>
      <c r="K41" s="52" t="str">
        <f t="shared" si="3"/>
        <v/>
      </c>
      <c r="L41" s="15" t="str">
        <f>IF(B41="","",IF(COUNTIF('Lịch nội dung'!$F$6:$F$105,B41)&gt;0,"Đã lên lịch","Chưa lên lịch"))</f>
        <v/>
      </c>
      <c r="M41" s="19"/>
    </row>
    <row r="42" ht="30.0" customHeight="1">
      <c r="A42" s="56" t="str">
        <f t="shared" si="1"/>
        <v/>
      </c>
      <c r="B42" s="29"/>
      <c r="C42" s="30"/>
      <c r="D42" s="30"/>
      <c r="E42" s="30"/>
      <c r="F42" s="30"/>
      <c r="G42" s="30"/>
      <c r="H42" s="57"/>
      <c r="I42" s="57"/>
      <c r="J42" s="56" t="str">
        <f t="shared" si="2"/>
        <v/>
      </c>
      <c r="K42" s="56" t="str">
        <f t="shared" si="3"/>
        <v/>
      </c>
      <c r="L42" s="26" t="str">
        <f>IF(B42="","",IF(COUNTIF('Lịch nội dung'!$F$6:$F$105,B42)&gt;0,"Đã lên lịch","Chưa lên lịch"))</f>
        <v/>
      </c>
      <c r="M42" s="29"/>
    </row>
    <row r="43" ht="30.0" customHeight="1">
      <c r="A43" s="52" t="str">
        <f t="shared" si="1"/>
        <v/>
      </c>
      <c r="B43" s="19"/>
      <c r="C43" s="20"/>
      <c r="D43" s="20"/>
      <c r="E43" s="20"/>
      <c r="F43" s="20"/>
      <c r="G43" s="20"/>
      <c r="H43" s="55"/>
      <c r="I43" s="55"/>
      <c r="J43" s="52" t="str">
        <f t="shared" si="2"/>
        <v/>
      </c>
      <c r="K43" s="52" t="str">
        <f t="shared" si="3"/>
        <v/>
      </c>
      <c r="L43" s="15" t="str">
        <f>IF(B43="","",IF(COUNTIF('Lịch nội dung'!$F$6:$F$105,B43)&gt;0,"Đã lên lịch","Chưa lên lịch"))</f>
        <v/>
      </c>
      <c r="M43" s="19"/>
    </row>
    <row r="44" ht="30.0" customHeight="1">
      <c r="A44" s="56" t="str">
        <f t="shared" si="1"/>
        <v/>
      </c>
      <c r="B44" s="29"/>
      <c r="C44" s="30"/>
      <c r="D44" s="30"/>
      <c r="E44" s="30"/>
      <c r="F44" s="30"/>
      <c r="G44" s="30"/>
      <c r="H44" s="57"/>
      <c r="I44" s="57"/>
      <c r="J44" s="56" t="str">
        <f t="shared" si="2"/>
        <v/>
      </c>
      <c r="K44" s="56" t="str">
        <f t="shared" si="3"/>
        <v/>
      </c>
      <c r="L44" s="26" t="str">
        <f>IF(B44="","",IF(COUNTIF('Lịch nội dung'!$F$6:$F$105,B44)&gt;0,"Đã lên lịch","Chưa lên lịch"))</f>
        <v/>
      </c>
      <c r="M44" s="29"/>
    </row>
    <row r="45" ht="30.0" customHeight="1">
      <c r="A45" s="52" t="str">
        <f t="shared" si="1"/>
        <v/>
      </c>
      <c r="B45" s="19"/>
      <c r="C45" s="20"/>
      <c r="D45" s="20"/>
      <c r="E45" s="20"/>
      <c r="F45" s="20"/>
      <c r="G45" s="20"/>
      <c r="H45" s="55"/>
      <c r="I45" s="55"/>
      <c r="J45" s="52" t="str">
        <f t="shared" si="2"/>
        <v/>
      </c>
      <c r="K45" s="52" t="str">
        <f t="shared" si="3"/>
        <v/>
      </c>
      <c r="L45" s="15" t="str">
        <f>IF(B45="","",IF(COUNTIF('Lịch nội dung'!$F$6:$F$105,B45)&gt;0,"Đã lên lịch","Chưa lên lịch"))</f>
        <v/>
      </c>
      <c r="M45" s="19"/>
    </row>
    <row r="46" ht="30.0" customHeight="1">
      <c r="A46" s="56" t="str">
        <f t="shared" si="1"/>
        <v/>
      </c>
      <c r="B46" s="29"/>
      <c r="C46" s="30"/>
      <c r="D46" s="30"/>
      <c r="E46" s="30"/>
      <c r="F46" s="30"/>
      <c r="G46" s="30"/>
      <c r="H46" s="57"/>
      <c r="I46" s="57"/>
      <c r="J46" s="56" t="str">
        <f t="shared" si="2"/>
        <v/>
      </c>
      <c r="K46" s="56" t="str">
        <f t="shared" si="3"/>
        <v/>
      </c>
      <c r="L46" s="26" t="str">
        <f>IF(B46="","",IF(COUNTIF('Lịch nội dung'!$F$6:$F$105,B46)&gt;0,"Đã lên lịch","Chưa lên lịch"))</f>
        <v/>
      </c>
      <c r="M46" s="29"/>
    </row>
    <row r="47" ht="30.0" customHeight="1">
      <c r="A47" s="52" t="str">
        <f t="shared" si="1"/>
        <v/>
      </c>
      <c r="B47" s="19"/>
      <c r="C47" s="20"/>
      <c r="D47" s="20"/>
      <c r="E47" s="20"/>
      <c r="F47" s="20"/>
      <c r="G47" s="20"/>
      <c r="H47" s="55"/>
      <c r="I47" s="55"/>
      <c r="J47" s="52" t="str">
        <f t="shared" si="2"/>
        <v/>
      </c>
      <c r="K47" s="52" t="str">
        <f t="shared" si="3"/>
        <v/>
      </c>
      <c r="L47" s="15" t="str">
        <f>IF(B47="","",IF(COUNTIF('Lịch nội dung'!$F$6:$F$105,B47)&gt;0,"Đã lên lịch","Chưa lên lịch"))</f>
        <v/>
      </c>
      <c r="M47" s="19"/>
    </row>
    <row r="48" ht="30.0" customHeight="1">
      <c r="A48" s="56" t="str">
        <f t="shared" si="1"/>
        <v/>
      </c>
      <c r="B48" s="29"/>
      <c r="C48" s="30"/>
      <c r="D48" s="30"/>
      <c r="E48" s="30"/>
      <c r="F48" s="30"/>
      <c r="G48" s="30"/>
      <c r="H48" s="57"/>
      <c r="I48" s="57"/>
      <c r="J48" s="56" t="str">
        <f t="shared" si="2"/>
        <v/>
      </c>
      <c r="K48" s="56" t="str">
        <f t="shared" si="3"/>
        <v/>
      </c>
      <c r="L48" s="26" t="str">
        <f>IF(B48="","",IF(COUNTIF('Lịch nội dung'!$F$6:$F$105,B48)&gt;0,"Đã lên lịch","Chưa lên lịch"))</f>
        <v/>
      </c>
      <c r="M48" s="29"/>
    </row>
    <row r="49" ht="30.0" customHeight="1">
      <c r="A49" s="52" t="str">
        <f t="shared" si="1"/>
        <v/>
      </c>
      <c r="B49" s="19"/>
      <c r="C49" s="20"/>
      <c r="D49" s="20"/>
      <c r="E49" s="20"/>
      <c r="F49" s="20"/>
      <c r="G49" s="20"/>
      <c r="H49" s="55"/>
      <c r="I49" s="55"/>
      <c r="J49" s="52" t="str">
        <f t="shared" si="2"/>
        <v/>
      </c>
      <c r="K49" s="52" t="str">
        <f t="shared" si="3"/>
        <v/>
      </c>
      <c r="L49" s="15" t="str">
        <f>IF(B49="","",IF(COUNTIF('Lịch nội dung'!$F$6:$F$105,B49)&gt;0,"Đã lên lịch","Chưa lên lịch"))</f>
        <v/>
      </c>
      <c r="M49" s="19"/>
    </row>
    <row r="50" ht="30.0" customHeight="1">
      <c r="A50" s="56" t="str">
        <f t="shared" si="1"/>
        <v/>
      </c>
      <c r="B50" s="29"/>
      <c r="C50" s="30"/>
      <c r="D50" s="30"/>
      <c r="E50" s="30"/>
      <c r="F50" s="30"/>
      <c r="G50" s="30"/>
      <c r="H50" s="57"/>
      <c r="I50" s="57"/>
      <c r="J50" s="56" t="str">
        <f t="shared" si="2"/>
        <v/>
      </c>
      <c r="K50" s="56" t="str">
        <f t="shared" si="3"/>
        <v/>
      </c>
      <c r="L50" s="26" t="str">
        <f>IF(B50="","",IF(COUNTIF('Lịch nội dung'!$F$6:$F$105,B50)&gt;0,"Đã lên lịch","Chưa lên lịch"))</f>
        <v/>
      </c>
      <c r="M50" s="29"/>
    </row>
    <row r="51" ht="30.0" customHeight="1">
      <c r="A51" s="52" t="str">
        <f t="shared" si="1"/>
        <v/>
      </c>
      <c r="B51" s="19"/>
      <c r="C51" s="20"/>
      <c r="D51" s="20"/>
      <c r="E51" s="20"/>
      <c r="F51" s="20"/>
      <c r="G51" s="20"/>
      <c r="H51" s="55"/>
      <c r="I51" s="55"/>
      <c r="J51" s="52" t="str">
        <f t="shared" si="2"/>
        <v/>
      </c>
      <c r="K51" s="52" t="str">
        <f t="shared" si="3"/>
        <v/>
      </c>
      <c r="L51" s="15" t="str">
        <f>IF(B51="","",IF(COUNTIF('Lịch nội dung'!$F$6:$F$105,B51)&gt;0,"Đã lên lịch","Chưa lên lịch"))</f>
        <v/>
      </c>
      <c r="M51" s="19"/>
    </row>
    <row r="52" ht="30.0" customHeight="1">
      <c r="A52" s="56" t="str">
        <f t="shared" si="1"/>
        <v/>
      </c>
      <c r="B52" s="29"/>
      <c r="C52" s="30"/>
      <c r="D52" s="30"/>
      <c r="E52" s="30"/>
      <c r="F52" s="30"/>
      <c r="G52" s="30"/>
      <c r="H52" s="57"/>
      <c r="I52" s="57"/>
      <c r="J52" s="56" t="str">
        <f t="shared" si="2"/>
        <v/>
      </c>
      <c r="K52" s="56" t="str">
        <f t="shared" si="3"/>
        <v/>
      </c>
      <c r="L52" s="26" t="str">
        <f>IF(B52="","",IF(COUNTIF('Lịch nội dung'!$F$6:$F$105,B52)&gt;0,"Đã lên lịch","Chưa lên lịch"))</f>
        <v/>
      </c>
      <c r="M52" s="29"/>
    </row>
    <row r="53" ht="30.0" customHeight="1">
      <c r="A53" s="52" t="str">
        <f t="shared" si="1"/>
        <v/>
      </c>
      <c r="B53" s="19"/>
      <c r="C53" s="20"/>
      <c r="D53" s="20"/>
      <c r="E53" s="20"/>
      <c r="F53" s="20"/>
      <c r="G53" s="20"/>
      <c r="H53" s="55"/>
      <c r="I53" s="55"/>
      <c r="J53" s="52" t="str">
        <f t="shared" si="2"/>
        <v/>
      </c>
      <c r="K53" s="52" t="str">
        <f t="shared" si="3"/>
        <v/>
      </c>
      <c r="L53" s="15" t="str">
        <f>IF(B53="","",IF(COUNTIF('Lịch nội dung'!$F$6:$F$105,B53)&gt;0,"Đã lên lịch","Chưa lên lịch"))</f>
        <v/>
      </c>
      <c r="M53" s="19"/>
    </row>
    <row r="54" ht="30.0" customHeight="1">
      <c r="A54" s="56" t="str">
        <f t="shared" si="1"/>
        <v/>
      </c>
      <c r="B54" s="29"/>
      <c r="C54" s="30"/>
      <c r="D54" s="30"/>
      <c r="E54" s="30"/>
      <c r="F54" s="30"/>
      <c r="G54" s="30"/>
      <c r="H54" s="57"/>
      <c r="I54" s="57"/>
      <c r="J54" s="56" t="str">
        <f t="shared" si="2"/>
        <v/>
      </c>
      <c r="K54" s="56" t="str">
        <f t="shared" si="3"/>
        <v/>
      </c>
      <c r="L54" s="26" t="str">
        <f>IF(B54="","",IF(COUNTIF('Lịch nội dung'!$F$6:$F$105,B54)&gt;0,"Đã lên lịch","Chưa lên lịch"))</f>
        <v/>
      </c>
      <c r="M54" s="29"/>
    </row>
    <row r="55" ht="30.0" customHeight="1">
      <c r="A55" s="52" t="str">
        <f t="shared" si="1"/>
        <v/>
      </c>
      <c r="B55" s="19"/>
      <c r="C55" s="20"/>
      <c r="D55" s="20"/>
      <c r="E55" s="20"/>
      <c r="F55" s="20"/>
      <c r="G55" s="20"/>
      <c r="H55" s="55"/>
      <c r="I55" s="55"/>
      <c r="J55" s="52" t="str">
        <f t="shared" si="2"/>
        <v/>
      </c>
      <c r="K55" s="52" t="str">
        <f t="shared" si="3"/>
        <v/>
      </c>
      <c r="L55" s="15" t="str">
        <f>IF(B55="","",IF(COUNTIF('Lịch nội dung'!$F$6:$F$105,B55)&gt;0,"Đã lên lịch","Chưa lên lịch"))</f>
        <v/>
      </c>
      <c r="M55" s="19"/>
    </row>
    <row r="56" ht="30.0" customHeight="1">
      <c r="A56" s="56" t="str">
        <f t="shared" si="1"/>
        <v/>
      </c>
      <c r="B56" s="29"/>
      <c r="C56" s="30"/>
      <c r="D56" s="30"/>
      <c r="E56" s="30"/>
      <c r="F56" s="30"/>
      <c r="G56" s="30"/>
      <c r="H56" s="57"/>
      <c r="I56" s="57"/>
      <c r="J56" s="56" t="str">
        <f t="shared" si="2"/>
        <v/>
      </c>
      <c r="K56" s="56" t="str">
        <f t="shared" si="3"/>
        <v/>
      </c>
      <c r="L56" s="26" t="str">
        <f>IF(B56="","",IF(COUNTIF('Lịch nội dung'!$F$6:$F$105,B56)&gt;0,"Đã lên lịch","Chưa lên lịch"))</f>
        <v/>
      </c>
      <c r="M56" s="29"/>
    </row>
    <row r="57" ht="30.0" customHeight="1">
      <c r="A57" s="52" t="str">
        <f t="shared" si="1"/>
        <v/>
      </c>
      <c r="B57" s="19"/>
      <c r="C57" s="20"/>
      <c r="D57" s="20"/>
      <c r="E57" s="20"/>
      <c r="F57" s="20"/>
      <c r="G57" s="20"/>
      <c r="H57" s="55"/>
      <c r="I57" s="55"/>
      <c r="J57" s="52" t="str">
        <f t="shared" si="2"/>
        <v/>
      </c>
      <c r="K57" s="52" t="str">
        <f t="shared" si="3"/>
        <v/>
      </c>
      <c r="L57" s="15" t="str">
        <f>IF(B57="","",IF(COUNTIF('Lịch nội dung'!$F$6:$F$105,B57)&gt;0,"Đã lên lịch","Chưa lên lịch"))</f>
        <v/>
      </c>
      <c r="M57" s="19"/>
    </row>
    <row r="58" ht="30.0" customHeight="1">
      <c r="A58" s="56" t="str">
        <f t="shared" si="1"/>
        <v/>
      </c>
      <c r="B58" s="29"/>
      <c r="C58" s="30"/>
      <c r="D58" s="30"/>
      <c r="E58" s="30"/>
      <c r="F58" s="30"/>
      <c r="G58" s="30"/>
      <c r="H58" s="57"/>
      <c r="I58" s="57"/>
      <c r="J58" s="56" t="str">
        <f t="shared" si="2"/>
        <v/>
      </c>
      <c r="K58" s="56" t="str">
        <f t="shared" si="3"/>
        <v/>
      </c>
      <c r="L58" s="26" t="str">
        <f>IF(B58="","",IF(COUNTIF('Lịch nội dung'!$F$6:$F$105,B58)&gt;0,"Đã lên lịch","Chưa lên lịch"))</f>
        <v/>
      </c>
      <c r="M58" s="29"/>
    </row>
    <row r="59" ht="30.0" customHeight="1">
      <c r="A59" s="52" t="str">
        <f t="shared" si="1"/>
        <v/>
      </c>
      <c r="B59" s="19"/>
      <c r="C59" s="20"/>
      <c r="D59" s="20"/>
      <c r="E59" s="20"/>
      <c r="F59" s="20"/>
      <c r="G59" s="20"/>
      <c r="H59" s="55"/>
      <c r="I59" s="55"/>
      <c r="J59" s="52" t="str">
        <f t="shared" si="2"/>
        <v/>
      </c>
      <c r="K59" s="52" t="str">
        <f t="shared" si="3"/>
        <v/>
      </c>
      <c r="L59" s="15" t="str">
        <f>IF(B59="","",IF(COUNTIF('Lịch nội dung'!$F$6:$F$105,B59)&gt;0,"Đã lên lịch","Chưa lên lịch"))</f>
        <v/>
      </c>
      <c r="M59" s="19"/>
    </row>
    <row r="60" ht="30.0" customHeight="1">
      <c r="A60" s="56" t="str">
        <f t="shared" si="1"/>
        <v/>
      </c>
      <c r="B60" s="29"/>
      <c r="C60" s="30"/>
      <c r="D60" s="30"/>
      <c r="E60" s="30"/>
      <c r="F60" s="30"/>
      <c r="G60" s="30"/>
      <c r="H60" s="57"/>
      <c r="I60" s="57"/>
      <c r="J60" s="56" t="str">
        <f t="shared" si="2"/>
        <v/>
      </c>
      <c r="K60" s="56" t="str">
        <f t="shared" si="3"/>
        <v/>
      </c>
      <c r="L60" s="26" t="str">
        <f>IF(B60="","",IF(COUNTIF('Lịch nội dung'!$F$6:$F$105,B60)&gt;0,"Đã lên lịch","Chưa lên lịch"))</f>
        <v/>
      </c>
      <c r="M60" s="29"/>
    </row>
    <row r="61" ht="30.0" customHeight="1">
      <c r="A61" s="52" t="str">
        <f t="shared" si="1"/>
        <v/>
      </c>
      <c r="B61" s="19"/>
      <c r="C61" s="20"/>
      <c r="D61" s="20"/>
      <c r="E61" s="20"/>
      <c r="F61" s="20"/>
      <c r="G61" s="20"/>
      <c r="H61" s="55"/>
      <c r="I61" s="55"/>
      <c r="J61" s="52" t="str">
        <f t="shared" si="2"/>
        <v/>
      </c>
      <c r="K61" s="52" t="str">
        <f t="shared" si="3"/>
        <v/>
      </c>
      <c r="L61" s="15" t="str">
        <f>IF(B61="","",IF(COUNTIF('Lịch nội dung'!$F$6:$F$105,B61)&gt;0,"Đã lên lịch","Chưa lên lịch"))</f>
        <v/>
      </c>
      <c r="M61" s="19"/>
    </row>
    <row r="62" ht="30.0" customHeight="1">
      <c r="A62" s="56" t="str">
        <f t="shared" si="1"/>
        <v/>
      </c>
      <c r="B62" s="29"/>
      <c r="C62" s="30"/>
      <c r="D62" s="30"/>
      <c r="E62" s="30"/>
      <c r="F62" s="30"/>
      <c r="G62" s="30"/>
      <c r="H62" s="57"/>
      <c r="I62" s="57"/>
      <c r="J62" s="56" t="str">
        <f t="shared" si="2"/>
        <v/>
      </c>
      <c r="K62" s="56" t="str">
        <f t="shared" si="3"/>
        <v/>
      </c>
      <c r="L62" s="26" t="str">
        <f>IF(B62="","",IF(COUNTIF('Lịch nội dung'!$F$6:$F$105,B62)&gt;0,"Đã lên lịch","Chưa lên lịch"))</f>
        <v/>
      </c>
      <c r="M62" s="29"/>
    </row>
    <row r="63" ht="30.0" customHeight="1">
      <c r="A63" s="52" t="str">
        <f t="shared" si="1"/>
        <v/>
      </c>
      <c r="B63" s="19"/>
      <c r="C63" s="20"/>
      <c r="D63" s="20"/>
      <c r="E63" s="20"/>
      <c r="F63" s="20"/>
      <c r="G63" s="20"/>
      <c r="H63" s="55"/>
      <c r="I63" s="55"/>
      <c r="J63" s="52" t="str">
        <f t="shared" si="2"/>
        <v/>
      </c>
      <c r="K63" s="52" t="str">
        <f t="shared" si="3"/>
        <v/>
      </c>
      <c r="L63" s="15" t="str">
        <f>IF(B63="","",IF(COUNTIF('Lịch nội dung'!$F$6:$F$105,B63)&gt;0,"Đã lên lịch","Chưa lên lịch"))</f>
        <v/>
      </c>
      <c r="M63" s="19"/>
    </row>
    <row r="64" ht="30.0" customHeight="1">
      <c r="A64" s="56" t="str">
        <f t="shared" si="1"/>
        <v/>
      </c>
      <c r="B64" s="29"/>
      <c r="C64" s="30"/>
      <c r="D64" s="30"/>
      <c r="E64" s="30"/>
      <c r="F64" s="30"/>
      <c r="G64" s="30"/>
      <c r="H64" s="57"/>
      <c r="I64" s="57"/>
      <c r="J64" s="56" t="str">
        <f t="shared" si="2"/>
        <v/>
      </c>
      <c r="K64" s="56" t="str">
        <f t="shared" si="3"/>
        <v/>
      </c>
      <c r="L64" s="26" t="str">
        <f>IF(B64="","",IF(COUNTIF('Lịch nội dung'!$F$6:$F$105,B64)&gt;0,"Đã lên lịch","Chưa lên lịch"))</f>
        <v/>
      </c>
      <c r="M64" s="29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A2:M2"/>
  </mergeCells>
  <conditionalFormatting sqref="L5:L64">
    <cfRule type="cellIs" dxfId="2" priority="1" operator="equal">
      <formula>"Đã lên lịch"</formula>
    </cfRule>
  </conditionalFormatting>
  <dataValidations>
    <dataValidation type="list" allowBlank="1" sqref="D5:D64">
      <formula1>'Cài đặt'!$A$29:$A$38</formula1>
    </dataValidation>
    <dataValidation type="list" allowBlank="1" sqref="C5:C64">
      <formula1>'Cài đặt'!$A$6:$A$13</formula1>
    </dataValidation>
    <dataValidation type="list" allowBlank="1" sqref="E5:E64">
      <formula1>'Cài đặt'!$A$18:$A$25</formula1>
    </dataValidation>
    <dataValidation type="list" allowBlank="1" sqref="F5:F64">
      <formula1>'Cài đặt'!$A$66:$A$71</formula1>
    </dataValidation>
    <dataValidation type="list" allowBlank="1" sqref="G5:G64">
      <formula1>'Cài đặt'!$A$85:$A$99</formula1>
    </dataValidation>
    <dataValidation type="decimal" allowBlank="1" sqref="H5:I64">
      <formula1>1.0</formula1>
      <formula2>5.0</formula2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/>
  </sheetViews>
  <sheetFormatPr customHeight="1" defaultColWidth="14.43" defaultRowHeight="15.0"/>
  <cols>
    <col customWidth="1" min="1" max="1" width="36.0"/>
    <col customWidth="1" min="2" max="2" width="52.0"/>
    <col customWidth="1" min="3" max="3" width="22.0"/>
    <col customWidth="1" min="4" max="26" width="8.71"/>
  </cols>
  <sheetData>
    <row r="1" ht="42.0" customHeight="1">
      <c r="A1" s="1" t="s">
        <v>238</v>
      </c>
      <c r="B1" s="2"/>
      <c r="C1" s="3"/>
    </row>
    <row r="2" ht="19.5" customHeight="1">
      <c r="A2" s="4" t="s">
        <v>239</v>
      </c>
    </row>
    <row r="4" ht="24.0" customHeight="1">
      <c r="A4" s="61" t="s">
        <v>240</v>
      </c>
      <c r="B4" s="2"/>
      <c r="C4" s="3"/>
    </row>
    <row r="5" ht="27.75" customHeight="1">
      <c r="A5" s="13" t="s">
        <v>17</v>
      </c>
      <c r="B5" s="13" t="s">
        <v>241</v>
      </c>
      <c r="C5" s="13" t="s">
        <v>242</v>
      </c>
    </row>
    <row r="6" ht="21.75" customHeight="1">
      <c r="A6" s="20" t="s">
        <v>51</v>
      </c>
      <c r="B6" s="20" t="s">
        <v>243</v>
      </c>
      <c r="C6" s="72">
        <v>0.35</v>
      </c>
    </row>
    <row r="7" ht="21.75" customHeight="1">
      <c r="A7" s="30" t="s">
        <v>74</v>
      </c>
      <c r="B7" s="30" t="s">
        <v>244</v>
      </c>
      <c r="C7" s="73">
        <v>0.2</v>
      </c>
    </row>
    <row r="8" ht="21.75" customHeight="1">
      <c r="A8" s="20" t="s">
        <v>110</v>
      </c>
      <c r="B8" s="20" t="s">
        <v>245</v>
      </c>
      <c r="C8" s="72">
        <v>0.15</v>
      </c>
    </row>
    <row r="9" ht="21.75" customHeight="1">
      <c r="A9" s="30" t="s">
        <v>144</v>
      </c>
      <c r="B9" s="30" t="s">
        <v>246</v>
      </c>
      <c r="C9" s="73">
        <v>0.1</v>
      </c>
    </row>
    <row r="10" ht="21.75" customHeight="1">
      <c r="A10" s="20" t="s">
        <v>183</v>
      </c>
      <c r="B10" s="20" t="s">
        <v>247</v>
      </c>
      <c r="C10" s="72">
        <v>0.15</v>
      </c>
    </row>
    <row r="11" ht="21.75" customHeight="1">
      <c r="A11" s="30" t="s">
        <v>197</v>
      </c>
      <c r="B11" s="30" t="s">
        <v>248</v>
      </c>
      <c r="C11" s="73">
        <v>0.05</v>
      </c>
    </row>
    <row r="12" ht="21.75" customHeight="1">
      <c r="A12" s="20"/>
      <c r="B12" s="20"/>
      <c r="C12" s="72"/>
    </row>
    <row r="13" ht="21.75" customHeight="1">
      <c r="A13" s="30"/>
      <c r="B13" s="30"/>
      <c r="C13" s="73"/>
    </row>
    <row r="14">
      <c r="A14" s="7" t="s">
        <v>249</v>
      </c>
      <c r="C14" s="74">
        <f>SUM(C6:C13)</f>
        <v>1</v>
      </c>
    </row>
    <row r="16" ht="24.0" customHeight="1">
      <c r="A16" s="61" t="s">
        <v>250</v>
      </c>
      <c r="B16" s="2"/>
      <c r="C16" s="3"/>
    </row>
    <row r="17" ht="27.75" customHeight="1">
      <c r="A17" s="13" t="s">
        <v>19</v>
      </c>
      <c r="B17" s="13" t="s">
        <v>251</v>
      </c>
      <c r="C17" s="13" t="s">
        <v>252</v>
      </c>
    </row>
    <row r="18" ht="21.75" customHeight="1">
      <c r="A18" s="20" t="s">
        <v>53</v>
      </c>
      <c r="B18" s="20" t="s">
        <v>253</v>
      </c>
      <c r="C18" s="75">
        <v>1.0</v>
      </c>
    </row>
    <row r="19" ht="21.75" customHeight="1">
      <c r="A19" s="30" t="s">
        <v>66</v>
      </c>
      <c r="B19" s="30" t="s">
        <v>254</v>
      </c>
      <c r="C19" s="76">
        <v>2.0</v>
      </c>
    </row>
    <row r="20" ht="21.75" customHeight="1">
      <c r="A20" s="20" t="s">
        <v>145</v>
      </c>
      <c r="B20" s="20" t="s">
        <v>255</v>
      </c>
      <c r="C20" s="75">
        <v>1.0</v>
      </c>
    </row>
    <row r="21" ht="21.75" customHeight="1">
      <c r="A21" s="30" t="s">
        <v>76</v>
      </c>
      <c r="B21" s="30" t="s">
        <v>256</v>
      </c>
      <c r="C21" s="76">
        <v>1.0</v>
      </c>
    </row>
    <row r="22" ht="21.75" customHeight="1">
      <c r="A22" s="20" t="s">
        <v>153</v>
      </c>
      <c r="B22" s="20" t="s">
        <v>257</v>
      </c>
      <c r="C22" s="75">
        <v>0.5</v>
      </c>
    </row>
    <row r="23" ht="21.75" customHeight="1">
      <c r="A23" s="30" t="s">
        <v>90</v>
      </c>
      <c r="B23" s="30" t="s">
        <v>258</v>
      </c>
      <c r="C23" s="76">
        <v>1.0</v>
      </c>
    </row>
    <row r="24" ht="21.75" customHeight="1">
      <c r="A24" s="20" t="s">
        <v>198</v>
      </c>
      <c r="B24" s="20" t="s">
        <v>259</v>
      </c>
      <c r="C24" s="75">
        <v>0.5</v>
      </c>
    </row>
    <row r="25" ht="21.75" customHeight="1">
      <c r="A25" s="30"/>
      <c r="B25" s="30"/>
      <c r="C25" s="76"/>
    </row>
    <row r="26" ht="15.75" customHeight="1"/>
    <row r="27" ht="24.0" customHeight="1">
      <c r="A27" s="61" t="s">
        <v>260</v>
      </c>
      <c r="B27" s="2"/>
      <c r="C27" s="3"/>
    </row>
    <row r="28" ht="27.75" customHeight="1">
      <c r="A28" s="13" t="s">
        <v>18</v>
      </c>
    </row>
    <row r="29" ht="21.75" customHeight="1">
      <c r="A29" s="20" t="s">
        <v>52</v>
      </c>
    </row>
    <row r="30" ht="21.75" customHeight="1">
      <c r="A30" s="30" t="s">
        <v>111</v>
      </c>
    </row>
    <row r="31" ht="21.75" customHeight="1">
      <c r="A31" s="20" t="s">
        <v>75</v>
      </c>
    </row>
    <row r="32" ht="21.75" customHeight="1">
      <c r="A32" s="30" t="s">
        <v>152</v>
      </c>
    </row>
    <row r="33" ht="21.75" customHeight="1">
      <c r="A33" s="20" t="s">
        <v>65</v>
      </c>
    </row>
    <row r="34" ht="21.75" customHeight="1">
      <c r="A34" s="30" t="s">
        <v>88</v>
      </c>
    </row>
    <row r="35" ht="21.75" customHeight="1">
      <c r="A35" s="20" t="s">
        <v>127</v>
      </c>
    </row>
    <row r="36" ht="21.75" customHeight="1">
      <c r="A36" s="30" t="s">
        <v>202</v>
      </c>
    </row>
    <row r="37" ht="21.75" customHeight="1">
      <c r="A37" s="20"/>
    </row>
    <row r="38" ht="21.75" customHeight="1">
      <c r="A38" s="30"/>
    </row>
    <row r="39" ht="15.75" customHeight="1"/>
    <row r="40" ht="24.0" customHeight="1">
      <c r="A40" s="61" t="s">
        <v>261</v>
      </c>
      <c r="B40" s="2"/>
      <c r="C40" s="3"/>
    </row>
    <row r="41" ht="27.75" customHeight="1">
      <c r="A41" s="13" t="s">
        <v>262</v>
      </c>
      <c r="B41" s="13" t="s">
        <v>263</v>
      </c>
    </row>
    <row r="42" ht="21.75" customHeight="1">
      <c r="A42" s="20" t="s">
        <v>54</v>
      </c>
      <c r="B42" s="20" t="s">
        <v>264</v>
      </c>
    </row>
    <row r="43" ht="21.75" customHeight="1">
      <c r="A43" s="30" t="s">
        <v>77</v>
      </c>
      <c r="B43" s="30" t="s">
        <v>265</v>
      </c>
    </row>
    <row r="44" ht="21.75" customHeight="1">
      <c r="A44" s="20" t="s">
        <v>91</v>
      </c>
      <c r="B44" s="20" t="s">
        <v>266</v>
      </c>
    </row>
    <row r="45" ht="21.75" customHeight="1">
      <c r="A45" s="30" t="s">
        <v>267</v>
      </c>
      <c r="B45" s="30" t="s">
        <v>268</v>
      </c>
    </row>
    <row r="46" ht="21.75" customHeight="1">
      <c r="A46" s="20"/>
      <c r="B46" s="20"/>
    </row>
    <row r="47" ht="21.75" customHeight="1">
      <c r="A47" s="30"/>
      <c r="B47" s="30"/>
    </row>
    <row r="48" ht="15.75" customHeight="1"/>
    <row r="49" ht="24.0" customHeight="1">
      <c r="A49" s="61" t="s">
        <v>269</v>
      </c>
      <c r="B49" s="2"/>
      <c r="C49" s="3"/>
    </row>
    <row r="50" ht="27.75" customHeight="1">
      <c r="A50" s="13" t="s">
        <v>270</v>
      </c>
      <c r="B50" s="13" t="s">
        <v>271</v>
      </c>
    </row>
    <row r="51" ht="21.75" customHeight="1">
      <c r="A51" s="20" t="s">
        <v>55</v>
      </c>
      <c r="B51" s="20" t="s">
        <v>272</v>
      </c>
    </row>
    <row r="52" ht="21.75" customHeight="1">
      <c r="A52" s="30" t="s">
        <v>78</v>
      </c>
      <c r="B52" s="30" t="s">
        <v>273</v>
      </c>
    </row>
    <row r="53" ht="21.75" customHeight="1">
      <c r="A53" s="20" t="s">
        <v>154</v>
      </c>
      <c r="B53" s="20" t="s">
        <v>274</v>
      </c>
    </row>
    <row r="54" ht="21.75" customHeight="1">
      <c r="A54" s="30"/>
      <c r="B54" s="30"/>
    </row>
    <row r="55" ht="15.75" customHeight="1"/>
    <row r="56" ht="24.0" customHeight="1">
      <c r="A56" s="61" t="s">
        <v>275</v>
      </c>
      <c r="B56" s="2"/>
      <c r="C56" s="3"/>
    </row>
    <row r="57" ht="27.75" customHeight="1">
      <c r="A57" s="13" t="s">
        <v>22</v>
      </c>
      <c r="B57" s="13" t="s">
        <v>271</v>
      </c>
    </row>
    <row r="58" ht="21.75" customHeight="1">
      <c r="A58" s="20" t="s">
        <v>56</v>
      </c>
      <c r="B58" s="20" t="s">
        <v>276</v>
      </c>
    </row>
    <row r="59" ht="21.75" customHeight="1">
      <c r="A59" s="30" t="s">
        <v>67</v>
      </c>
      <c r="B59" s="30" t="s">
        <v>277</v>
      </c>
    </row>
    <row r="60" ht="21.75" customHeight="1">
      <c r="A60" s="20" t="s">
        <v>92</v>
      </c>
      <c r="B60" s="20" t="s">
        <v>278</v>
      </c>
    </row>
    <row r="61" ht="21.75" customHeight="1">
      <c r="A61" s="30" t="s">
        <v>155</v>
      </c>
      <c r="B61" s="30" t="s">
        <v>279</v>
      </c>
    </row>
    <row r="62" ht="21.75" customHeight="1">
      <c r="A62" s="20" t="s">
        <v>280</v>
      </c>
      <c r="B62" s="20" t="s">
        <v>281</v>
      </c>
    </row>
    <row r="63" ht="15.75" customHeight="1"/>
    <row r="64" ht="24.0" customHeight="1">
      <c r="A64" s="61" t="s">
        <v>282</v>
      </c>
      <c r="B64" s="2"/>
      <c r="C64" s="3"/>
    </row>
    <row r="65" ht="27.75" customHeight="1">
      <c r="A65" s="13" t="s">
        <v>283</v>
      </c>
      <c r="B65" s="13" t="s">
        <v>41</v>
      </c>
    </row>
    <row r="66" ht="21.75" customHeight="1">
      <c r="A66" s="20" t="s">
        <v>164</v>
      </c>
      <c r="B66" s="20"/>
    </row>
    <row r="67" ht="21.75" customHeight="1">
      <c r="A67" s="30" t="s">
        <v>151</v>
      </c>
      <c r="B67" s="30"/>
    </row>
    <row r="68" ht="21.75" customHeight="1">
      <c r="A68" s="20" t="s">
        <v>184</v>
      </c>
      <c r="B68" s="20"/>
    </row>
    <row r="69" ht="21.75" customHeight="1">
      <c r="A69" s="30" t="s">
        <v>160</v>
      </c>
      <c r="B69" s="30"/>
    </row>
    <row r="70" ht="21.75" customHeight="1">
      <c r="A70" s="20" t="s">
        <v>171</v>
      </c>
      <c r="B70" s="20"/>
    </row>
    <row r="71" ht="21.75" customHeight="1">
      <c r="A71" s="30" t="s">
        <v>284</v>
      </c>
      <c r="B71" s="30"/>
    </row>
    <row r="72" ht="15.75" customHeight="1"/>
    <row r="73" ht="24.0" customHeight="1">
      <c r="A73" s="61" t="s">
        <v>285</v>
      </c>
      <c r="B73" s="2"/>
      <c r="C73" s="3"/>
    </row>
    <row r="74" ht="27.75" customHeight="1">
      <c r="A74" s="13" t="s">
        <v>28</v>
      </c>
      <c r="B74" s="13" t="s">
        <v>271</v>
      </c>
    </row>
    <row r="75" ht="21.75" customHeight="1">
      <c r="A75" s="20" t="s">
        <v>237</v>
      </c>
      <c r="B75" s="20" t="s">
        <v>286</v>
      </c>
    </row>
    <row r="76" ht="21.75" customHeight="1">
      <c r="A76" s="30" t="s">
        <v>233</v>
      </c>
      <c r="B76" s="30" t="s">
        <v>287</v>
      </c>
    </row>
    <row r="77" ht="21.75" customHeight="1">
      <c r="A77" s="20" t="s">
        <v>221</v>
      </c>
      <c r="B77" s="20" t="s">
        <v>288</v>
      </c>
    </row>
    <row r="78" ht="21.75" customHeight="1">
      <c r="A78" s="30" t="s">
        <v>215</v>
      </c>
      <c r="B78" s="30" t="s">
        <v>289</v>
      </c>
    </row>
    <row r="79" ht="21.75" customHeight="1">
      <c r="A79" s="20" t="s">
        <v>61</v>
      </c>
      <c r="B79" s="20" t="s">
        <v>290</v>
      </c>
    </row>
    <row r="80" ht="21.75" customHeight="1">
      <c r="A80" s="30" t="s">
        <v>128</v>
      </c>
      <c r="B80" s="30" t="s">
        <v>291</v>
      </c>
    </row>
    <row r="81" ht="15.75" customHeight="1">
      <c r="A81" s="70" t="s">
        <v>292</v>
      </c>
    </row>
    <row r="82" ht="15.75" customHeight="1"/>
    <row r="83" ht="24.0" customHeight="1">
      <c r="A83" s="61" t="s">
        <v>293</v>
      </c>
      <c r="B83" s="2"/>
      <c r="C83" s="3"/>
    </row>
    <row r="84" ht="27.75" customHeight="1">
      <c r="A84" s="13" t="s">
        <v>294</v>
      </c>
      <c r="B84" s="13" t="s">
        <v>295</v>
      </c>
    </row>
    <row r="85" ht="21.75" customHeight="1">
      <c r="A85" s="20" t="s">
        <v>60</v>
      </c>
      <c r="B85" s="20" t="s">
        <v>296</v>
      </c>
    </row>
    <row r="86" ht="21.75" customHeight="1">
      <c r="A86" s="30" t="s">
        <v>59</v>
      </c>
      <c r="B86" s="30" t="s">
        <v>297</v>
      </c>
    </row>
    <row r="87" ht="21.75" customHeight="1">
      <c r="A87" s="20" t="s">
        <v>70</v>
      </c>
      <c r="B87" s="20" t="s">
        <v>298</v>
      </c>
    </row>
    <row r="88" ht="21.75" customHeight="1">
      <c r="A88" s="30" t="s">
        <v>81</v>
      </c>
      <c r="B88" s="30" t="s">
        <v>299</v>
      </c>
    </row>
    <row r="89" ht="21.75" customHeight="1">
      <c r="A89" s="20" t="s">
        <v>96</v>
      </c>
      <c r="B89" s="20" t="s">
        <v>300</v>
      </c>
    </row>
    <row r="90" ht="21.75" customHeight="1">
      <c r="A90" s="30"/>
      <c r="B90" s="30"/>
    </row>
    <row r="91" ht="21.75" customHeight="1">
      <c r="A91" s="20"/>
      <c r="B91" s="20"/>
    </row>
    <row r="92" ht="21.75" customHeight="1">
      <c r="A92" s="30"/>
      <c r="B92" s="30"/>
    </row>
    <row r="93" ht="21.75" customHeight="1">
      <c r="A93" s="20"/>
      <c r="B93" s="20"/>
    </row>
    <row r="94" ht="21.75" customHeight="1">
      <c r="A94" s="30"/>
      <c r="B94" s="30"/>
    </row>
    <row r="95" ht="21.75" customHeight="1">
      <c r="A95" s="20"/>
      <c r="B95" s="20"/>
    </row>
    <row r="96" ht="21.75" customHeight="1">
      <c r="A96" s="30"/>
      <c r="B96" s="30"/>
    </row>
    <row r="97" ht="21.75" customHeight="1">
      <c r="A97" s="20"/>
      <c r="B97" s="20"/>
    </row>
    <row r="98" ht="21.75" customHeight="1">
      <c r="A98" s="30"/>
      <c r="B98" s="30"/>
    </row>
    <row r="99" ht="21.75" customHeight="1">
      <c r="A99" s="20"/>
      <c r="B99" s="20"/>
    </row>
    <row r="100" ht="15.75" customHeight="1"/>
    <row r="101" ht="24.0" customHeight="1">
      <c r="A101" s="61" t="s">
        <v>301</v>
      </c>
      <c r="B101" s="2"/>
      <c r="C101" s="3"/>
    </row>
    <row r="102" ht="15.75" customHeight="1">
      <c r="A102" s="62" t="s">
        <v>302</v>
      </c>
      <c r="B102" s="77">
        <v>2.0</v>
      </c>
    </row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56:C56"/>
    <mergeCell ref="A64:C64"/>
    <mergeCell ref="A73:C73"/>
    <mergeCell ref="A83:C83"/>
    <mergeCell ref="A101:C101"/>
    <mergeCell ref="A1:C1"/>
    <mergeCell ref="A2:C2"/>
    <mergeCell ref="A4:C4"/>
    <mergeCell ref="A16:C16"/>
    <mergeCell ref="A27:C27"/>
    <mergeCell ref="A40:C40"/>
    <mergeCell ref="A49:C49"/>
  </mergeCells>
  <conditionalFormatting sqref="C14">
    <cfRule type="expression" dxfId="1" priority="1">
      <formula>ROUND(C14,4)&lt;&gt;1</formula>
    </cfRule>
  </conditionalFormatting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2026-10-30T07:38:03Z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