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ổng hợp" sheetId="1" r:id="rId4"/>
    <sheet state="visible" name="Cài đặt" sheetId="2" r:id="rId5"/>
    <sheet state="visible" name="Kế hoạch" sheetId="3" r:id="rId6"/>
    <sheet state="visible" name="Ngày nghỉ" sheetId="4" r:id="rId7"/>
    <sheet state="visible" name="Hướng dẫn" sheetId="5" r:id="rId8"/>
  </sheets>
  <definedNames>
    <definedName name="Start_Adj">'Cài đặt'!$C$13</definedName>
    <definedName name="Report_Date">'Cài đặt'!$C$14</definedName>
    <definedName name="Holidays">'Ngày nghỉ'!$C$5:$C$44</definedName>
    <definedName name="Weekend_Pattern">'Cài đặt'!$C$12</definedName>
  </definedNames>
  <calcPr/>
  <extLst>
    <ext uri="GoogleSheetsCustomDataVersion2">
      <go:sheetsCustomData xmlns:go="http://customooxmlschemas.google.com/" r:id="rId9" roundtripDataChecksum="RUBsAyM3XRQgWH/qCjVWgR3KvCI+BMXGXIXdNA9u07k="/>
    </ext>
  </extLst>
</workbook>
</file>

<file path=xl/sharedStrings.xml><?xml version="1.0" encoding="utf-8"?>
<sst xmlns="http://schemas.openxmlformats.org/spreadsheetml/2006/main" count="309" uniqueCount="251">
  <si>
    <t>THÔNG TIN &amp; THIẾT LẬP DỰ ÁN</t>
  </si>
  <si>
    <t>Chỉ nhập vào các ô chữ xanh, nền cam nhạt. Các ô còn lại tự động tính.</t>
  </si>
  <si>
    <t>THÔNG TIN CHUNG</t>
  </si>
  <si>
    <t>Tên dự án / công trình</t>
  </si>
  <si>
    <t>Nhà ở dân dụng 3 tầng – Biệt thự A</t>
  </si>
  <si>
    <t>Hiển thị ở tiêu đề các trang</t>
  </si>
  <si>
    <t>Chủ đầu tư</t>
  </si>
  <si>
    <t>Công ty TNHH Đầu tư ABC</t>
  </si>
  <si>
    <t>Địa điểm xây dựng</t>
  </si>
  <si>
    <t>Quận Cầu Giấy, Hà Nội</t>
  </si>
  <si>
    <t>Đơn vị thi công</t>
  </si>
  <si>
    <t>Công ty CP Xây dựng XYZ</t>
  </si>
  <si>
    <t>Chỉ huy trưởng công trường</t>
  </si>
  <si>
    <t>Nguyễn Văn A</t>
  </si>
  <si>
    <t>THỜI GIAN</t>
  </si>
  <si>
    <t>Ngày khởi công (dự kiến)</t>
  </si>
  <si>
    <t>Ngày bắt đầu công việc đầu tiên</t>
  </si>
  <si>
    <t>Ngày nghỉ hằng tuần</t>
  </si>
  <si>
    <t>Thứ 7 + Chủ nhật</t>
  </si>
  <si>
    <t>Chọn trong danh sách</t>
  </si>
  <si>
    <t>Mẫu ngày nghỉ (tự động)</t>
  </si>
  <si>
    <t>Dùng cho các hàm tính ngày làm việc</t>
  </si>
  <si>
    <t>Ngày khởi công thực tế (tự động)</t>
  </si>
  <si>
    <t>Tự dời sang ngày làm việc đầu tiên nếu trùng ngày nghỉ</t>
  </si>
  <si>
    <t>Ngày báo cáo tiến độ</t>
  </si>
  <si>
    <t>Mặc định = hôm nay. Có thể gõ ngày cố định để chốt báo cáo</t>
  </si>
  <si>
    <t>CHI PHÍ</t>
  </si>
  <si>
    <t>Tỷ lệ dự phòng phí (%)</t>
  </si>
  <si>
    <t>Dự phòng phát sinh, trượt giá</t>
  </si>
  <si>
    <t>Thuế VAT (%)</t>
  </si>
  <si>
    <t>Cập nhật theo quy định hiện hành</t>
  </si>
  <si>
    <t>KẾ HOẠCH THI CÔNG CHI TIẾT</t>
  </si>
  <si>
    <t>Khởi công</t>
  </si>
  <si>
    <t>Hoàn thành DK</t>
  </si>
  <si>
    <t>Báo cáo ngày</t>
  </si>
  <si>
    <t>Tổng ngày LV</t>
  </si>
  <si>
    <t>HƯỚNG DẪN SỬ DỤNG</t>
  </si>
  <si>
    <t>CÁC BƯỚC SỬ DỤNG</t>
  </si>
  <si>
    <t>Bước 1 – Cài đặt</t>
  </si>
  <si>
    <t>Vào sheet «Cài đặt»: nhập tên dự án, ngày khởi công, ngày nghỉ hằng tuần, tỷ lệ dự phòng và VAT.</t>
  </si>
  <si>
    <t>Bước 2 – Ngày nghỉ</t>
  </si>
  <si>
    <t>DANH SÁCH NGÀY NGHỈ LỄ / NGÀY NGHỈ ĐẶC BIỆT</t>
  </si>
  <si>
    <t>Vào sheet «Ngày nghỉ»: nhập các ngày lễ, Tết, ngày nghỉ đặc biệt (tối đa 40 ngày). Hệ thống tự loại khỏi ngày làm việc.</t>
  </si>
  <si>
    <t>Bước 3 – Lập kế hoạch</t>
  </si>
  <si>
    <t>Vào sheet «Kế hoạch»: nhập tên công việc, ĐVT, khối lượng, nhân công, năng suất, mã công việc trước, độ trễ và đơn giá (chữ xanh).</t>
  </si>
  <si>
    <t>Bước 4 – Cập nhật</t>
  </si>
  <si>
    <t>Hằng ngày/tuần: nhập % hoàn thành thực tế ở cột O (hoặc đổi «Ngày báo cáo» ở sheet Cài đặt). Sheet «Tổng hợp» tự cập nhật.</t>
  </si>
  <si>
    <t>CÁCH HỆ THỐNG TỰ TÍNH</t>
  </si>
  <si>
    <t>Số ngày LV</t>
  </si>
  <si>
    <t>Các ngày liệt kê ở đây sẽ được loại khỏi ngày làm việc. Hãy cập nhật theo thông báo chính thức (Tết Âm lịch, nghỉ lễ, mưa bão…).</t>
  </si>
  <si>
    <t>Bằng làm tròn lên [Khối lượng ÷ (Nhân công × Năng suất)], tối thiểu 1 ngày.</t>
  </si>
  <si>
    <t>Ngày bắt đầu</t>
  </si>
  <si>
    <t>Nếu không có CV trước → bằng ngày khởi công. Nếu có → ngày làm việc kế tiếp sau khi CV trước kết thúc, cộng thêm độ trễ (ví dụ chờ bê tông đông cứng).</t>
  </si>
  <si>
    <t>Ngày kết thúc</t>
  </si>
  <si>
    <t>Bằng Ngày bắt đầu + (Số ngày − 1) ngày làm việc, bỏ qua ngày nghỉ hằng tuần và ngày lễ.</t>
  </si>
  <si>
    <t>STT</t>
  </si>
  <si>
    <t>% kế hoạch</t>
  </si>
  <si>
    <t>Tỷ lệ ngày làm việc đã trôi qua tính đến «Ngày báo cáo». Hạng mục (dòng cam nhạt) tính trung bình có trọng số theo giá trị.</t>
  </si>
  <si>
    <t>Trạng thái</t>
  </si>
  <si>
    <t>Hoàn thành · Đúng tiến độ · Chậm tiến độ (% thực tế thấp hơn % kế hoạch) · Quá hạn (đã qua ngày kết thúc nhưng chưa xong) · Chưa bắt đầu.</t>
  </si>
  <si>
    <t>Biểu đồ Gantt</t>
  </si>
  <si>
    <t>Theo tuần. Cam nhạt = kế hoạch, cam đậm = phần đã thực hiện, xám = hạng mục, cột xám nhạt = tuần hiện tại.</t>
  </si>
  <si>
    <t>LƯU Ý</t>
  </si>
  <si>
    <t>Ngày nghỉ</t>
  </si>
  <si>
    <t>Nội dung</t>
  </si>
  <si>
    <t>Mã CV trước</t>
  </si>
  <si>
    <t>Nhập đúng mã (ví dụ B3). Công việc trước phải nằm phía TRÊN công việc đang nhập. Sai mã sẽ hiện «Sai mã CV» màu đỏ.</t>
  </si>
  <si>
    <t>Thêm công việc</t>
  </si>
  <si>
    <t>Chèn dòng vào GIỮA một hạng mục (không chèn ở dòng đầu/cuối), sao chép công thức từ dòng bên cạnh, đánh mã mới. Tổng của hạng mục tự mở rộng.</t>
  </si>
  <si>
    <t>Thêm hạng mục</t>
  </si>
  <si>
    <t>Sao chép cả nhóm dòng (dòng hạng mục + công việc), sau đó chỉnh lại công thức tổng hợp của hạng mục và dòng Tổng cộng.</t>
  </si>
  <si>
    <t>Số tuần Gantt</t>
  </si>
  <si>
    <t>Hiển thị 26 tuần từ tuần khởi công. Dự án dài hơn có thể kéo dãn thêm cột bằng cách sao chép cột Gantt cuối.</t>
  </si>
  <si>
    <t>Dữ liệu mẫu</t>
  </si>
  <si>
    <t>Toàn bộ số liệu hiện có là ví dụ (nhà dân dụng 3 tầng). Hãy thay bằng dữ liệu dự án thật.</t>
  </si>
  <si>
    <t>Font chữ</t>
  </si>
  <si>
    <t>Bảng dùng font Inter Tight. Nếu máy chưa cài font này, Excel sẽ tự thay bằng font khác – cài Inter Tight (Google Fonts) để hiển thị đúng thiết kế.</t>
  </si>
  <si>
    <t>Tết Dương lịch (ví dụ – xóa/sửa theo thực tế)</t>
  </si>
  <si>
    <t>Kế hoạch</t>
  </si>
  <si>
    <t>Đã thực hiện</t>
  </si>
  <si>
    <t>Hạng mục (KH)</t>
  </si>
  <si>
    <t>Hạng mục (TT)</t>
  </si>
  <si>
    <t>Tuần hiện tại</t>
  </si>
  <si>
    <t>Chú giải: chữ XANH = ô nhập liệu  ·  chữ ĐEN = ô tự động tính</t>
  </si>
  <si>
    <t>CÔNG VIỆC &amp; KHỐI LƯỢNG</t>
  </si>
  <si>
    <t>TRÌNH TỰ &amp; THỜI GIAN</t>
  </si>
  <si>
    <t>THEO DÕI THỰC TẾ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</si>
  <si>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</si>
  <si>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</si>
  <si>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</si>
  <si>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</si>
  <si>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</si>
  <si>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</si>
  <si>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</si>
  <si>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</si>
  <si>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</si>
  <si>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</si>
  <si>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</si>
  <si>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</si>
  <si>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</si>
  <si>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</si>
  <si>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</si>
  <si>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</si>
  <si>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</si>
  <si>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</si>
  <si>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</si>
  <si>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</si>
  <si>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</si>
  <si>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</si>
  <si>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</si>
  <si>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</si>
  <si>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</si>
  <si>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</si>
  <si>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Mã CV</t>
  </si>
  <si>
    <t>Hạng mục / Công việc</t>
  </si>
  <si>
    <t>ĐVT</t>
  </si>
  <si>
    <t>Khối lượng</t>
  </si>
  <si>
    <t>Nhân công (người)</t>
  </si>
  <si>
    <t>Năng suất (ĐVT/ người/ngày)</t>
  </si>
  <si>
    <t>CV trước (mã)</t>
  </si>
  <si>
    <t>Độ trễ (ngày)</t>
  </si>
  <si>
    <t>Bắt đầu</t>
  </si>
  <si>
    <t>Kết thúc</t>
  </si>
  <si>
    <t>Đơn giá (VNĐ)</t>
  </si>
  <si>
    <t>Thành tiền (VNĐ)</t>
  </si>
  <si>
    <t>% hoàn thành TT</t>
  </si>
  <si>
    <t>% kế hoạch tới ngày BC</t>
  </si>
  <si>
    <t>Chênh lệch</t>
  </si>
  <si>
    <t>Ghi chú</t>
  </si>
  <si>
    <t>Tra cứu KT</t>
  </si>
  <si>
    <t>Mốc TT</t>
  </si>
  <si>
    <t>I</t>
  </si>
  <si>
    <t>A</t>
  </si>
  <si>
    <t>CHUẨN BỊ MẶT BẰNG &amp; TỔ CHỨC CÔNG TRƯỜNG</t>
  </si>
  <si>
    <t>A1</t>
  </si>
  <si>
    <t>Dọn dẹp, san gạt mặt bằng</t>
  </si>
  <si>
    <t>m2</t>
  </si>
  <si>
    <t>A2</t>
  </si>
  <si>
    <t>Định vị tim, cốt công trình</t>
  </si>
  <si>
    <t>gói</t>
  </si>
  <si>
    <t>A3</t>
  </si>
  <si>
    <t>Lán trại, kho bãi, điện nước thi công</t>
  </si>
  <si>
    <t>II</t>
  </si>
  <si>
    <t>B</t>
  </si>
  <si>
    <t>PHẦN MÓNG</t>
  </si>
  <si>
    <t>B1</t>
  </si>
  <si>
    <t>Đào đất hố móng (máy kết hợp thủ công)</t>
  </si>
  <si>
    <t>m3</t>
  </si>
  <si>
    <t>B2</t>
  </si>
  <si>
    <t>Bê tông lót móng đá 4x6 M100</t>
  </si>
  <si>
    <t>BẢNG TỔNG HỢP TIẾN ĐỘ THI CÔNG</t>
  </si>
  <si>
    <t>NGÀY KHỞI CÔNG</t>
  </si>
  <si>
    <t>HOÀN THÀNH DỰ KIẾN</t>
  </si>
  <si>
    <t>TỔNG THỜI GIAN (NGÀY LV)</t>
  </si>
  <si>
    <t>GIÁ TRỊ TRƯỚC THUẾ (VNĐ)</t>
  </si>
  <si>
    <t>NGÀY BÁO CÁO</t>
  </si>
  <si>
    <t>% HOÀN THÀNH THỰC TẾ</t>
  </si>
  <si>
    <t>% THEO KẾ HOẠCH</t>
  </si>
  <si>
    <t>CHÊNH LỆCH TIẾN ĐỘ</t>
  </si>
  <si>
    <t>CÔNG VIỆC CHẬM / QUÁ HẠN</t>
  </si>
  <si>
    <t>CÔNG VIỆC HOÀN THÀNH</t>
  </si>
  <si>
    <t>TIẾN ĐỘ THEO HẠNG MỤC</t>
  </si>
  <si>
    <t>Hạng mục</t>
  </si>
  <si>
    <t>Giá trị (VNĐ)</t>
  </si>
  <si>
    <t>% thực tế</t>
  </si>
  <si>
    <t>B3</t>
  </si>
  <si>
    <t>Gia công, lắp dựng cốt thép móng</t>
  </si>
  <si>
    <t>tấn</t>
  </si>
  <si>
    <t>B4</t>
  </si>
  <si>
    <t>Lắp dựng ván khuôn móng</t>
  </si>
  <si>
    <t>B5</t>
  </si>
  <si>
    <t>Đổ bê tông móng M250</t>
  </si>
  <si>
    <t>Nghiệm thu cốt thép trước khi đổ</t>
  </si>
  <si>
    <t>B6</t>
  </si>
  <si>
    <t>Tháo ván khuôn, bảo dưỡng bê tông</t>
  </si>
  <si>
    <t>TỔNG CỘNG</t>
  </si>
  <si>
    <t>TỔNG HỢP CHI PHÍ  |  TRẠNG THÁI CÔNG VIỆC</t>
  </si>
  <si>
    <t>Chi phí trực tiếp</t>
  </si>
  <si>
    <t>Hoàn thành</t>
  </si>
  <si>
    <t>Đúng tiến độ</t>
  </si>
  <si>
    <t>Cộng chi phí trước thuế</t>
  </si>
  <si>
    <t>Chậm tiến độ</t>
  </si>
  <si>
    <t>Quá hạn</t>
  </si>
  <si>
    <t>TỔNG GIÁ TRỊ DỰ KIẾN</t>
  </si>
  <si>
    <t>Chưa bắt đầu</t>
  </si>
  <si>
    <t>NHÂN LỰC &amp; CÔNG VIỆC ĐANG THI CÔNG THEO TUẦN</t>
  </si>
  <si>
    <t>Chờ bê tông đủ cường độ 2 ngày</t>
  </si>
  <si>
    <t>B7</t>
  </si>
  <si>
    <t>Lấp đất hố móng, đầm chặt</t>
  </si>
  <si>
    <t>III</t>
  </si>
  <si>
    <t>C</t>
  </si>
  <si>
    <t>PHẦN THÂN (TẦNG 1 – 3 &amp; MÁI)</t>
  </si>
  <si>
    <t>Tuần</t>
  </si>
  <si>
    <t>Từ ngày</t>
  </si>
  <si>
    <t>Đến ngày</t>
  </si>
  <si>
    <t>Nhân lực (người)</t>
  </si>
  <si>
    <t>Số CV đang chạy</t>
  </si>
  <si>
    <t>C1</t>
  </si>
  <si>
    <t>Cốt thép, ván khuôn cột – dầm – sàn tầng 1</t>
  </si>
  <si>
    <t>Lưu ý: nhân lực = tổng số nhân công của các công việc chạy song song trong tuần.</t>
  </si>
  <si>
    <t>C2</t>
  </si>
  <si>
    <t>Đổ bê tông cột – dầm – sàn tầng 1 M300</t>
  </si>
  <si>
    <t>C3</t>
  </si>
  <si>
    <t>Cốt thép, ván khuôn cột – dầm – sàn tầng 2</t>
  </si>
  <si>
    <t>Chờ 3 ngày bảo dưỡng sàn tầng 1</t>
  </si>
  <si>
    <t>C4</t>
  </si>
  <si>
    <t>Đổ bê tông cột – dầm – sàn tầng 2 M300</t>
  </si>
  <si>
    <t>C5</t>
  </si>
  <si>
    <t>Cốt thép, ván khuôn cột – dầm – sàn tầng 3</t>
  </si>
  <si>
    <t>C6</t>
  </si>
  <si>
    <t>Đổ bê tông cột – dầm – sàn tầng 3 M300</t>
  </si>
  <si>
    <t>C7</t>
  </si>
  <si>
    <t>Cốt thép, ván khuôn, bê tông mái &amp; sê nô</t>
  </si>
  <si>
    <t>C8</t>
  </si>
  <si>
    <t>Xây tường gạch tầng 1 – 3</t>
  </si>
  <si>
    <t>IV</t>
  </si>
  <si>
    <t>D</t>
  </si>
  <si>
    <t>HOÀN THIỆN THÔ</t>
  </si>
  <si>
    <t>D1</t>
  </si>
  <si>
    <t>Lắp đặt ống điện, nước âm tường</t>
  </si>
  <si>
    <t>md</t>
  </si>
  <si>
    <t>D2</t>
  </si>
  <si>
    <t>Tô trát tường trong và ngoài</t>
  </si>
  <si>
    <t>D3</t>
  </si>
  <si>
    <t>Chống thấm sàn mái, sàn WC</t>
  </si>
  <si>
    <t>Sau khi mái đủ cường độ</t>
  </si>
  <si>
    <t>D4</t>
  </si>
  <si>
    <t>Cán nền</t>
  </si>
  <si>
    <t>V</t>
  </si>
  <si>
    <t>E</t>
  </si>
  <si>
    <t>HOÀN THIỆN &amp; LẮP ĐẶT THIẾT BỊ</t>
  </si>
  <si>
    <t>E1</t>
  </si>
  <si>
    <t>Ốp lát gạch nền, tường WC</t>
  </si>
  <si>
    <t>E2</t>
  </si>
  <si>
    <t>Lắp cửa đi, cửa sổ khung nhôm kính</t>
  </si>
  <si>
    <t>E3</t>
  </si>
  <si>
    <t>Bả matit, sơn nước</t>
  </si>
  <si>
    <t>E4</t>
  </si>
  <si>
    <t>Lắp thiết bị điện, đèn, công tắc, ổ cắm</t>
  </si>
  <si>
    <t>điểm</t>
  </si>
  <si>
    <t>E5</t>
  </si>
  <si>
    <t>Lắp thiết bị vệ sinh</t>
  </si>
  <si>
    <t>bộ</t>
  </si>
  <si>
    <t>VI</t>
  </si>
  <si>
    <t>F</t>
  </si>
  <si>
    <t>VỆ SINH, NGHIỆM THU &amp; BÀN GIAO</t>
  </si>
  <si>
    <t>F1</t>
  </si>
  <si>
    <t>Vệ sinh công nghiệp</t>
  </si>
  <si>
    <t>F2</t>
  </si>
  <si>
    <t>Nghiệm thu, hoàn công, bàn giao</t>
  </si>
  <si>
    <t>TỔNG CỘNG TOÀN CÔNG TRÌNH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</si>
</sst>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dd/mm/yyyy"/>
    <numFmt numFmtId="165" formatCode="0.0%"/>
    <numFmt numFmtId="166" formatCode="dd/mm"/>
    <numFmt numFmtId="167" formatCode="\+0%;\-0%;0%"/>
    <numFmt numFmtId="168" formatCode="#,##0.0"/>
    <numFmt numFmtId="169" formatCode="\+0.0%;\-0.0%;0.0%"/>
  </numFmts>
  <fonts count="31">
    <font>
      <sz val="10.0"/>
      <color rgb="FF000000"/>
      <name val="Inter Tight"/>
      <scheme val="minor"/>
    </font>
    <font>
      <b/>
      <sz val="16.0"/>
      <color rgb="FFFFFFFF"/>
      <name val="Inter Tight"/>
    </font>
    <font/>
    <font>
      <i/>
      <sz val="9.0"/>
      <color rgb="FF6B7280"/>
      <name val="Inter Tight"/>
    </font>
    <font>
      <b/>
      <sz val="10.0"/>
      <color rgb="FFFFFFFF"/>
      <name val="Inter Tight"/>
    </font>
    <font>
      <b/>
      <sz val="10.0"/>
      <color rgb="FF374151"/>
      <name val="Inter Tight"/>
    </font>
    <font>
      <sz val="10.0"/>
      <color rgb="FF1D4ED8"/>
      <name val="Inter Tight"/>
    </font>
    <font>
      <sz val="10.0"/>
      <color rgb="FF000000"/>
      <name val="Inter Tight"/>
    </font>
    <font>
      <b/>
      <sz val="18.0"/>
      <color rgb="FFFFFFFF"/>
      <name val="Inter Tight"/>
    </font>
    <font>
      <sz val="11.0"/>
      <color theme="1"/>
      <name val="Calibri"/>
    </font>
    <font>
      <b/>
      <sz val="12.0"/>
      <color rgb="FF1F2937"/>
      <name val="Inter Tight"/>
    </font>
    <font>
      <b/>
      <sz val="9.0"/>
      <color rgb="FF6B7280"/>
      <name val="Inter Tight"/>
    </font>
    <font>
      <b/>
      <sz val="10.0"/>
      <color rgb="FF1F2937"/>
      <name val="Inter Tight"/>
    </font>
    <font>
      <sz val="9.0"/>
      <color rgb="FF6B7280"/>
      <name val="Inter Tight"/>
    </font>
    <font>
      <b/>
      <sz val="10.0"/>
      <color rgb="FFC2410C"/>
      <name val="Inter Tight"/>
    </font>
    <font>
      <sz val="10.0"/>
      <color rgb="FF1F2937"/>
      <name val="Inter Tight"/>
    </font>
    <font>
      <sz val="10.0"/>
      <color rgb="FF6B7280"/>
      <name val="Inter Tight"/>
    </font>
    <font>
      <sz val="9.0"/>
      <color rgb="FF374151"/>
      <name val="Inter Tight"/>
    </font>
    <font>
      <b/>
      <sz val="9.0"/>
      <color rgb="FFFFFFFF"/>
      <name val="Inter Tight"/>
    </font>
    <font>
      <sz val="9.0"/>
      <color rgb="FF1F2937"/>
      <name val="Inter Tight"/>
    </font>
    <font>
      <b/>
      <sz val="8.0"/>
      <color rgb="FFFFFFFF"/>
      <name val="Inter Tight"/>
    </font>
    <font>
      <sz val="8.0"/>
      <color rgb="FF1F2937"/>
      <name val="Inter Tight"/>
    </font>
    <font>
      <sz val="8.0"/>
      <color rgb="FF9CA3AF"/>
      <name val="Inter Tight"/>
    </font>
    <font>
      <b/>
      <sz val="10.0"/>
      <color rgb="FF1D4ED8"/>
      <name val="Inter Tight"/>
    </font>
    <font>
      <sz val="9.0"/>
      <color rgb="FF1D4ED8"/>
      <name val="Inter Tight"/>
    </font>
    <font>
      <b/>
      <sz val="20.0"/>
      <color rgb="FFFFFFFF"/>
      <name val="Inter Tight"/>
    </font>
    <font>
      <b/>
      <sz val="13.0"/>
      <color rgb="FF1F2937"/>
      <name val="Inter Tight"/>
    </font>
    <font>
      <b/>
      <sz val="16.0"/>
      <color rgb="FF1F2937"/>
      <name val="Inter Tight"/>
    </font>
    <font>
      <b/>
      <sz val="16.0"/>
      <color rgb="FFC2410C"/>
      <name val="Inter Tight"/>
    </font>
    <font>
      <b/>
      <sz val="9.0"/>
      <color rgb="FF374151"/>
      <name val="Inter Tight"/>
    </font>
    <font>
      <b/>
      <sz val="11.0"/>
      <color rgb="FFFFFFFF"/>
      <name val="Inter Tight"/>
    </font>
  </fonts>
  <fills count="13">
    <fill>
      <patternFill patternType="none"/>
    </fill>
    <fill>
      <patternFill patternType="lightGray"/>
    </fill>
    <fill>
      <patternFill patternType="solid">
        <fgColor rgb="FFF26B1D"/>
        <bgColor rgb="FFF26B1D"/>
      </patternFill>
    </fill>
    <fill>
      <patternFill patternType="solid">
        <fgColor rgb="FF374151"/>
        <bgColor rgb="FF374151"/>
      </patternFill>
    </fill>
    <fill>
      <patternFill patternType="solid">
        <fgColor rgb="FFF3F4F6"/>
        <bgColor rgb="FFF3F4F6"/>
      </patternFill>
    </fill>
    <fill>
      <patternFill patternType="solid">
        <fgColor rgb="FFFFF3E8"/>
        <bgColor rgb="FFFFF3E8"/>
      </patternFill>
    </fill>
    <fill>
      <patternFill patternType="solid">
        <fgColor rgb="FFFDBA74"/>
        <bgColor rgb="FFFDBA74"/>
      </patternFill>
    </fill>
    <fill>
      <patternFill patternType="solid">
        <fgColor rgb="FF9CA3AF"/>
        <bgColor rgb="FF9CA3AF"/>
      </patternFill>
    </fill>
    <fill>
      <patternFill patternType="solid">
        <fgColor rgb="FFE5E7EB"/>
        <bgColor rgb="FFE5E7EB"/>
      </patternFill>
    </fill>
    <fill>
      <patternFill patternType="solid">
        <fgColor rgb="FFC2410C"/>
        <bgColor rgb="FFC2410C"/>
      </patternFill>
    </fill>
    <fill>
      <patternFill patternType="solid">
        <fgColor rgb="FF1F2937"/>
        <bgColor rgb="FF1F2937"/>
      </patternFill>
    </fill>
    <fill>
      <patternFill patternType="solid">
        <fgColor rgb="FF6B7280"/>
        <bgColor rgb="FF6B7280"/>
      </patternFill>
    </fill>
    <fill>
      <patternFill patternType="solid">
        <fgColor rgb="FFFFFFFF"/>
        <bgColor rgb="FFFFFFFF"/>
      </patternFill>
    </fill>
  </fills>
  <borders count="17">
    <border/>
    <border>
      <left/>
      <top/>
      <bottom/>
    </border>
    <border>
      <top/>
      <bottom/>
    </border>
    <border>
      <right/>
      <top/>
      <bottom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</border>
    <border>
      <left/>
      <right/>
      <top/>
      <bottom/>
    </border>
    <border>
      <left style="thin">
        <color rgb="FFFFFFFF"/>
      </left>
      <top/>
      <bottom/>
    </border>
    <border>
      <left style="thin">
        <color rgb="FF6B7280"/>
      </left>
      <right style="thin">
        <color rgb="FF6B7280"/>
      </right>
      <top/>
      <bottom/>
    </border>
    <border>
      <left style="thin">
        <color rgb="FF374151"/>
      </left>
      <right style="thin">
        <color rgb="FF374151"/>
      </right>
      <top/>
      <bottom/>
    </border>
    <border>
      <left style="hair">
        <color rgb="FF9CA3AF"/>
      </left>
      <right style="hair">
        <color rgb="FF9CA3AF"/>
      </right>
      <top style="thin">
        <color rgb="FFE5E7EB"/>
      </top>
      <bottom style="thin">
        <color rgb="FFE5E7EB"/>
      </bottom>
    </border>
    <border>
      <left style="thin">
        <color rgb="FFE5E7EB"/>
      </left>
      <top style="medium">
        <color rgb="FFF26B1D"/>
      </top>
      <bottom/>
    </border>
    <border>
      <right style="thin">
        <color rgb="FFE5E7EB"/>
      </right>
      <top style="medium">
        <color rgb="FFF26B1D"/>
      </top>
      <bottom/>
    </border>
    <border>
      <left style="thin">
        <color rgb="FFE5E7EB"/>
      </left>
      <top/>
      <bottom style="thin">
        <color rgb="FFE5E7EB"/>
      </bottom>
    </border>
    <border>
      <right style="thin">
        <color rgb="FFE5E7EB"/>
      </right>
      <top/>
      <bottom style="thin">
        <color rgb="FFE5E7EB"/>
      </bottom>
    </border>
    <border>
      <left style="thin">
        <color rgb="FFE5E7EB"/>
      </left>
      <top style="thin">
        <color rgb="FFE5E7EB"/>
      </top>
      <bottom style="thin">
        <color rgb="FFE5E7EB"/>
      </bottom>
    </border>
    <border>
      <top style="thin">
        <color rgb="FFE5E7EB"/>
      </top>
      <bottom style="thin">
        <color rgb="FFE5E7EB"/>
      </bottom>
    </border>
    <border>
      <right style="thin">
        <color rgb="FFE5E7EB"/>
      </right>
      <top style="thin">
        <color rgb="FFE5E7EB"/>
      </top>
      <bottom style="thin">
        <color rgb="FFE5E7EB"/>
      </bottom>
    </border>
  </borders>
  <cellStyleXfs count="1">
    <xf borderId="0" fillId="0" fontId="0" numFmtId="0" applyAlignment="1" applyFont="1"/>
  </cellStyleXfs>
  <cellXfs count="10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bottom" wrapText="0"/>
    </xf>
    <xf borderId="1" fillId="3" fontId="4" numFmtId="0" xfId="0" applyAlignment="1" applyBorder="1" applyFill="1" applyFont="1">
      <alignment horizontal="left" shrinkToFit="0" vertical="center" wrapText="0"/>
    </xf>
    <xf borderId="4" fillId="4" fontId="5" numFmtId="0" xfId="0" applyAlignment="1" applyBorder="1" applyFill="1" applyFont="1">
      <alignment horizontal="left" shrinkToFit="0" vertical="center" wrapText="1"/>
    </xf>
    <xf borderId="4" fillId="5" fontId="6" numFmtId="0" xfId="0" applyAlignment="1" applyBorder="1" applyFill="1" applyFont="1">
      <alignment horizontal="left" shrinkToFit="0" vertical="center" wrapText="1"/>
    </xf>
    <xf borderId="0" fillId="0" fontId="3" numFmtId="0" xfId="0" applyAlignment="1" applyFont="1">
      <alignment horizontal="left" shrinkToFit="0" vertical="center" wrapText="1"/>
    </xf>
    <xf borderId="4" fillId="5" fontId="6" numFmtId="164" xfId="0" applyAlignment="1" applyBorder="1" applyFill="1" applyFont="1" applyNumberFormat="1">
      <alignment horizontal="left" shrinkToFit="0" vertical="center" wrapText="0"/>
    </xf>
    <xf borderId="4" fillId="0" fontId="7" numFmtId="49" xfId="0" applyAlignment="1" applyBorder="1" applyFont="1" applyNumberFormat="1">
      <alignment horizontal="left" shrinkToFit="0" vertical="center" wrapText="1"/>
    </xf>
    <xf borderId="4" fillId="0" fontId="7" numFmtId="164" xfId="0" applyAlignment="1" applyBorder="1" applyFont="1" applyNumberFormat="1">
      <alignment horizontal="left" shrinkToFit="0" vertical="center" wrapText="0"/>
    </xf>
    <xf borderId="4" fillId="5" fontId="6" numFmtId="165" xfId="0" applyAlignment="1" applyBorder="1" applyFill="1" applyFont="1" applyNumberFormat="1">
      <alignment horizontal="left" shrinkToFit="0" vertical="center" wrapText="0"/>
    </xf>
    <xf borderId="1" fillId="2" fontId="8" numFmtId="0" xfId="0" applyAlignment="1" applyBorder="1" applyFill="1" applyFont="1">
      <alignment horizontal="left" shrinkToFit="0" vertical="center" wrapText="0"/>
    </xf>
    <xf borderId="5" fillId="2" fontId="9" numFmtId="0" xfId="0" applyAlignment="1" applyBorder="1" applyFill="1" applyFont="1">
      <alignment shrinkToFit="0" vertical="bottom" wrapText="0"/>
    </xf>
    <xf borderId="0" fillId="0" fontId="10" numFmtId="0" xfId="0" applyAlignment="1" applyFont="1">
      <alignment shrinkToFit="0" vertical="bottom" wrapText="0"/>
    </xf>
    <xf borderId="0" fillId="0" fontId="11" numFmtId="0" xfId="0" applyAlignment="1" applyFont="1">
      <alignment horizontal="right" shrinkToFit="0" vertical="center" wrapText="0"/>
    </xf>
    <xf borderId="4" fillId="4" fontId="12" numFmtId="164" xfId="0" applyAlignment="1" applyBorder="1" applyFill="1" applyFont="1" applyNumberFormat="1">
      <alignment horizontal="center" shrinkToFit="0" vertical="center" wrapText="1"/>
    </xf>
    <xf borderId="0" fillId="0" fontId="13" numFmtId="0" xfId="0" applyAlignment="1" applyFont="1">
      <alignment shrinkToFit="0" vertical="bottom" wrapText="0"/>
    </xf>
    <xf borderId="4" fillId="5" fontId="14" numFmtId="164" xfId="0" applyAlignment="1" applyBorder="1" applyFill="1" applyFont="1" applyNumberFormat="1">
      <alignment horizontal="center" shrinkToFit="0" vertical="center" wrapText="1"/>
    </xf>
    <xf borderId="4" fillId="5" fontId="14" numFmtId="0" xfId="0" applyAlignment="1" applyBorder="1" applyFill="1" applyFont="1">
      <alignment horizontal="left" shrinkToFit="0" vertical="center" wrapText="1"/>
    </xf>
    <xf borderId="4" fillId="0" fontId="15" numFmtId="0" xfId="0" applyAlignment="1" applyBorder="1" applyFont="1">
      <alignment horizontal="left" shrinkToFit="0" vertical="center" wrapText="1"/>
    </xf>
    <xf borderId="4" fillId="3" fontId="4" numFmtId="0" xfId="0" applyAlignment="1" applyBorder="1" applyFill="1" applyFont="1">
      <alignment horizontal="center" shrinkToFit="0" vertical="center" wrapText="1"/>
    </xf>
    <xf borderId="4" fillId="0" fontId="16" numFmtId="0" xfId="0" applyAlignment="1" applyBorder="1" applyFont="1">
      <alignment horizontal="center" shrinkToFit="0" vertical="center" wrapText="1"/>
    </xf>
    <xf borderId="4" fillId="5" fontId="6" numFmtId="164" xfId="0" applyAlignment="1" applyBorder="1" applyFill="1" applyFont="1" applyNumberFormat="1">
      <alignment horizontal="center" shrinkToFit="0" vertical="center" wrapText="1"/>
    </xf>
    <xf borderId="4" fillId="4" fontId="12" numFmtId="1" xfId="0" applyAlignment="1" applyBorder="1" applyFill="1" applyFont="1" applyNumberFormat="1">
      <alignment horizontal="center" shrinkToFit="0" vertical="center" wrapText="1"/>
    </xf>
    <xf borderId="4" fillId="6" fontId="9" numFmtId="0" xfId="0" applyAlignment="1" applyBorder="1" applyFill="1" applyFont="1">
      <alignment shrinkToFit="0" vertical="bottom" wrapText="0"/>
    </xf>
    <xf borderId="0" fillId="0" fontId="17" numFmtId="0" xfId="0" applyAlignment="1" applyFont="1">
      <alignment shrinkToFit="0" vertical="bottom" wrapText="0"/>
    </xf>
    <xf borderId="4" fillId="2" fontId="9" numFmtId="0" xfId="0" applyAlignment="1" applyBorder="1" applyFill="1" applyFont="1">
      <alignment shrinkToFit="0" vertical="bottom" wrapText="0"/>
    </xf>
    <xf borderId="4" fillId="7" fontId="9" numFmtId="0" xfId="0" applyAlignment="1" applyBorder="1" applyFill="1" applyFont="1">
      <alignment shrinkToFit="0" vertical="bottom" wrapText="0"/>
    </xf>
    <xf borderId="4" fillId="3" fontId="9" numFmtId="0" xfId="0" applyAlignment="1" applyBorder="1" applyFill="1" applyFont="1">
      <alignment shrinkToFit="0" vertical="bottom" wrapText="0"/>
    </xf>
    <xf borderId="4" fillId="8" fontId="9" numFmtId="0" xfId="0" applyAlignment="1" applyBorder="1" applyFill="1" applyFont="1">
      <alignment shrinkToFit="0" vertical="bottom" wrapText="0"/>
    </xf>
    <xf borderId="6" fillId="9" fontId="18" numFmtId="0" xfId="0" applyAlignment="1" applyBorder="1" applyFill="1" applyFont="1">
      <alignment horizontal="center" shrinkToFit="0" vertical="center" wrapText="1"/>
    </xf>
    <xf borderId="5" fillId="9" fontId="19" numFmtId="0" xfId="0" applyAlignment="1" applyBorder="1" applyFill="1" applyFont="1">
      <alignment shrinkToFit="0" vertical="bottom" wrapText="0"/>
    </xf>
    <xf borderId="5" fillId="10" fontId="20" numFmtId="0" xfId="0" applyAlignment="1" applyBorder="1" applyFill="1" applyFont="1">
      <alignment horizontal="center" shrinkToFit="0" vertical="center" wrapText="1"/>
    </xf>
    <xf borderId="7" fillId="3" fontId="18" numFmtId="0" xfId="0" applyAlignment="1" applyBorder="1" applyFill="1" applyFont="1">
      <alignment horizontal="center" shrinkToFit="0" vertical="center" wrapText="1"/>
    </xf>
    <xf borderId="0" fillId="0" fontId="21" numFmtId="0" xfId="0" applyAlignment="1" applyFont="1">
      <alignment shrinkToFit="0" vertical="bottom" wrapText="0"/>
    </xf>
    <xf borderId="8" fillId="11" fontId="20" numFmtId="166" xfId="0" applyAlignment="1" applyBorder="1" applyFill="1" applyFont="1" applyNumberFormat="1">
      <alignment horizontal="center" shrinkToFit="0" textRotation="90" vertical="center" wrapText="0"/>
    </xf>
    <xf borderId="4" fillId="5" fontId="14" numFmtId="0" xfId="0" applyAlignment="1" applyBorder="1" applyFill="1" applyFont="1">
      <alignment horizontal="center" shrinkToFit="0" vertical="center" wrapText="1"/>
    </xf>
    <xf borderId="4" fillId="5" fontId="14" numFmtId="0" xfId="0" applyAlignment="1" applyBorder="1" applyFill="1" applyFont="1">
      <alignment shrinkToFit="0" vertical="bottom" wrapText="0"/>
    </xf>
    <xf borderId="4" fillId="5" fontId="14" numFmtId="1" xfId="0" applyAlignment="1" applyBorder="1" applyFill="1" applyFont="1" applyNumberFormat="1">
      <alignment horizontal="center" shrinkToFit="0" vertical="center" wrapText="1"/>
    </xf>
    <xf borderId="4" fillId="5" fontId="14" numFmtId="3" xfId="0" applyAlignment="1" applyBorder="1" applyFill="1" applyFont="1" applyNumberFormat="1">
      <alignment horizontal="right" shrinkToFit="0" vertical="center" wrapText="0"/>
    </xf>
    <xf borderId="4" fillId="5" fontId="14" numFmtId="9" xfId="0" applyAlignment="1" applyBorder="1" applyFill="1" applyFont="1" applyNumberFormat="1">
      <alignment horizontal="center" shrinkToFit="0" vertical="center" wrapText="1"/>
    </xf>
    <xf borderId="4" fillId="5" fontId="14" numFmtId="167" xfId="0" applyAlignment="1" applyBorder="1" applyFill="1" applyFont="1" applyNumberFormat="1">
      <alignment horizontal="center" shrinkToFit="0" vertical="center" wrapText="1"/>
    </xf>
    <xf borderId="0" fillId="0" fontId="22" numFmtId="164" xfId="0" applyAlignment="1" applyFont="1" applyNumberFormat="1">
      <alignment shrinkToFit="0" vertical="bottom" wrapText="0"/>
    </xf>
    <xf borderId="9" fillId="0" fontId="9" numFmtId="0" xfId="0" applyAlignment="1" applyBorder="1" applyFont="1">
      <alignment shrinkToFit="0" vertical="bottom" wrapText="0"/>
    </xf>
    <xf borderId="4" fillId="0" fontId="5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left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4" fillId="0" fontId="6" numFmtId="168" xfId="0" applyAlignment="1" applyBorder="1" applyFont="1" applyNumberFormat="1">
      <alignment horizontal="right" shrinkToFit="0" vertical="center" wrapText="0"/>
    </xf>
    <xf borderId="4" fillId="0" fontId="6" numFmtId="1" xfId="0" applyAlignment="1" applyBorder="1" applyFont="1" applyNumberFormat="1">
      <alignment horizontal="center" shrinkToFit="0" vertical="center" wrapText="1"/>
    </xf>
    <xf borderId="4" fillId="0" fontId="6" numFmtId="4" xfId="0" applyAlignment="1" applyBorder="1" applyFont="1" applyNumberFormat="1">
      <alignment horizontal="right" shrinkToFit="0" vertical="center" wrapText="0"/>
    </xf>
    <xf borderId="4" fillId="0" fontId="12" numFmtId="1" xfId="0" applyAlignment="1" applyBorder="1" applyFont="1" applyNumberFormat="1">
      <alignment horizontal="center" shrinkToFit="0" vertical="center" wrapText="1"/>
    </xf>
    <xf borderId="4" fillId="0" fontId="15" numFmtId="164" xfId="0" applyAlignment="1" applyBorder="1" applyFont="1" applyNumberFormat="1">
      <alignment horizontal="center" shrinkToFit="0" vertical="center" wrapText="1"/>
    </xf>
    <xf borderId="4" fillId="0" fontId="6" numFmtId="3" xfId="0" applyAlignment="1" applyBorder="1" applyFont="1" applyNumberFormat="1">
      <alignment horizontal="right" shrinkToFit="0" vertical="center" wrapText="0"/>
    </xf>
    <xf borderId="4" fillId="0" fontId="15" numFmtId="3" xfId="0" applyAlignment="1" applyBorder="1" applyFont="1" applyNumberFormat="1">
      <alignment horizontal="right" shrinkToFit="0" vertical="center" wrapText="0"/>
    </xf>
    <xf borderId="4" fillId="5" fontId="23" numFmtId="9" xfId="0" applyAlignment="1" applyBorder="1" applyFill="1" applyFont="1" applyNumberFormat="1">
      <alignment horizontal="center" shrinkToFit="0" vertical="center" wrapText="1"/>
    </xf>
    <xf borderId="4" fillId="0" fontId="15" numFmtId="9" xfId="0" applyAlignment="1" applyBorder="1" applyFont="1" applyNumberFormat="1">
      <alignment horizontal="center" shrinkToFit="0" vertical="center" wrapText="1"/>
    </xf>
    <xf borderId="4" fillId="0" fontId="7" numFmtId="167" xfId="0" applyAlignment="1" applyBorder="1" applyFont="1" applyNumberFormat="1">
      <alignment horizontal="center"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4" fillId="0" fontId="24" numFmtId="0" xfId="0" applyAlignment="1" applyBorder="1" applyFont="1">
      <alignment horizontal="left" shrinkToFit="0" vertical="center" wrapText="1"/>
    </xf>
    <xf borderId="1" fillId="2" fontId="25" numFmtId="0" xfId="0" applyAlignment="1" applyBorder="1" applyFill="1" applyFont="1">
      <alignment horizontal="center" shrinkToFit="0" vertical="center" wrapText="0"/>
    </xf>
    <xf borderId="0" fillId="0" fontId="26" numFmtId="0" xfId="0" applyAlignment="1" applyFont="1">
      <alignment horizontal="left" shrinkToFit="0" vertical="center" wrapText="0"/>
    </xf>
    <xf borderId="0" fillId="0" fontId="13" numFmtId="0" xfId="0" applyAlignment="1" applyFont="1">
      <alignment horizontal="left" shrinkToFit="0" vertical="center" wrapText="0"/>
    </xf>
    <xf borderId="10" fillId="4" fontId="11" numFmtId="0" xfId="0" applyAlignment="1" applyBorder="1" applyFill="1" applyFont="1">
      <alignment horizontal="center" shrinkToFit="0" vertical="center" wrapText="1"/>
    </xf>
    <xf borderId="11" fillId="0" fontId="2" numFmtId="0" xfId="0" applyBorder="1" applyFont="1"/>
    <xf borderId="12" fillId="12" fontId="27" numFmtId="164" xfId="0" applyAlignment="1" applyBorder="1" applyFill="1" applyFont="1" applyNumberFormat="1">
      <alignment horizontal="center" shrinkToFit="0" vertical="center" wrapText="1"/>
    </xf>
    <xf borderId="13" fillId="0" fontId="2" numFmtId="0" xfId="0" applyBorder="1" applyFont="1"/>
    <xf borderId="12" fillId="12" fontId="27" numFmtId="1" xfId="0" applyAlignment="1" applyBorder="1" applyFill="1" applyFont="1" applyNumberFormat="1">
      <alignment horizontal="center" shrinkToFit="0" vertical="center" wrapText="1"/>
    </xf>
    <xf borderId="12" fillId="12" fontId="27" numFmtId="3" xfId="0" applyAlignment="1" applyBorder="1" applyFill="1" applyFont="1" applyNumberFormat="1">
      <alignment horizontal="center" shrinkToFit="0" vertical="center" wrapText="1"/>
    </xf>
    <xf borderId="12" fillId="12" fontId="28" numFmtId="164" xfId="0" applyAlignment="1" applyBorder="1" applyFill="1" applyFont="1" applyNumberFormat="1">
      <alignment horizontal="center" shrinkToFit="0" vertical="center" wrapText="1"/>
    </xf>
    <xf borderId="12" fillId="12" fontId="28" numFmtId="165" xfId="0" applyAlignment="1" applyBorder="1" applyFill="1" applyFont="1" applyNumberFormat="1">
      <alignment horizontal="center" shrinkToFit="0" vertical="center" wrapText="1"/>
    </xf>
    <xf borderId="12" fillId="12" fontId="27" numFmtId="165" xfId="0" applyAlignment="1" applyBorder="1" applyFill="1" applyFont="1" applyNumberFormat="1">
      <alignment horizontal="center" shrinkToFit="0" vertical="center" wrapText="1"/>
    </xf>
    <xf borderId="12" fillId="12" fontId="27" numFmtId="169" xfId="0" applyAlignment="1" applyBorder="1" applyFill="1" applyFont="1" applyNumberFormat="1">
      <alignment horizontal="center" shrinkToFit="0" vertical="center" wrapText="1"/>
    </xf>
    <xf borderId="12" fillId="12" fontId="28" numFmtId="1" xfId="0" applyAlignment="1" applyBorder="1" applyFill="1" applyFont="1" applyNumberFormat="1">
      <alignment horizontal="center" shrinkToFit="0" vertical="center" wrapText="1"/>
    </xf>
    <xf borderId="12" fillId="12" fontId="27" numFmtId="49" xfId="0" applyAlignment="1" applyBorder="1" applyFill="1" applyFont="1" applyNumberFormat="1">
      <alignment horizontal="center" shrinkToFit="0" vertical="center" wrapText="1"/>
    </xf>
    <xf borderId="14" fillId="6" fontId="29" numFmtId="0" xfId="0" applyAlignment="1" applyBorder="1" applyFill="1" applyFont="1">
      <alignment horizontal="center" shrinkToFit="0" vertical="center" wrapText="1"/>
    </xf>
    <xf borderId="15" fillId="0" fontId="2" numFmtId="0" xfId="0" applyBorder="1" applyFont="1"/>
    <xf borderId="16" fillId="0" fontId="2" numFmtId="0" xfId="0" applyBorder="1" applyFont="1"/>
    <xf borderId="4" fillId="6" fontId="29" numFmtId="0" xfId="0" applyAlignment="1" applyBorder="1" applyFill="1" applyFont="1">
      <alignment horizontal="center" shrinkToFit="0" vertical="center" wrapText="1"/>
    </xf>
    <xf borderId="14" fillId="0" fontId="12" numFmtId="0" xfId="0" applyAlignment="1" applyBorder="1" applyFont="1">
      <alignment horizontal="left" shrinkToFit="0" vertical="center" wrapText="1"/>
    </xf>
    <xf borderId="4" fillId="0" fontId="15" numFmtId="1" xfId="0" applyAlignment="1" applyBorder="1" applyFont="1" applyNumberFormat="1">
      <alignment horizontal="center" shrinkToFit="0" vertical="center" wrapText="1"/>
    </xf>
    <xf borderId="4" fillId="0" fontId="14" numFmtId="9" xfId="0" applyAlignment="1" applyBorder="1" applyFont="1" applyNumberFormat="1">
      <alignment horizontal="center" shrinkToFit="0" vertical="center" wrapText="1"/>
    </xf>
    <xf borderId="4" fillId="0" fontId="15" numFmtId="167" xfId="0" applyAlignment="1" applyBorder="1" applyFont="1" applyNumberFormat="1">
      <alignment horizontal="center" shrinkToFit="0" vertical="center" wrapText="1"/>
    </xf>
    <xf borderId="14" fillId="3" fontId="4" numFmtId="0" xfId="0" applyAlignment="1" applyBorder="1" applyFill="1" applyFont="1">
      <alignment horizontal="left" shrinkToFit="0" vertical="center" wrapText="1"/>
    </xf>
    <xf borderId="4" fillId="3" fontId="4" numFmtId="164" xfId="0" applyAlignment="1" applyBorder="1" applyFill="1" applyFont="1" applyNumberFormat="1">
      <alignment horizontal="center" shrinkToFit="0" vertical="center" wrapText="1"/>
    </xf>
    <xf borderId="4" fillId="3" fontId="4" numFmtId="1" xfId="0" applyAlignment="1" applyBorder="1" applyFill="1" applyFont="1" applyNumberFormat="1">
      <alignment horizontal="center" shrinkToFit="0" vertical="center" wrapText="1"/>
    </xf>
    <xf borderId="4" fillId="3" fontId="4" numFmtId="3" xfId="0" applyAlignment="1" applyBorder="1" applyFill="1" applyFont="1" applyNumberFormat="1">
      <alignment horizontal="right" shrinkToFit="0" vertical="center" wrapText="0"/>
    </xf>
    <xf borderId="4" fillId="3" fontId="4" numFmtId="9" xfId="0" applyAlignment="1" applyBorder="1" applyFill="1" applyFont="1" applyNumberFormat="1">
      <alignment horizontal="center" shrinkToFit="0" vertical="center" wrapText="1"/>
    </xf>
    <xf borderId="4" fillId="3" fontId="4" numFmtId="167" xfId="0" applyAlignment="1" applyBorder="1" applyFill="1" applyFont="1" applyNumberFormat="1">
      <alignment horizontal="center" shrinkToFit="0" vertical="center" wrapText="1"/>
    </xf>
    <xf borderId="14" fillId="4" fontId="5" numFmtId="0" xfId="0" applyAlignment="1" applyBorder="1" applyFill="1" applyFont="1">
      <alignment horizontal="left" shrinkToFit="0" vertical="center" wrapText="1"/>
    </xf>
    <xf borderId="14" fillId="0" fontId="12" numFmtId="3" xfId="0" applyAlignment="1" applyBorder="1" applyFont="1" applyNumberFormat="1">
      <alignment horizontal="right" shrinkToFit="0" vertical="center" wrapText="0"/>
    </xf>
    <xf borderId="0" fillId="0" fontId="15" numFmtId="0" xfId="0" applyAlignment="1" applyFont="1">
      <alignment shrinkToFit="0" vertical="bottom" wrapText="0"/>
    </xf>
    <xf borderId="4" fillId="0" fontId="14" numFmtId="1" xfId="0" applyAlignment="1" applyBorder="1" applyFont="1" applyNumberFormat="1">
      <alignment horizontal="center" shrinkToFit="0" vertical="center" wrapText="1"/>
    </xf>
    <xf borderId="14" fillId="2" fontId="4" numFmtId="0" xfId="0" applyAlignment="1" applyBorder="1" applyFill="1" applyFont="1">
      <alignment horizontal="left" shrinkToFit="0" vertical="center" wrapText="1"/>
    </xf>
    <xf borderId="14" fillId="2" fontId="4" numFmtId="3" xfId="0" applyAlignment="1" applyBorder="1" applyFill="1" applyFont="1" applyNumberFormat="1">
      <alignment horizontal="right" shrinkToFit="0" vertical="center" wrapText="0"/>
    </xf>
    <xf borderId="4" fillId="0" fontId="16" numFmtId="1" xfId="0" applyAlignment="1" applyBorder="1" applyFont="1" applyNumberFormat="1">
      <alignment horizontal="center" shrinkToFit="0" vertical="center" wrapText="1"/>
    </xf>
    <xf borderId="14" fillId="3" fontId="30" numFmtId="0" xfId="0" applyAlignment="1" applyBorder="1" applyFill="1" applyFont="1">
      <alignment horizontal="left" shrinkToFit="0" vertical="center" wrapText="1"/>
    </xf>
    <xf borderId="4" fillId="3" fontId="4" numFmtId="0" xfId="0" applyAlignment="1" applyBorder="1" applyFill="1" applyFont="1">
      <alignment shrinkToFit="0" vertical="bottom" wrapText="0"/>
    </xf>
    <xf borderId="5" fillId="3" fontId="9" numFmtId="0" xfId="0" applyAlignment="1" applyBorder="1" applyFill="1" applyFont="1">
      <alignment shrinkToFit="0" vertical="bottom" wrapText="0"/>
    </xf>
  </cellXfs>
  <cellStyles count="1">
    <cellStyle xfId="0" name="Normal" builtinId="0"/>
  </cellStyles>
  <dxfs count="13">
    <dxf>
      <font>
        <b/>
        <sz val="16.0"/>
        <color rgb="FFC2410C"/>
        <name val="Inter Tight"/>
      </font>
      <fill>
        <patternFill patternType="none"/>
      </fill>
      <border/>
    </dxf>
    <dxf>
      <font>
        <b/>
        <color rgb="FFC2410C"/>
        <name val="Inter Tight"/>
      </font>
      <fill>
        <patternFill patternType="none"/>
      </fill>
      <border/>
    </dxf>
    <dxf>
      <font/>
      <fill>
        <patternFill patternType="solid">
          <fgColor rgb="FF374151"/>
          <bgColor rgb="FF374151"/>
        </patternFill>
      </fill>
      <border/>
    </dxf>
    <dxf>
      <font/>
      <fill>
        <patternFill patternType="solid">
          <fgColor rgb="FF9CA3AF"/>
          <bgColor rgb="FF9CA3AF"/>
        </patternFill>
      </fill>
      <border/>
    </dxf>
    <dxf>
      <font/>
      <fill>
        <patternFill patternType="solid">
          <fgColor rgb="FFF26B1D"/>
          <bgColor rgb="FFF26B1D"/>
        </patternFill>
      </fill>
      <border/>
    </dxf>
    <dxf>
      <font/>
      <fill>
        <patternFill patternType="solid">
          <fgColor rgb="FFFDBA74"/>
          <bgColor rgb="FFFDBA74"/>
        </patternFill>
      </fill>
      <border/>
    </dxf>
    <dxf>
      <font/>
      <fill>
        <patternFill patternType="solid">
          <fgColor rgb="FFE5E7EB"/>
          <bgColor rgb="FFE5E7EB"/>
        </patternFill>
      </fill>
      <border/>
    </dxf>
    <dxf>
      <font>
        <b/>
        <color rgb="FFFFFFFF"/>
        <name val="Inter Tight"/>
      </font>
      <fill>
        <patternFill patternType="solid">
          <fgColor rgb="FFF26B1D"/>
          <bgColor rgb="FFF26B1D"/>
        </patternFill>
      </fill>
      <border/>
    </dxf>
    <dxf>
      <font>
        <b/>
        <color rgb="FF374151"/>
        <name val="Inter Tight"/>
      </font>
      <fill>
        <patternFill patternType="solid">
          <fgColor rgb="FFE5E7EB"/>
          <bgColor rgb="FFE5E7EB"/>
        </patternFill>
      </fill>
      <border/>
    </dxf>
    <dxf>
      <font>
        <b/>
        <color rgb="FFC2410C"/>
        <name val="Inter Tight"/>
      </font>
      <fill>
        <patternFill patternType="solid">
          <fgColor rgb="FFFFD9BF"/>
          <bgColor rgb="FFFFD9BF"/>
        </patternFill>
      </fill>
      <border/>
    </dxf>
    <dxf>
      <font>
        <color rgb="FFC2410C"/>
        <name val="Inter Tight"/>
      </font>
      <fill>
        <patternFill patternType="solid">
          <fgColor rgb="FFFFF3E8"/>
          <bgColor rgb="FFFFF3E8"/>
        </patternFill>
      </fill>
      <border/>
    </dxf>
    <dxf>
      <font>
        <color rgb="FF6B7280"/>
        <name val="Inter Tight"/>
      </font>
      <fill>
        <patternFill patternType="none"/>
      </fill>
      <border/>
    </dxf>
    <dxf>
      <font>
        <b/>
        <color rgb="FFFF0000"/>
        <name val="Inter Tight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Calibri"/>
              </a:defRPr>
            </a:pPr>
            <a:r>
              <a:rPr b="1" i="0" sz="1800">
                <a:solidFill>
                  <a:srgbClr val="000000"/>
                </a:solidFill>
                <a:latin typeface="Calibri"/>
              </a:rPr>
              <a:t>% kế hoạch so với % thực tế theo hạng mục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tx>
            <c:v>% kế hoạch</c:v>
          </c:tx>
          <c:spPr>
            <a:solidFill>
              <a:srgbClr val="9CA3AF"/>
            </a:solidFill>
            <a:ln cmpd="sng">
              <a:noFill/>
            </a:ln>
          </c:spPr>
          <c:invertIfNegative val="0"/>
          <c:cat>
            <c:strRef>
              <c:f>'Tổng hợp'!$B$13:$B$18</c:f>
            </c:strRef>
          </c:cat>
          <c:val>
            <c:numRef>
              <c:f>'Tổng hợp'!$I$13:$I$18</c:f>
              <c:numCache/>
            </c:numRef>
          </c:val>
        </c:ser>
        <c:ser>
          <c:idx val="1"/>
          <c:order val="1"/>
          <c:tx>
            <c:v>% thực tế</c:v>
          </c:tx>
          <c:spPr>
            <a:solidFill>
              <a:srgbClr val="F26B1D"/>
            </a:solidFill>
            <a:ln cmpd="sng">
              <a:noFill/>
            </a:ln>
          </c:spPr>
          <c:invertIfNegative val="0"/>
          <c:cat>
            <c:strRef>
              <c:f>'Tổng hợp'!$B$13:$B$18</c:f>
            </c:strRef>
          </c:cat>
          <c:val>
            <c:numRef>
              <c:f>'Tổng hợp'!$J$13:$J$18</c:f>
              <c:numCache/>
            </c:numRef>
          </c:val>
        </c:ser>
        <c:axId val="27814934"/>
        <c:axId val="1399853863"/>
      </c:barChart>
      <c:catAx>
        <c:axId val="27814934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399853863"/>
      </c:catAx>
      <c:valAx>
        <c:axId val="1399853863"/>
        <c:scaling>
          <c:orientation val="minMax"/>
          <c:max val="1.0"/>
          <c:min val="0.0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27814934"/>
        <c:crosses val="max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000000"/>
              </a:solidFill>
              <a:latin typeface="Calibri"/>
            </a:defRPr>
          </a:pPr>
        </a:p>
      </c:txPr>
    </c:legend>
    <c:plotVisOnly val="1"/>
  </c:chart>
  <c:spPr>
    <a:solidFill>
      <a:srgbClr val="FFFFFF"/>
    </a:solidFill>
  </c:spPr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Calibri"/>
              </a:defRPr>
            </a:pPr>
            <a:r>
              <a:rPr b="1" i="0" sz="1800">
                <a:solidFill>
                  <a:srgbClr val="000000"/>
                </a:solidFill>
                <a:latin typeface="Calibri"/>
              </a:rPr>
              <a:t>Biểu đồ nhân lực theo tuần (người)</a:t>
            </a:r>
          </a:p>
        </c:rich>
      </c:tx>
      <c:overlay val="0"/>
    </c:title>
    <c:plotArea>
      <c:layout/>
      <c:barChart>
        <c:barDir val="col"/>
        <c:varyColors val="0"/>
        <c:ser>
          <c:idx val="0"/>
          <c:order val="0"/>
          <c:tx>
            <c:v>Nhân lực (người)</c:v>
          </c:tx>
          <c:spPr>
            <a:solidFill>
              <a:srgbClr val="F26B1D"/>
            </a:solidFill>
            <a:ln cmpd="sng">
              <a:noFill/>
            </a:ln>
          </c:spPr>
          <c:invertIfNegative val="0"/>
          <c:cat>
            <c:strRef>
              <c:f>'Tổng hợp'!$B$31:$B$56</c:f>
            </c:strRef>
          </c:cat>
          <c:val>
            <c:numRef>
              <c:f>'Tổng hợp'!$E$31:$E$56</c:f>
              <c:numCache/>
            </c:numRef>
          </c:val>
        </c:ser>
        <c:axId val="1665575689"/>
        <c:axId val="1289830646"/>
      </c:barChart>
      <c:catAx>
        <c:axId val="166557568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289830646"/>
      </c:catAx>
      <c:valAx>
        <c:axId val="128983064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665575689"/>
      </c:valAx>
    </c:plotArea>
    <c:plotVisOnly val="1"/>
  </c:chart>
  <c:spPr>
    <a:solidFill>
      <a:srgbClr val="FFFFFF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0</xdr:colOff>
      <xdr:row>1</xdr:row>
      <xdr:rowOff>0</xdr:rowOff>
    </xdr:from>
    <xdr:ext cx="7543800" cy="3086100"/>
    <xdr:graphicFrame>
      <xdr:nvGraphicFramePr>
        <xdr:cNvPr id="1789321583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12</xdr:col>
      <xdr:colOff>0</xdr:colOff>
      <xdr:row>18</xdr:row>
      <xdr:rowOff>285750</xdr:rowOff>
    </xdr:from>
    <xdr:ext cx="7543800" cy="3105150"/>
    <xdr:graphicFrame>
      <xdr:nvGraphicFramePr>
        <xdr:cNvPr id="160465035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Inter Tight"/>
        <a:ea typeface="Inter Tight"/>
        <a:cs typeface="Inter Tight"/>
      </a:majorFont>
      <a:minorFont>
        <a:latin typeface="Inter Tight"/>
        <a:ea typeface="Inter Tight"/>
        <a:cs typeface="Inter Tight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26B1D"/>
    <pageSetUpPr fitToPage="1"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3.0"/>
    <col customWidth="1" min="2" max="11" width="15.0"/>
    <col customWidth="1" min="12" max="26" width="8.57"/>
  </cols>
  <sheetData>
    <row r="1" ht="45.75" customHeight="1">
      <c r="B1" s="61" t="s">
        <v>150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</row>
    <row r="2">
      <c r="B2" s="62" t="str">
        <f>'Cài đặt'!C4</f>
        <v>Nhà ở dân dụng 3 tầng – Biệt thự A</v>
      </c>
    </row>
    <row r="3">
      <c r="B3" s="63" t="str">
        <f>"Chủ đầu tư: "&amp;'Cài đặt'!C5&amp;"   |   Thi công: "&amp;'Cài đặt'!C7&amp;"   |   Chỉ huy trưởng: "&amp;'Cài đặt'!C8</f>
        <v>Chủ đầu tư: Công ty TNHH Đầu tư ABC   |   Thi công: Công ty CP Xây dựng XYZ   |   Chỉ huy trưởng: Nguyễn Văn A</v>
      </c>
    </row>
    <row r="5" ht="19.5" customHeight="1">
      <c r="B5" s="64" t="s">
        <v>151</v>
      </c>
      <c r="C5" s="65"/>
      <c r="D5" s="64" t="s">
        <v>152</v>
      </c>
      <c r="E5" s="65"/>
      <c r="F5" s="64" t="s">
        <v>153</v>
      </c>
      <c r="G5" s="65"/>
      <c r="H5" s="64" t="s">
        <v>154</v>
      </c>
      <c r="I5" s="65"/>
      <c r="J5" s="64" t="s">
        <v>155</v>
      </c>
      <c r="K5" s="65"/>
    </row>
    <row r="6" ht="33.75" customHeight="1">
      <c r="B6" s="66">
        <f>Start_Adj</f>
        <v>46300</v>
      </c>
      <c r="C6" s="67"/>
      <c r="D6" s="66">
        <f>'Kế hoạch'!L42</f>
        <v>46429</v>
      </c>
      <c r="E6" s="67"/>
      <c r="F6" s="68">
        <f>'Kế hoạch'!H42</f>
        <v>93</v>
      </c>
      <c r="G6" s="67"/>
      <c r="H6" s="69">
        <f>'Kế hoạch'!N42</f>
        <v>2574850000</v>
      </c>
      <c r="I6" s="67"/>
      <c r="J6" s="70">
        <f>Report_Date</f>
        <v>46322</v>
      </c>
      <c r="K6" s="67"/>
    </row>
    <row r="8" ht="19.5" customHeight="1">
      <c r="B8" s="64" t="s">
        <v>156</v>
      </c>
      <c r="C8" s="65"/>
      <c r="D8" s="64" t="s">
        <v>157</v>
      </c>
      <c r="E8" s="65"/>
      <c r="F8" s="64" t="s">
        <v>158</v>
      </c>
      <c r="G8" s="65"/>
      <c r="H8" s="64" t="s">
        <v>159</v>
      </c>
      <c r="I8" s="65"/>
      <c r="J8" s="64" t="s">
        <v>160</v>
      </c>
      <c r="K8" s="65"/>
    </row>
    <row r="9" ht="33.75" customHeight="1">
      <c r="B9" s="71">
        <f>'Kế hoạch'!O42</f>
        <v>0.1258908286</v>
      </c>
      <c r="C9" s="67"/>
      <c r="D9" s="72">
        <f>'Kế hoạch'!P42</f>
        <v>0.1258908286</v>
      </c>
      <c r="E9" s="67"/>
      <c r="F9" s="73">
        <f>'Kế hoạch'!Q42</f>
        <v>0</v>
      </c>
      <c r="G9" s="67"/>
      <c r="H9" s="74">
        <f>COUNTIFS('Kế hoạch'!A7:A41,"&gt;0",'Kế hoạch'!R7:R41,"Chậm tiến độ")+COUNTIFS('Kế hoạch'!A7:A41,"&gt;0",'Kế hoạch'!R7:R41,"Quá hạn")</f>
        <v>0</v>
      </c>
      <c r="I9" s="67"/>
      <c r="J9" s="75" t="str">
        <f>COUNTIFS('Kế hoạch'!A7:A41,"&gt;0",'Kế hoạch'!R7:R41,"Hoàn thành")&amp;" / "&amp;COUNTIF('Kế hoạch'!A7:A41,"&gt;0")</f>
        <v>8 / 29</v>
      </c>
      <c r="K9" s="67"/>
    </row>
    <row r="11" ht="21.75" customHeight="1">
      <c r="B11" s="5" t="s">
        <v>161</v>
      </c>
      <c r="C11" s="2"/>
      <c r="D11" s="2"/>
      <c r="E11" s="2"/>
      <c r="F11" s="2"/>
      <c r="G11" s="2"/>
      <c r="H11" s="2"/>
      <c r="I11" s="2"/>
      <c r="J11" s="2"/>
      <c r="K11" s="3"/>
    </row>
    <row r="12" ht="24.0" customHeight="1">
      <c r="B12" s="76" t="s">
        <v>162</v>
      </c>
      <c r="C12" s="77"/>
      <c r="D12" s="78"/>
      <c r="E12" s="79" t="s">
        <v>121</v>
      </c>
      <c r="F12" s="79" t="s">
        <v>122</v>
      </c>
      <c r="G12" s="79" t="s">
        <v>48</v>
      </c>
      <c r="H12" s="79" t="s">
        <v>163</v>
      </c>
      <c r="I12" s="79" t="s">
        <v>56</v>
      </c>
      <c r="J12" s="79" t="s">
        <v>164</v>
      </c>
      <c r="K12" s="79" t="s">
        <v>127</v>
      </c>
    </row>
    <row r="13" ht="21.75" customHeight="1">
      <c r="B13" s="80" t="str">
        <f>'Kế hoạch'!A7&amp;". "&amp;'Kế hoạch'!C7</f>
        <v>I. CHUẨN BỊ MẶT BẰNG &amp; TỔ CHỨC CÔNG TRƯỜNG</v>
      </c>
      <c r="C13" s="77"/>
      <c r="D13" s="78"/>
      <c r="E13" s="53">
        <f>'Kế hoạch'!K7</f>
        <v>46300</v>
      </c>
      <c r="F13" s="53">
        <f>'Kế hoạch'!L7</f>
        <v>46304</v>
      </c>
      <c r="G13" s="81">
        <f>'Kế hoạch'!H7</f>
        <v>5</v>
      </c>
      <c r="H13" s="55">
        <f>'Kế hoạch'!N7</f>
        <v>24750000</v>
      </c>
      <c r="I13" s="57">
        <f>'Kế hoạch'!P7</f>
        <v>1</v>
      </c>
      <c r="J13" s="82">
        <f>'Kế hoạch'!O7</f>
        <v>1</v>
      </c>
      <c r="K13" s="83">
        <f t="shared" ref="K13:K19" si="1">J13-I13</f>
        <v>0</v>
      </c>
    </row>
    <row r="14" ht="21.75" customHeight="1">
      <c r="B14" s="80" t="str">
        <f>'Kế hoạch'!A11&amp;". "&amp;'Kế hoạch'!C11</f>
        <v>II. PHẦN MÓNG</v>
      </c>
      <c r="C14" s="77"/>
      <c r="D14" s="78"/>
      <c r="E14" s="53">
        <f>'Kế hoạch'!K11</f>
        <v>46307</v>
      </c>
      <c r="F14" s="53">
        <f>'Kế hoạch'!L11</f>
        <v>46325</v>
      </c>
      <c r="G14" s="81">
        <f>'Kế hoạch'!H11</f>
        <v>15</v>
      </c>
      <c r="H14" s="55">
        <f>'Kế hoạch'!N11</f>
        <v>312000000</v>
      </c>
      <c r="I14" s="57">
        <f>'Kế hoạch'!P11</f>
        <v>0.9596153846</v>
      </c>
      <c r="J14" s="82">
        <f>'Kế hoạch'!O11</f>
        <v>0.9596153846</v>
      </c>
      <c r="K14" s="83">
        <f t="shared" si="1"/>
        <v>0</v>
      </c>
    </row>
    <row r="15" ht="21.75" customHeight="1">
      <c r="B15" s="80" t="str">
        <f>'Kế hoạch'!A19&amp;". "&amp;'Kế hoạch'!C19</f>
        <v>III. PHẦN THÂN (TẦNG 1 – 3 &amp; MÁI)</v>
      </c>
      <c r="C15" s="77"/>
      <c r="D15" s="78"/>
      <c r="E15" s="53">
        <f>'Kế hoạch'!K19</f>
        <v>46328</v>
      </c>
      <c r="F15" s="53">
        <f>'Kế hoạch'!L19</f>
        <v>46380</v>
      </c>
      <c r="G15" s="81">
        <f>'Kế hoạch'!H19</f>
        <v>39</v>
      </c>
      <c r="H15" s="55">
        <f>'Kế hoạch'!N19</f>
        <v>1341900000</v>
      </c>
      <c r="I15" s="57">
        <f>'Kế hoạch'!P19</f>
        <v>0</v>
      </c>
      <c r="J15" s="82">
        <f>'Kế hoạch'!O19</f>
        <v>0</v>
      </c>
      <c r="K15" s="83">
        <f t="shared" si="1"/>
        <v>0</v>
      </c>
    </row>
    <row r="16" ht="21.75" customHeight="1">
      <c r="B16" s="80" t="str">
        <f>'Kế hoạch'!A28&amp;". "&amp;'Kế hoạch'!C28</f>
        <v>IV. HOÀN THIỆN THÔ</v>
      </c>
      <c r="C16" s="77"/>
      <c r="D16" s="78"/>
      <c r="E16" s="53">
        <f>'Kế hoạch'!K28</f>
        <v>46372</v>
      </c>
      <c r="F16" s="53">
        <f>'Kế hoạch'!L28</f>
        <v>46394</v>
      </c>
      <c r="G16" s="81">
        <f>'Kế hoạch'!H28</f>
        <v>16</v>
      </c>
      <c r="H16" s="55">
        <f>'Kế hoạch'!N28</f>
        <v>250450000</v>
      </c>
      <c r="I16" s="57">
        <f>'Kế hoạch'!P28</f>
        <v>0</v>
      </c>
      <c r="J16" s="82">
        <f>'Kế hoạch'!O28</f>
        <v>0</v>
      </c>
      <c r="K16" s="83">
        <f t="shared" si="1"/>
        <v>0</v>
      </c>
    </row>
    <row r="17" ht="21.75" customHeight="1">
      <c r="B17" s="80" t="str">
        <f>'Kế hoạch'!A33&amp;". "&amp;'Kế hoạch'!C33</f>
        <v>V. HOÀN THIỆN &amp; LẮP ĐẶT THIẾT BỊ</v>
      </c>
      <c r="C17" s="77"/>
      <c r="D17" s="78"/>
      <c r="E17" s="53">
        <f>'Kế hoạch'!K33</f>
        <v>46392</v>
      </c>
      <c r="F17" s="53">
        <f>'Kế hoạch'!L33</f>
        <v>46423</v>
      </c>
      <c r="G17" s="81">
        <f>'Kế hoạch'!H33</f>
        <v>24</v>
      </c>
      <c r="H17" s="55">
        <f>'Kế hoạch'!N33</f>
        <v>615250000</v>
      </c>
      <c r="I17" s="57">
        <f>'Kế hoạch'!P33</f>
        <v>0</v>
      </c>
      <c r="J17" s="82">
        <f>'Kế hoạch'!O33</f>
        <v>0</v>
      </c>
      <c r="K17" s="83">
        <f t="shared" si="1"/>
        <v>0</v>
      </c>
    </row>
    <row r="18" ht="21.75" customHeight="1">
      <c r="B18" s="80" t="str">
        <f>'Kế hoạch'!A39&amp;". "&amp;'Kế hoạch'!C39</f>
        <v>VI. VỆ SINH, NGHIỆM THU &amp; BÀN GIAO</v>
      </c>
      <c r="C18" s="77"/>
      <c r="D18" s="78"/>
      <c r="E18" s="53">
        <f>'Kế hoạch'!K39</f>
        <v>46426</v>
      </c>
      <c r="F18" s="53">
        <f>'Kế hoạch'!L39</f>
        <v>46429</v>
      </c>
      <c r="G18" s="81">
        <f>'Kế hoạch'!H39</f>
        <v>4</v>
      </c>
      <c r="H18" s="55">
        <f>'Kế hoạch'!N39</f>
        <v>30500000</v>
      </c>
      <c r="I18" s="57">
        <f>'Kế hoạch'!P39</f>
        <v>0</v>
      </c>
      <c r="J18" s="82">
        <f>'Kế hoạch'!O39</f>
        <v>0</v>
      </c>
      <c r="K18" s="83">
        <f t="shared" si="1"/>
        <v>0</v>
      </c>
    </row>
    <row r="19" ht="24.0" customHeight="1">
      <c r="B19" s="84" t="s">
        <v>175</v>
      </c>
      <c r="C19" s="77"/>
      <c r="D19" s="78"/>
      <c r="E19" s="85">
        <f>'Kế hoạch'!K42</f>
        <v>46300</v>
      </c>
      <c r="F19" s="85">
        <f>'Kế hoạch'!L42</f>
        <v>46429</v>
      </c>
      <c r="G19" s="86">
        <f>'Kế hoạch'!H42</f>
        <v>93</v>
      </c>
      <c r="H19" s="87">
        <f>'Kế hoạch'!N42</f>
        <v>2574850000</v>
      </c>
      <c r="I19" s="88">
        <f>'Kế hoạch'!P42</f>
        <v>0.1258908286</v>
      </c>
      <c r="J19" s="88">
        <f>'Kế hoạch'!O42</f>
        <v>0.1258908286</v>
      </c>
      <c r="K19" s="89">
        <f t="shared" si="1"/>
        <v>0</v>
      </c>
    </row>
    <row r="21" ht="21.75" customHeight="1">
      <c r="B21" s="5" t="s">
        <v>176</v>
      </c>
      <c r="C21" s="2"/>
      <c r="D21" s="2"/>
      <c r="E21" s="2"/>
      <c r="F21" s="2"/>
      <c r="G21" s="2"/>
      <c r="H21" s="2"/>
      <c r="I21" s="2"/>
      <c r="J21" s="2"/>
      <c r="K21" s="3"/>
    </row>
    <row r="22" ht="21.75" customHeight="1">
      <c r="B22" s="90" t="s">
        <v>177</v>
      </c>
      <c r="C22" s="77"/>
      <c r="D22" s="78"/>
      <c r="E22" s="91">
        <f>'Kế hoạch'!N42</f>
        <v>2574850000</v>
      </c>
      <c r="F22" s="78"/>
      <c r="G22" s="92"/>
      <c r="H22" s="90" t="s">
        <v>178</v>
      </c>
      <c r="I22" s="77"/>
      <c r="J22" s="78"/>
      <c r="K22" s="52">
        <f>COUNTIFS('Kế hoạch'!A7:A41,"&gt;0",'Kế hoạch'!R7:R41,"Hoàn thành")</f>
        <v>8</v>
      </c>
    </row>
    <row r="23" ht="21.75" customHeight="1">
      <c r="B23" s="90" t="str">
        <f>"Dự phòng phí ("&amp;TEXT('Cài đặt'!C16,"0.0%")&amp;")"</f>
        <v>Dự phòng phí (5,0%)</v>
      </c>
      <c r="C23" s="77"/>
      <c r="D23" s="78"/>
      <c r="E23" s="91">
        <f>E22*'Cài đặt'!C16</f>
        <v>128742500</v>
      </c>
      <c r="F23" s="78"/>
      <c r="H23" s="90" t="s">
        <v>179</v>
      </c>
      <c r="I23" s="77"/>
      <c r="J23" s="78"/>
      <c r="K23" s="52">
        <f>COUNTIFS('Kế hoạch'!A7:A41,"&gt;0",'Kế hoạch'!R7:R41,"Đúng tiến độ")</f>
        <v>1</v>
      </c>
    </row>
    <row r="24" ht="21.75" customHeight="1">
      <c r="B24" s="90" t="s">
        <v>180</v>
      </c>
      <c r="C24" s="77"/>
      <c r="D24" s="78"/>
      <c r="E24" s="91">
        <f>E22+E23</f>
        <v>2703592500</v>
      </c>
      <c r="F24" s="78"/>
      <c r="H24" s="90" t="s">
        <v>181</v>
      </c>
      <c r="I24" s="77"/>
      <c r="J24" s="78"/>
      <c r="K24" s="93">
        <f>COUNTIFS('Kế hoạch'!A7:A41,"&gt;0",'Kế hoạch'!R7:R41,"Chậm tiến độ")</f>
        <v>0</v>
      </c>
    </row>
    <row r="25" ht="21.75" customHeight="1">
      <c r="B25" s="90" t="str">
        <f>"Thuế VAT ("&amp;TEXT('Cài đặt'!C17,"0.0%")&amp;")"</f>
        <v>Thuế VAT (10,0%)</v>
      </c>
      <c r="C25" s="77"/>
      <c r="D25" s="78"/>
      <c r="E25" s="91">
        <f>E24*'Cài đặt'!C17</f>
        <v>270359250</v>
      </c>
      <c r="F25" s="78"/>
      <c r="H25" s="90" t="s">
        <v>182</v>
      </c>
      <c r="I25" s="77"/>
      <c r="J25" s="78"/>
      <c r="K25" s="93">
        <f>COUNTIFS('Kế hoạch'!A7:A41,"&gt;0",'Kế hoạch'!R7:R41,"Quá hạn")</f>
        <v>0</v>
      </c>
    </row>
    <row r="26" ht="21.75" customHeight="1">
      <c r="B26" s="94" t="s">
        <v>183</v>
      </c>
      <c r="C26" s="77"/>
      <c r="D26" s="78"/>
      <c r="E26" s="95">
        <f>E24+E25</f>
        <v>2973951750</v>
      </c>
      <c r="F26" s="78"/>
      <c r="H26" s="90" t="s">
        <v>184</v>
      </c>
      <c r="I26" s="77"/>
      <c r="J26" s="78"/>
      <c r="K26" s="52">
        <f>COUNTIFS('Kế hoạch'!A7:A41,"&gt;0",'Kế hoạch'!R7:R41,"Chưa bắt đầu")</f>
        <v>20</v>
      </c>
    </row>
    <row r="27" ht="15.75" customHeight="1"/>
    <row r="28" ht="15.75" customHeight="1"/>
    <row r="29" ht="21.75" customHeight="1">
      <c r="B29" s="5" t="s">
        <v>185</v>
      </c>
      <c r="C29" s="2"/>
      <c r="D29" s="2"/>
      <c r="E29" s="2"/>
      <c r="F29" s="2"/>
      <c r="G29" s="2"/>
      <c r="H29" s="2"/>
      <c r="I29" s="2"/>
      <c r="J29" s="2"/>
      <c r="K29" s="3"/>
    </row>
    <row r="30" ht="25.5" customHeight="1">
      <c r="B30" s="79" t="s">
        <v>192</v>
      </c>
      <c r="C30" s="79" t="s">
        <v>193</v>
      </c>
      <c r="D30" s="79" t="s">
        <v>194</v>
      </c>
      <c r="E30" s="79" t="s">
        <v>195</v>
      </c>
      <c r="F30" s="79" t="s">
        <v>196</v>
      </c>
    </row>
    <row r="31" ht="15.75" customHeight="1">
      <c r="B31" s="96">
        <v>1.0</v>
      </c>
      <c r="C31" s="53">
        <f t="array" ref="C31">INDEX('Kế hoạch'!$V$6:$AU$6,B31)</f>
        <v>46300</v>
      </c>
      <c r="D31" s="53">
        <f t="shared" ref="D31:D56" si="2">C31+6</f>
        <v>46306</v>
      </c>
      <c r="E31" s="93">
        <f>SUMIFS('Kế hoạch'!$F$7:$F$41,'Kế hoạch'!$K$7:$K$41,"&lt;="&amp;D31,'Kế hoạch'!$L$7:$L$41,"&gt;="&amp;C31)</f>
        <v>12</v>
      </c>
      <c r="F31" s="81">
        <f>COUNTIFS('Kế hoạch'!$A$7:$A$41,"&gt;0",'Kế hoạch'!$K$7:$K$41,"&lt;="&amp;D31,'Kế hoạch'!$L$7:$L$41,"&gt;="&amp;C31)</f>
        <v>3</v>
      </c>
      <c r="G31" s="4" t="s">
        <v>199</v>
      </c>
    </row>
    <row r="32" ht="15.75" customHeight="1">
      <c r="B32" s="96">
        <v>2.0</v>
      </c>
      <c r="C32" s="53">
        <f t="array" ref="C32">INDEX('Kế hoạch'!$V$6:$AU$6,B32)</f>
        <v>46307</v>
      </c>
      <c r="D32" s="53">
        <f t="shared" si="2"/>
        <v>46313</v>
      </c>
      <c r="E32" s="93">
        <f>SUMIFS('Kế hoạch'!$F$7:$F$41,'Kế hoạch'!$K$7:$K$41,"&lt;="&amp;D32,'Kế hoạch'!$L$7:$L$41,"&gt;="&amp;C32)</f>
        <v>28</v>
      </c>
      <c r="F32" s="81">
        <f>COUNTIFS('Kế hoạch'!$A$7:$A$41,"&gt;0",'Kế hoạch'!$K$7:$K$41,"&lt;="&amp;D32,'Kế hoạch'!$L$7:$L$41,"&gt;="&amp;C32)</f>
        <v>4</v>
      </c>
    </row>
    <row r="33" ht="15.75" customHeight="1">
      <c r="B33" s="96">
        <v>3.0</v>
      </c>
      <c r="C33" s="53">
        <f t="array" ref="C33">INDEX('Kế hoạch'!$V$6:$AU$6,B33)</f>
        <v>46314</v>
      </c>
      <c r="D33" s="53">
        <f t="shared" si="2"/>
        <v>46320</v>
      </c>
      <c r="E33" s="93">
        <f>SUMIFS('Kế hoạch'!$F$7:$F$41,'Kế hoạch'!$K$7:$K$41,"&lt;="&amp;D33,'Kế hoạch'!$L$7:$L$41,"&gt;="&amp;C33)</f>
        <v>26</v>
      </c>
      <c r="F33" s="81">
        <f>COUNTIFS('Kế hoạch'!$A$7:$A$41,"&gt;0",'Kế hoạch'!$K$7:$K$41,"&lt;="&amp;D33,'Kế hoạch'!$L$7:$L$41,"&gt;="&amp;C33)</f>
        <v>3</v>
      </c>
    </row>
    <row r="34" ht="15.75" customHeight="1">
      <c r="B34" s="96">
        <v>4.0</v>
      </c>
      <c r="C34" s="53">
        <f t="array" ref="C34">INDEX('Kế hoạch'!$V$6:$AU$6,B34)</f>
        <v>46321</v>
      </c>
      <c r="D34" s="53">
        <f t="shared" si="2"/>
        <v>46327</v>
      </c>
      <c r="E34" s="93">
        <f>SUMIFS('Kế hoạch'!$F$7:$F$41,'Kế hoạch'!$K$7:$K$41,"&lt;="&amp;D34,'Kế hoạch'!$L$7:$L$41,"&gt;="&amp;C34)</f>
        <v>10</v>
      </c>
      <c r="F34" s="81">
        <f>COUNTIFS('Kế hoạch'!$A$7:$A$41,"&gt;0",'Kế hoạch'!$K$7:$K$41,"&lt;="&amp;D34,'Kế hoạch'!$L$7:$L$41,"&gt;="&amp;C34)</f>
        <v>2</v>
      </c>
    </row>
    <row r="35" ht="15.75" customHeight="1">
      <c r="B35" s="96">
        <v>5.0</v>
      </c>
      <c r="C35" s="53">
        <f t="array" ref="C35">INDEX('Kế hoạch'!$V$6:$AU$6,B35)</f>
        <v>46328</v>
      </c>
      <c r="D35" s="53">
        <f t="shared" si="2"/>
        <v>46334</v>
      </c>
      <c r="E35" s="93">
        <f>SUMIFS('Kế hoạch'!$F$7:$F$41,'Kế hoạch'!$K$7:$K$41,"&lt;="&amp;D35,'Kế hoạch'!$L$7:$L$41,"&gt;="&amp;C35)</f>
        <v>14</v>
      </c>
      <c r="F35" s="81">
        <f>COUNTIFS('Kế hoạch'!$A$7:$A$41,"&gt;0",'Kế hoạch'!$K$7:$K$41,"&lt;="&amp;D35,'Kế hoạch'!$L$7:$L$41,"&gt;="&amp;C35)</f>
        <v>1</v>
      </c>
    </row>
    <row r="36" ht="15.75" customHeight="1">
      <c r="B36" s="96">
        <v>6.0</v>
      </c>
      <c r="C36" s="53">
        <f t="array" ref="C36">INDEX('Kế hoạch'!$V$6:$AU$6,B36)</f>
        <v>46335</v>
      </c>
      <c r="D36" s="53">
        <f t="shared" si="2"/>
        <v>46341</v>
      </c>
      <c r="E36" s="93">
        <f>SUMIFS('Kế hoạch'!$F$7:$F$41,'Kế hoạch'!$K$7:$K$41,"&lt;="&amp;D36,'Kế hoạch'!$L$7:$L$41,"&gt;="&amp;C36)</f>
        <v>26</v>
      </c>
      <c r="F36" s="81">
        <f>COUNTIFS('Kế hoạch'!$A$7:$A$41,"&gt;0",'Kế hoạch'!$K$7:$K$41,"&lt;="&amp;D36,'Kế hoạch'!$L$7:$L$41,"&gt;="&amp;C36)</f>
        <v>2</v>
      </c>
    </row>
    <row r="37" ht="15.75" customHeight="1">
      <c r="B37" s="96">
        <v>7.0</v>
      </c>
      <c r="C37" s="53">
        <f t="array" ref="C37">INDEX('Kế hoạch'!$V$6:$AU$6,B37)</f>
        <v>46342</v>
      </c>
      <c r="D37" s="53">
        <f t="shared" si="2"/>
        <v>46348</v>
      </c>
      <c r="E37" s="93">
        <f>SUMIFS('Kế hoạch'!$F$7:$F$41,'Kế hoạch'!$K$7:$K$41,"&lt;="&amp;D37,'Kế hoạch'!$L$7:$L$41,"&gt;="&amp;C37)</f>
        <v>14</v>
      </c>
      <c r="F37" s="81">
        <f>COUNTIFS('Kế hoạch'!$A$7:$A$41,"&gt;0",'Kế hoạch'!$K$7:$K$41,"&lt;="&amp;D37,'Kế hoạch'!$L$7:$L$41,"&gt;="&amp;C37)</f>
        <v>1</v>
      </c>
    </row>
    <row r="38" ht="15.75" customHeight="1">
      <c r="B38" s="96">
        <v>8.0</v>
      </c>
      <c r="C38" s="53">
        <f t="array" ref="C38">INDEX('Kế hoạch'!$V$6:$AU$6,B38)</f>
        <v>46349</v>
      </c>
      <c r="D38" s="53">
        <f t="shared" si="2"/>
        <v>46355</v>
      </c>
      <c r="E38" s="93">
        <f>SUMIFS('Kế hoạch'!$F$7:$F$41,'Kế hoạch'!$K$7:$K$41,"&lt;="&amp;D38,'Kế hoạch'!$L$7:$L$41,"&gt;="&amp;C38)</f>
        <v>26</v>
      </c>
      <c r="F38" s="81">
        <f>COUNTIFS('Kế hoạch'!$A$7:$A$41,"&gt;0",'Kế hoạch'!$K$7:$K$41,"&lt;="&amp;D38,'Kế hoạch'!$L$7:$L$41,"&gt;="&amp;C38)</f>
        <v>2</v>
      </c>
    </row>
    <row r="39" ht="15.75" customHeight="1">
      <c r="B39" s="96">
        <v>9.0</v>
      </c>
      <c r="C39" s="53">
        <f t="array" ref="C39">INDEX('Kế hoạch'!$V$6:$AU$6,B39)</f>
        <v>46356</v>
      </c>
      <c r="D39" s="53">
        <f t="shared" si="2"/>
        <v>46362</v>
      </c>
      <c r="E39" s="93">
        <f>SUMIFS('Kế hoạch'!$F$7:$F$41,'Kế hoạch'!$K$7:$K$41,"&lt;="&amp;D39,'Kế hoạch'!$L$7:$L$41,"&gt;="&amp;C39)</f>
        <v>38</v>
      </c>
      <c r="F39" s="81">
        <f>COUNTIFS('Kế hoạch'!$A$7:$A$41,"&gt;0",'Kế hoạch'!$K$7:$K$41,"&lt;="&amp;D39,'Kế hoạch'!$L$7:$L$41,"&gt;="&amp;C39)</f>
        <v>3</v>
      </c>
    </row>
    <row r="40" ht="15.75" customHeight="1">
      <c r="B40" s="96">
        <v>10.0</v>
      </c>
      <c r="C40" s="53">
        <f t="array" ref="C40">INDEX('Kế hoạch'!$V$6:$AU$6,B40)</f>
        <v>46363</v>
      </c>
      <c r="D40" s="53">
        <f t="shared" si="2"/>
        <v>46369</v>
      </c>
      <c r="E40" s="93">
        <f>SUMIFS('Kế hoạch'!$F$7:$F$41,'Kế hoạch'!$K$7:$K$41,"&lt;="&amp;D40,'Kế hoạch'!$L$7:$L$41,"&gt;="&amp;C40)</f>
        <v>26</v>
      </c>
      <c r="F40" s="81">
        <f>COUNTIFS('Kế hoạch'!$A$7:$A$41,"&gt;0",'Kế hoạch'!$K$7:$K$41,"&lt;="&amp;D40,'Kế hoạch'!$L$7:$L$41,"&gt;="&amp;C40)</f>
        <v>2</v>
      </c>
    </row>
    <row r="41" ht="15.75" customHeight="1">
      <c r="B41" s="96">
        <v>11.0</v>
      </c>
      <c r="C41" s="53">
        <f t="array" ref="C41">INDEX('Kế hoạch'!$V$6:$AU$6,B41)</f>
        <v>46370</v>
      </c>
      <c r="D41" s="53">
        <f t="shared" si="2"/>
        <v>46376</v>
      </c>
      <c r="E41" s="93">
        <f>SUMIFS('Kế hoạch'!$F$7:$F$41,'Kế hoạch'!$K$7:$K$41,"&lt;="&amp;D41,'Kế hoạch'!$L$7:$L$41,"&gt;="&amp;C41)</f>
        <v>46</v>
      </c>
      <c r="F41" s="81">
        <f>COUNTIFS('Kế hoạch'!$A$7:$A$41,"&gt;0",'Kế hoạch'!$K$7:$K$41,"&lt;="&amp;D41,'Kế hoạch'!$L$7:$L$41,"&gt;="&amp;C41)</f>
        <v>4</v>
      </c>
    </row>
    <row r="42" ht="15.75" customHeight="1">
      <c r="B42" s="96">
        <v>12.0</v>
      </c>
      <c r="C42" s="53">
        <f t="array" ref="C42">INDEX('Kế hoạch'!$V$6:$AU$6,B42)</f>
        <v>46377</v>
      </c>
      <c r="D42" s="53">
        <f t="shared" si="2"/>
        <v>46383</v>
      </c>
      <c r="E42" s="93">
        <f>SUMIFS('Kế hoạch'!$F$7:$F$41,'Kế hoạch'!$K$7:$K$41,"&lt;="&amp;D42,'Kế hoạch'!$L$7:$L$41,"&gt;="&amp;C42)</f>
        <v>38</v>
      </c>
      <c r="F42" s="81">
        <f>COUNTIFS('Kế hoạch'!$A$7:$A$41,"&gt;0",'Kế hoạch'!$K$7:$K$41,"&lt;="&amp;D42,'Kế hoạch'!$L$7:$L$41,"&gt;="&amp;C42)</f>
        <v>3</v>
      </c>
    </row>
    <row r="43" ht="15.75" customHeight="1">
      <c r="B43" s="96">
        <v>13.0</v>
      </c>
      <c r="C43" s="53">
        <f t="array" ref="C43">INDEX('Kế hoạch'!$V$6:$AU$6,B43)</f>
        <v>46384</v>
      </c>
      <c r="D43" s="53">
        <f t="shared" si="2"/>
        <v>46390</v>
      </c>
      <c r="E43" s="93">
        <f>SUMIFS('Kế hoạch'!$F$7:$F$41,'Kế hoạch'!$K$7:$K$41,"&lt;="&amp;D43,'Kế hoạch'!$L$7:$L$41,"&gt;="&amp;C43)</f>
        <v>16</v>
      </c>
      <c r="F43" s="81">
        <f>COUNTIFS('Kế hoạch'!$A$7:$A$41,"&gt;0",'Kế hoạch'!$K$7:$K$41,"&lt;="&amp;D43,'Kế hoạch'!$L$7:$L$41,"&gt;="&amp;C43)</f>
        <v>1</v>
      </c>
    </row>
    <row r="44" ht="15.75" customHeight="1">
      <c r="B44" s="96">
        <v>14.0</v>
      </c>
      <c r="C44" s="53">
        <f t="array" ref="C44">INDEX('Kế hoạch'!$V$6:$AU$6,B44)</f>
        <v>46391</v>
      </c>
      <c r="D44" s="53">
        <f t="shared" si="2"/>
        <v>46397</v>
      </c>
      <c r="E44" s="93">
        <f>SUMIFS('Kế hoạch'!$F$7:$F$41,'Kế hoạch'!$K$7:$K$41,"&lt;="&amp;D44,'Kế hoạch'!$L$7:$L$41,"&gt;="&amp;C44)</f>
        <v>38</v>
      </c>
      <c r="F44" s="81">
        <f>COUNTIFS('Kế hoạch'!$A$7:$A$41,"&gt;0",'Kế hoạch'!$K$7:$K$41,"&lt;="&amp;D44,'Kế hoạch'!$L$7:$L$41,"&gt;="&amp;C44)</f>
        <v>4</v>
      </c>
    </row>
    <row r="45" ht="15.75" customHeight="1">
      <c r="B45" s="96">
        <v>15.0</v>
      </c>
      <c r="C45" s="53">
        <f t="array" ref="C45">INDEX('Kế hoạch'!$V$6:$AU$6,B45)</f>
        <v>46398</v>
      </c>
      <c r="D45" s="53">
        <f t="shared" si="2"/>
        <v>46404</v>
      </c>
      <c r="E45" s="93">
        <f>SUMIFS('Kế hoạch'!$F$7:$F$41,'Kế hoạch'!$K$7:$K$41,"&lt;="&amp;D45,'Kế hoạch'!$L$7:$L$41,"&gt;="&amp;C45)</f>
        <v>12</v>
      </c>
      <c r="F45" s="81">
        <f>COUNTIFS('Kế hoạch'!$A$7:$A$41,"&gt;0",'Kế hoạch'!$K$7:$K$41,"&lt;="&amp;D45,'Kế hoạch'!$L$7:$L$41,"&gt;="&amp;C45)</f>
        <v>1</v>
      </c>
    </row>
    <row r="46" ht="15.75" customHeight="1">
      <c r="B46" s="96">
        <v>16.0</v>
      </c>
      <c r="C46" s="53">
        <f t="array" ref="C46">INDEX('Kế hoạch'!$V$6:$AU$6,B46)</f>
        <v>46405</v>
      </c>
      <c r="D46" s="53">
        <f t="shared" si="2"/>
        <v>46411</v>
      </c>
      <c r="E46" s="93">
        <f>SUMIFS('Kế hoạch'!$F$7:$F$41,'Kế hoạch'!$K$7:$K$41,"&lt;="&amp;D46,'Kế hoạch'!$L$7:$L$41,"&gt;="&amp;C46)</f>
        <v>26</v>
      </c>
      <c r="F46" s="81">
        <f>COUNTIFS('Kế hoạch'!$A$7:$A$41,"&gt;0",'Kế hoạch'!$K$7:$K$41,"&lt;="&amp;D46,'Kế hoạch'!$L$7:$L$41,"&gt;="&amp;C46)</f>
        <v>2</v>
      </c>
    </row>
    <row r="47" ht="15.75" customHeight="1">
      <c r="B47" s="96">
        <v>17.0</v>
      </c>
      <c r="C47" s="53">
        <f t="array" ref="C47">INDEX('Kế hoạch'!$V$6:$AU$6,B47)</f>
        <v>46412</v>
      </c>
      <c r="D47" s="53">
        <f t="shared" si="2"/>
        <v>46418</v>
      </c>
      <c r="E47" s="93">
        <f>SUMIFS('Kế hoạch'!$F$7:$F$41,'Kế hoạch'!$K$7:$K$41,"&lt;="&amp;D47,'Kế hoạch'!$L$7:$L$41,"&gt;="&amp;C47)</f>
        <v>14</v>
      </c>
      <c r="F47" s="81">
        <f>COUNTIFS('Kế hoạch'!$A$7:$A$41,"&gt;0",'Kế hoạch'!$K$7:$K$41,"&lt;="&amp;D47,'Kế hoạch'!$L$7:$L$41,"&gt;="&amp;C47)</f>
        <v>1</v>
      </c>
    </row>
    <row r="48" ht="15.75" customHeight="1">
      <c r="B48" s="96">
        <v>18.0</v>
      </c>
      <c r="C48" s="53">
        <f t="array" ref="C48">INDEX('Kế hoạch'!$V$6:$AU$6,B48)</f>
        <v>46419</v>
      </c>
      <c r="D48" s="53">
        <f t="shared" si="2"/>
        <v>46425</v>
      </c>
      <c r="E48" s="93">
        <f>SUMIFS('Kế hoạch'!$F$7:$F$41,'Kế hoạch'!$K$7:$K$41,"&lt;="&amp;D48,'Kế hoạch'!$L$7:$L$41,"&gt;="&amp;C48)</f>
        <v>21</v>
      </c>
      <c r="F48" s="81">
        <f>COUNTIFS('Kế hoạch'!$A$7:$A$41,"&gt;0",'Kế hoạch'!$K$7:$K$41,"&lt;="&amp;D48,'Kế hoạch'!$L$7:$L$41,"&gt;="&amp;C48)</f>
        <v>3</v>
      </c>
    </row>
    <row r="49" ht="15.75" customHeight="1">
      <c r="B49" s="96">
        <v>19.0</v>
      </c>
      <c r="C49" s="53">
        <f t="array" ref="C49">INDEX('Kế hoạch'!$V$6:$AU$6,B49)</f>
        <v>46426</v>
      </c>
      <c r="D49" s="53">
        <f t="shared" si="2"/>
        <v>46432</v>
      </c>
      <c r="E49" s="93">
        <f>SUMIFS('Kế hoạch'!$F$7:$F$41,'Kế hoạch'!$K$7:$K$41,"&lt;="&amp;D49,'Kế hoạch'!$L$7:$L$41,"&gt;="&amp;C49)</f>
        <v>12</v>
      </c>
      <c r="F49" s="81">
        <f>COUNTIFS('Kế hoạch'!$A$7:$A$41,"&gt;0",'Kế hoạch'!$K$7:$K$41,"&lt;="&amp;D49,'Kế hoạch'!$L$7:$L$41,"&gt;="&amp;C49)</f>
        <v>2</v>
      </c>
    </row>
    <row r="50" ht="15.75" customHeight="1">
      <c r="B50" s="96">
        <v>20.0</v>
      </c>
      <c r="C50" s="53">
        <f t="array" ref="C50">INDEX('Kế hoạch'!$V$6:$AU$6,B50)</f>
        <v>46433</v>
      </c>
      <c r="D50" s="53">
        <f t="shared" si="2"/>
        <v>46439</v>
      </c>
      <c r="E50" s="93">
        <f>SUMIFS('Kế hoạch'!$F$7:$F$41,'Kế hoạch'!$K$7:$K$41,"&lt;="&amp;D50,'Kế hoạch'!$L$7:$L$41,"&gt;="&amp;C50)</f>
        <v>0</v>
      </c>
      <c r="F50" s="81">
        <f>COUNTIFS('Kế hoạch'!$A$7:$A$41,"&gt;0",'Kế hoạch'!$K$7:$K$41,"&lt;="&amp;D50,'Kế hoạch'!$L$7:$L$41,"&gt;="&amp;C50)</f>
        <v>0</v>
      </c>
    </row>
    <row r="51" ht="15.75" customHeight="1">
      <c r="B51" s="96">
        <v>21.0</v>
      </c>
      <c r="C51" s="53">
        <f t="array" ref="C51">INDEX('Kế hoạch'!$V$6:$AU$6,B51)</f>
        <v>46440</v>
      </c>
      <c r="D51" s="53">
        <f t="shared" si="2"/>
        <v>46446</v>
      </c>
      <c r="E51" s="93">
        <f>SUMIFS('Kế hoạch'!$F$7:$F$41,'Kế hoạch'!$K$7:$K$41,"&lt;="&amp;D51,'Kế hoạch'!$L$7:$L$41,"&gt;="&amp;C51)</f>
        <v>0</v>
      </c>
      <c r="F51" s="81">
        <f>COUNTIFS('Kế hoạch'!$A$7:$A$41,"&gt;0",'Kế hoạch'!$K$7:$K$41,"&lt;="&amp;D51,'Kế hoạch'!$L$7:$L$41,"&gt;="&amp;C51)</f>
        <v>0</v>
      </c>
    </row>
    <row r="52" ht="15.75" customHeight="1">
      <c r="B52" s="96">
        <v>22.0</v>
      </c>
      <c r="C52" s="53">
        <f t="array" ref="C52">INDEX('Kế hoạch'!$V$6:$AU$6,B52)</f>
        <v>46447</v>
      </c>
      <c r="D52" s="53">
        <f t="shared" si="2"/>
        <v>46453</v>
      </c>
      <c r="E52" s="93">
        <f>SUMIFS('Kế hoạch'!$F$7:$F$41,'Kế hoạch'!$K$7:$K$41,"&lt;="&amp;D52,'Kế hoạch'!$L$7:$L$41,"&gt;="&amp;C52)</f>
        <v>0</v>
      </c>
      <c r="F52" s="81">
        <f>COUNTIFS('Kế hoạch'!$A$7:$A$41,"&gt;0",'Kế hoạch'!$K$7:$K$41,"&lt;="&amp;D52,'Kế hoạch'!$L$7:$L$41,"&gt;="&amp;C52)</f>
        <v>0</v>
      </c>
    </row>
    <row r="53" ht="15.75" customHeight="1">
      <c r="B53" s="96">
        <v>23.0</v>
      </c>
      <c r="C53" s="53">
        <f t="array" ref="C53">INDEX('Kế hoạch'!$V$6:$AU$6,B53)</f>
        <v>46454</v>
      </c>
      <c r="D53" s="53">
        <f t="shared" si="2"/>
        <v>46460</v>
      </c>
      <c r="E53" s="93">
        <f>SUMIFS('Kế hoạch'!$F$7:$F$41,'Kế hoạch'!$K$7:$K$41,"&lt;="&amp;D53,'Kế hoạch'!$L$7:$L$41,"&gt;="&amp;C53)</f>
        <v>0</v>
      </c>
      <c r="F53" s="81">
        <f>COUNTIFS('Kế hoạch'!$A$7:$A$41,"&gt;0",'Kế hoạch'!$K$7:$K$41,"&lt;="&amp;D53,'Kế hoạch'!$L$7:$L$41,"&gt;="&amp;C53)</f>
        <v>0</v>
      </c>
    </row>
    <row r="54" ht="15.75" customHeight="1">
      <c r="B54" s="96">
        <v>24.0</v>
      </c>
      <c r="C54" s="53">
        <f t="array" ref="C54">INDEX('Kế hoạch'!$V$6:$AU$6,B54)</f>
        <v>46461</v>
      </c>
      <c r="D54" s="53">
        <f t="shared" si="2"/>
        <v>46467</v>
      </c>
      <c r="E54" s="93">
        <f>SUMIFS('Kế hoạch'!$F$7:$F$41,'Kế hoạch'!$K$7:$K$41,"&lt;="&amp;D54,'Kế hoạch'!$L$7:$L$41,"&gt;="&amp;C54)</f>
        <v>0</v>
      </c>
      <c r="F54" s="81">
        <f>COUNTIFS('Kế hoạch'!$A$7:$A$41,"&gt;0",'Kế hoạch'!$K$7:$K$41,"&lt;="&amp;D54,'Kế hoạch'!$L$7:$L$41,"&gt;="&amp;C54)</f>
        <v>0</v>
      </c>
    </row>
    <row r="55" ht="15.75" customHeight="1">
      <c r="B55" s="96">
        <v>25.0</v>
      </c>
      <c r="C55" s="53">
        <f t="array" ref="C55">INDEX('Kế hoạch'!$V$6:$AU$6,B55)</f>
        <v>46468</v>
      </c>
      <c r="D55" s="53">
        <f t="shared" si="2"/>
        <v>46474</v>
      </c>
      <c r="E55" s="93">
        <f>SUMIFS('Kế hoạch'!$F$7:$F$41,'Kế hoạch'!$K$7:$K$41,"&lt;="&amp;D55,'Kế hoạch'!$L$7:$L$41,"&gt;="&amp;C55)</f>
        <v>0</v>
      </c>
      <c r="F55" s="81">
        <f>COUNTIFS('Kế hoạch'!$A$7:$A$41,"&gt;0",'Kế hoạch'!$K$7:$K$41,"&lt;="&amp;D55,'Kế hoạch'!$L$7:$L$41,"&gt;="&amp;C55)</f>
        <v>0</v>
      </c>
    </row>
    <row r="56" ht="15.75" customHeight="1">
      <c r="B56" s="96">
        <v>26.0</v>
      </c>
      <c r="C56" s="53">
        <f t="array" ref="C56">INDEX('Kế hoạch'!$V$6:$AU$6,B56)</f>
        <v>46475</v>
      </c>
      <c r="D56" s="53">
        <f t="shared" si="2"/>
        <v>46481</v>
      </c>
      <c r="E56" s="93">
        <f>SUMIFS('Kế hoạch'!$F$7:$F$41,'Kế hoạch'!$K$7:$K$41,"&lt;="&amp;D56,'Kế hoạch'!$L$7:$L$41,"&gt;="&amp;C56)</f>
        <v>0</v>
      </c>
      <c r="F56" s="81">
        <f>COUNTIFS('Kế hoạch'!$A$7:$A$41,"&gt;0",'Kế hoạch'!$K$7:$K$41,"&lt;="&amp;D56,'Kế hoạch'!$L$7:$L$41,"&gt;="&amp;C56)</f>
        <v>0</v>
      </c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9">
    <mergeCell ref="B2:K2"/>
    <mergeCell ref="B3:K3"/>
    <mergeCell ref="D5:E5"/>
    <mergeCell ref="F5:G5"/>
    <mergeCell ref="H5:I5"/>
    <mergeCell ref="J5:K5"/>
    <mergeCell ref="B1:Z1"/>
    <mergeCell ref="H8:I8"/>
    <mergeCell ref="J8:K8"/>
    <mergeCell ref="H9:I9"/>
    <mergeCell ref="J9:K9"/>
    <mergeCell ref="B5:C5"/>
    <mergeCell ref="B6:C6"/>
    <mergeCell ref="D6:E6"/>
    <mergeCell ref="F6:G6"/>
    <mergeCell ref="H6:I6"/>
    <mergeCell ref="J6:K6"/>
    <mergeCell ref="B8:C8"/>
    <mergeCell ref="D8:E8"/>
    <mergeCell ref="F8:G8"/>
    <mergeCell ref="B9:C9"/>
    <mergeCell ref="D9:E9"/>
    <mergeCell ref="F9:G9"/>
    <mergeCell ref="B11:K11"/>
    <mergeCell ref="B12:D12"/>
    <mergeCell ref="H22:J22"/>
    <mergeCell ref="H23:J23"/>
    <mergeCell ref="H24:J24"/>
    <mergeCell ref="H25:J25"/>
    <mergeCell ref="H26:J26"/>
    <mergeCell ref="B13:D13"/>
    <mergeCell ref="B14:D14"/>
    <mergeCell ref="B15:D15"/>
    <mergeCell ref="B16:D16"/>
    <mergeCell ref="B17:D17"/>
    <mergeCell ref="B18:D18"/>
    <mergeCell ref="B21:K21"/>
    <mergeCell ref="B25:D25"/>
    <mergeCell ref="E25:F25"/>
    <mergeCell ref="B26:D26"/>
    <mergeCell ref="E26:F26"/>
    <mergeCell ref="B29:K29"/>
    <mergeCell ref="B19:D19"/>
    <mergeCell ref="B22:D22"/>
    <mergeCell ref="E22:F22"/>
    <mergeCell ref="B23:D23"/>
    <mergeCell ref="E23:F23"/>
    <mergeCell ref="B24:D24"/>
    <mergeCell ref="E24:F24"/>
  </mergeCells>
  <conditionalFormatting sqref="F9:G9">
    <cfRule type="expression" dxfId="0" priority="1">
      <formula>$F$9&lt;-0.005</formula>
    </cfRule>
  </conditionalFormatting>
  <conditionalFormatting sqref="K13:K18">
    <cfRule type="expression" dxfId="1" priority="2">
      <formula>K13&lt;-0.005</formula>
    </cfRule>
  </conditionalFormatting>
  <printOptions/>
  <pageMargins bottom="1.0" footer="0.0" header="0.0" left="0.75" right="0.75" top="1.0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B7280"/>
    <pageSetUpPr fitToPage="1"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36.0"/>
    <col customWidth="1" min="3" max="3" width="44.0"/>
    <col customWidth="1" min="4" max="4" width="52.0"/>
    <col customWidth="1" min="5" max="26" width="8.57"/>
  </cols>
  <sheetData>
    <row r="1" ht="37.5" customHeight="1">
      <c r="B1" s="1" t="s">
        <v>0</v>
      </c>
      <c r="C1" s="2"/>
      <c r="D1" s="3"/>
    </row>
    <row r="2">
      <c r="B2" s="4" t="s">
        <v>1</v>
      </c>
    </row>
    <row r="3" ht="21.75" customHeight="1">
      <c r="B3" s="5" t="s">
        <v>2</v>
      </c>
      <c r="C3" s="2"/>
      <c r="D3" s="3"/>
    </row>
    <row r="4" ht="21.75" customHeight="1">
      <c r="B4" s="6" t="s">
        <v>3</v>
      </c>
      <c r="C4" s="7" t="s">
        <v>4</v>
      </c>
      <c r="D4" s="8" t="s">
        <v>5</v>
      </c>
    </row>
    <row r="5" ht="21.75" customHeight="1">
      <c r="B5" s="6" t="s">
        <v>6</v>
      </c>
      <c r="C5" s="7" t="s">
        <v>7</v>
      </c>
      <c r="D5" s="8"/>
    </row>
    <row r="6" ht="21.75" customHeight="1">
      <c r="B6" s="6" t="s">
        <v>8</v>
      </c>
      <c r="C6" s="7" t="s">
        <v>9</v>
      </c>
      <c r="D6" s="8"/>
    </row>
    <row r="7" ht="21.75" customHeight="1">
      <c r="B7" s="6" t="s">
        <v>10</v>
      </c>
      <c r="C7" s="7" t="s">
        <v>11</v>
      </c>
      <c r="D7" s="8"/>
    </row>
    <row r="8" ht="21.75" customHeight="1">
      <c r="B8" s="6" t="s">
        <v>12</v>
      </c>
      <c r="C8" s="7" t="s">
        <v>13</v>
      </c>
      <c r="D8" s="8"/>
    </row>
    <row r="9" ht="21.75" customHeight="1">
      <c r="B9" s="5" t="s">
        <v>14</v>
      </c>
      <c r="C9" s="2"/>
      <c r="D9" s="3"/>
    </row>
    <row r="10" ht="21.75" customHeight="1">
      <c r="B10" s="6" t="s">
        <v>15</v>
      </c>
      <c r="C10" s="9">
        <v>46300.0</v>
      </c>
      <c r="D10" s="8" t="s">
        <v>16</v>
      </c>
    </row>
    <row r="11" ht="21.75" customHeight="1">
      <c r="B11" s="6" t="s">
        <v>17</v>
      </c>
      <c r="C11" s="7" t="s">
        <v>18</v>
      </c>
      <c r="D11" s="8" t="s">
        <v>19</v>
      </c>
    </row>
    <row r="12" ht="21.75" customHeight="1">
      <c r="B12" s="6" t="s">
        <v>20</v>
      </c>
      <c r="C12" s="10" t="str">
        <f>IF(C11="Chỉ Chủ nhật","0000001",IF(C11="Không nghỉ","0000000","0000011"))</f>
        <v>0000011</v>
      </c>
      <c r="D12" s="8" t="s">
        <v>21</v>
      </c>
    </row>
    <row r="13" ht="21.75" customHeight="1">
      <c r="B13" s="6" t="s">
        <v>22</v>
      </c>
      <c r="C13" s="11">
        <f>_xlfn.WORKDAY.INTL(C10-1,1,C12,Holidays)</f>
        <v>46300</v>
      </c>
      <c r="D13" s="8" t="s">
        <v>23</v>
      </c>
    </row>
    <row r="14" ht="21.75" customHeight="1">
      <c r="B14" s="6" t="s">
        <v>24</v>
      </c>
      <c r="C14" s="9">
        <f>TODAY()</f>
        <v>46322</v>
      </c>
      <c r="D14" s="8" t="s">
        <v>25</v>
      </c>
    </row>
    <row r="15" ht="21.75" customHeight="1">
      <c r="B15" s="5" t="s">
        <v>26</v>
      </c>
      <c r="C15" s="2"/>
      <c r="D15" s="3"/>
    </row>
    <row r="16" ht="21.75" customHeight="1">
      <c r="B16" s="6" t="s">
        <v>27</v>
      </c>
      <c r="C16" s="12">
        <v>0.05</v>
      </c>
      <c r="D16" s="8" t="s">
        <v>28</v>
      </c>
    </row>
    <row r="17" ht="21.75" customHeight="1">
      <c r="B17" s="6" t="s">
        <v>29</v>
      </c>
      <c r="C17" s="12">
        <v>0.1</v>
      </c>
      <c r="D17" s="8" t="s">
        <v>30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B3:D3"/>
    <mergeCell ref="B9:D9"/>
    <mergeCell ref="B15:D15"/>
  </mergeCells>
  <dataValidations>
    <dataValidation type="list" allowBlank="1" sqref="C11">
      <formula1>"Thứ 7 + Chủ nhật,Chỉ Chủ nhật,Không nghỉ"</formula1>
    </dataValidation>
  </dataValidations>
  <printOptions/>
  <pageMargins bottom="1.0" footer="0.0" header="0.0" left="0.75" right="0.75" top="1.0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26B1D"/>
    <pageSetUpPr fitToPage="1"/>
  </sheetPr>
  <sheetViews>
    <sheetView showGridLines="0" workbookViewId="0">
      <pane xSplit="3.0" ySplit="6.0" topLeftCell="D7" activePane="bottomRight" state="frozen"/>
      <selection activeCell="D1" sqref="D1" pane="topRight"/>
      <selection activeCell="A7" sqref="A7" pane="bottomLeft"/>
      <selection activeCell="D7" sqref="D7" pane="bottomRight"/>
    </sheetView>
  </sheetViews>
  <sheetFormatPr customHeight="1" defaultColWidth="14.43" defaultRowHeight="15.0"/>
  <cols>
    <col customWidth="1" min="1" max="1" width="5.0"/>
    <col customWidth="1" min="2" max="2" width="7.0"/>
    <col customWidth="1" min="3" max="3" width="44.0"/>
    <col customWidth="1" min="4" max="4" width="8.0"/>
    <col customWidth="1" min="5" max="5" width="10.0"/>
    <col customWidth="1" min="6" max="6" width="9.0"/>
    <col customWidth="1" min="7" max="7" width="12.0"/>
    <col customWidth="1" min="8" max="8" width="8.0"/>
    <col customWidth="1" min="9" max="9" width="9.0"/>
    <col customWidth="1" min="10" max="10" width="8.0"/>
    <col customWidth="1" min="11" max="12" width="11.43"/>
    <col customWidth="1" min="13" max="13" width="14.0"/>
    <col customWidth="1" min="14" max="14" width="17.0"/>
    <col customWidth="1" min="15" max="16" width="11.0"/>
    <col customWidth="1" min="17" max="17" width="10.0"/>
    <col customWidth="1" min="18" max="18" width="14.0"/>
    <col customWidth="1" min="19" max="19" width="24.0"/>
    <col customWidth="1" hidden="1" min="20" max="21" width="3.0"/>
    <col customWidth="1" min="22" max="47" width="4.29"/>
  </cols>
  <sheetData>
    <row r="1" ht="39.75" customHeight="1">
      <c r="A1" s="13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</row>
    <row r="2" ht="19.5" customHeight="1">
      <c r="C2" s="15" t="str">
        <f>'Cài đặt'!C4</f>
        <v>Nhà ở dân dụng 3 tầng – Biệt thự A</v>
      </c>
      <c r="K2" s="16" t="s">
        <v>32</v>
      </c>
      <c r="L2" s="17">
        <f>Start_Adj</f>
        <v>46300</v>
      </c>
      <c r="M2" s="16" t="s">
        <v>33</v>
      </c>
      <c r="N2" s="17">
        <f>L42</f>
        <v>46429</v>
      </c>
    </row>
    <row r="3">
      <c r="C3" s="18" t="str">
        <f>"Chủ đầu tư: "&amp;'Cài đặt'!C5&amp;"  |  Địa điểm: "&amp;'Cài đặt'!C6</f>
        <v>Chủ đầu tư: Công ty TNHH Đầu tư ABC  |  Địa điểm: Quận Cầu Giấy, Hà Nội</v>
      </c>
      <c r="K3" s="16" t="s">
        <v>34</v>
      </c>
      <c r="L3" s="19">
        <f>Report_Date</f>
        <v>46322</v>
      </c>
      <c r="M3" s="16" t="s">
        <v>35</v>
      </c>
      <c r="N3" s="25">
        <f>H42</f>
        <v>93</v>
      </c>
      <c r="V3" s="26"/>
      <c r="W3" s="27" t="s">
        <v>78</v>
      </c>
      <c r="AA3" s="28"/>
      <c r="AB3" s="27" t="s">
        <v>79</v>
      </c>
      <c r="AG3" s="29"/>
      <c r="AH3" s="27" t="s">
        <v>80</v>
      </c>
      <c r="AM3" s="30"/>
      <c r="AN3" s="27" t="s">
        <v>81</v>
      </c>
      <c r="AS3" s="31"/>
      <c r="AT3" s="27" t="s">
        <v>82</v>
      </c>
    </row>
    <row r="4">
      <c r="C4" s="4" t="s">
        <v>83</v>
      </c>
    </row>
    <row r="5" ht="19.5" customHeight="1">
      <c r="A5" s="32" t="s">
        <v>84</v>
      </c>
      <c r="B5" s="2"/>
      <c r="C5" s="2"/>
      <c r="D5" s="2"/>
      <c r="E5" s="2"/>
      <c r="F5" s="2"/>
      <c r="G5" s="2"/>
      <c r="H5" s="3"/>
      <c r="I5" s="32" t="s">
        <v>85</v>
      </c>
      <c r="J5" s="2"/>
      <c r="K5" s="2"/>
      <c r="L5" s="3"/>
      <c r="M5" s="32" t="s">
        <v>26</v>
      </c>
      <c r="N5" s="3"/>
      <c r="O5" s="32" t="s">
        <v>86</v>
      </c>
      <c r="P5" s="2"/>
      <c r="Q5" s="2"/>
      <c r="R5" s="3"/>
      <c r="S5" s="33"/>
      <c r="V5" s="34" t="s">
        <v>87</v>
      </c>
      <c r="W5" s="34" t="s">
        <v>88</v>
      </c>
      <c r="X5" s="34" t="s">
        <v>89</v>
      </c>
      <c r="Y5" s="34" t="s">
        <v>90</v>
      </c>
      <c r="Z5" s="34" t="s">
        <v>91</v>
      </c>
      <c r="AA5" s="34" t="s">
        <v>92</v>
      </c>
      <c r="AB5" s="34" t="s">
        <v>93</v>
      </c>
      <c r="AC5" s="34" t="s">
        <v>94</v>
      </c>
      <c r="AD5" s="34" t="s">
        <v>95</v>
      </c>
      <c r="AE5" s="34" t="s">
        <v>96</v>
      </c>
      <c r="AF5" s="34" t="s">
        <v>97</v>
      </c>
      <c r="AG5" s="34" t="s">
        <v>98</v>
      </c>
      <c r="AH5" s="34" t="s">
        <v>99</v>
      </c>
      <c r="AI5" s="34" t="s">
        <v>100</v>
      </c>
      <c r="AJ5" s="34" t="s">
        <v>101</v>
      </c>
      <c r="AK5" s="34" t="s">
        <v>102</v>
      </c>
      <c r="AL5" s="34" t="s">
        <v>103</v>
      </c>
      <c r="AM5" s="34" t="s">
        <v>104</v>
      </c>
      <c r="AN5" s="34" t="s">
        <v>105</v>
      </c>
      <c r="AO5" s="34" t="s">
        <v>106</v>
      </c>
      <c r="AP5" s="34" t="s">
        <v>107</v>
      </c>
      <c r="AQ5" s="34" t="s">
        <v>108</v>
      </c>
      <c r="AR5" s="34" t="s">
        <v>109</v>
      </c>
      <c r="AS5" s="34" t="s">
        <v>110</v>
      </c>
      <c r="AT5" s="34" t="s">
        <v>111</v>
      </c>
      <c r="AU5" s="34" t="s">
        <v>112</v>
      </c>
    </row>
    <row r="6" ht="51.75" customHeight="1">
      <c r="A6" s="35" t="s">
        <v>55</v>
      </c>
      <c r="B6" s="35" t="s">
        <v>113</v>
      </c>
      <c r="C6" s="35" t="s">
        <v>114</v>
      </c>
      <c r="D6" s="35" t="s">
        <v>115</v>
      </c>
      <c r="E6" s="35" t="s">
        <v>116</v>
      </c>
      <c r="F6" s="35" t="s">
        <v>117</v>
      </c>
      <c r="G6" s="35" t="s">
        <v>118</v>
      </c>
      <c r="H6" s="35" t="s">
        <v>48</v>
      </c>
      <c r="I6" s="35" t="s">
        <v>119</v>
      </c>
      <c r="J6" s="35" t="s">
        <v>120</v>
      </c>
      <c r="K6" s="35" t="s">
        <v>121</v>
      </c>
      <c r="L6" s="35" t="s">
        <v>122</v>
      </c>
      <c r="M6" s="35" t="s">
        <v>123</v>
      </c>
      <c r="N6" s="35" t="s">
        <v>124</v>
      </c>
      <c r="O6" s="35" t="s">
        <v>125</v>
      </c>
      <c r="P6" s="35" t="s">
        <v>126</v>
      </c>
      <c r="Q6" s="35" t="s">
        <v>127</v>
      </c>
      <c r="R6" s="35" t="s">
        <v>58</v>
      </c>
      <c r="S6" s="35" t="s">
        <v>128</v>
      </c>
      <c r="T6" s="36" t="s">
        <v>129</v>
      </c>
      <c r="U6" s="36" t="s">
        <v>130</v>
      </c>
      <c r="V6" s="37">
        <f>Start_Adj-WEEKDAY(Start_Adj,2)+1</f>
        <v>46300</v>
      </c>
      <c r="W6" s="37">
        <f t="shared" ref="W6:AU6" si="1">V6+7</f>
        <v>46307</v>
      </c>
      <c r="X6" s="37">
        <f t="shared" si="1"/>
        <v>46314</v>
      </c>
      <c r="Y6" s="37">
        <f t="shared" si="1"/>
        <v>46321</v>
      </c>
      <c r="Z6" s="37">
        <f t="shared" si="1"/>
        <v>46328</v>
      </c>
      <c r="AA6" s="37">
        <f t="shared" si="1"/>
        <v>46335</v>
      </c>
      <c r="AB6" s="37">
        <f t="shared" si="1"/>
        <v>46342</v>
      </c>
      <c r="AC6" s="37">
        <f t="shared" si="1"/>
        <v>46349</v>
      </c>
      <c r="AD6" s="37">
        <f t="shared" si="1"/>
        <v>46356</v>
      </c>
      <c r="AE6" s="37">
        <f t="shared" si="1"/>
        <v>46363</v>
      </c>
      <c r="AF6" s="37">
        <f t="shared" si="1"/>
        <v>46370</v>
      </c>
      <c r="AG6" s="37">
        <f t="shared" si="1"/>
        <v>46377</v>
      </c>
      <c r="AH6" s="37">
        <f t="shared" si="1"/>
        <v>46384</v>
      </c>
      <c r="AI6" s="37">
        <f t="shared" si="1"/>
        <v>46391</v>
      </c>
      <c r="AJ6" s="37">
        <f t="shared" si="1"/>
        <v>46398</v>
      </c>
      <c r="AK6" s="37">
        <f t="shared" si="1"/>
        <v>46405</v>
      </c>
      <c r="AL6" s="37">
        <f t="shared" si="1"/>
        <v>46412</v>
      </c>
      <c r="AM6" s="37">
        <f t="shared" si="1"/>
        <v>46419</v>
      </c>
      <c r="AN6" s="37">
        <f t="shared" si="1"/>
        <v>46426</v>
      </c>
      <c r="AO6" s="37">
        <f t="shared" si="1"/>
        <v>46433</v>
      </c>
      <c r="AP6" s="37">
        <f t="shared" si="1"/>
        <v>46440</v>
      </c>
      <c r="AQ6" s="37">
        <f t="shared" si="1"/>
        <v>46447</v>
      </c>
      <c r="AR6" s="37">
        <f t="shared" si="1"/>
        <v>46454</v>
      </c>
      <c r="AS6" s="37">
        <f t="shared" si="1"/>
        <v>46461</v>
      </c>
      <c r="AT6" s="37">
        <f t="shared" si="1"/>
        <v>46468</v>
      </c>
      <c r="AU6" s="37">
        <f t="shared" si="1"/>
        <v>46475</v>
      </c>
    </row>
    <row r="7" ht="21.75" customHeight="1">
      <c r="A7" s="38" t="s">
        <v>131</v>
      </c>
      <c r="B7" s="38" t="s">
        <v>132</v>
      </c>
      <c r="C7" s="20" t="s">
        <v>133</v>
      </c>
      <c r="D7" s="39"/>
      <c r="E7" s="39"/>
      <c r="F7" s="39"/>
      <c r="G7" s="39"/>
      <c r="H7" s="40">
        <f>_xlfn.NETWORKDAYS.INTL(K7,L7,Weekend_Pattern,Holidays)</f>
        <v>5</v>
      </c>
      <c r="I7" s="39"/>
      <c r="J7" s="39"/>
      <c r="K7" s="19">
        <f>MIN(K8:K10)</f>
        <v>46300</v>
      </c>
      <c r="L7" s="19">
        <f>MAX(L8:L10)</f>
        <v>46304</v>
      </c>
      <c r="M7" s="39"/>
      <c r="N7" s="41">
        <f>SUM(N8:N10)</f>
        <v>24750000</v>
      </c>
      <c r="O7" s="42">
        <f>IFERROR(SUMPRODUCT(N8:N10,O8:O10)/N7,0)</f>
        <v>1</v>
      </c>
      <c r="P7" s="42">
        <f>IFERROR(SUMPRODUCT(N8:N10,P8:P10)/N7,0)</f>
        <v>1</v>
      </c>
      <c r="Q7" s="43">
        <f t="shared" ref="Q7:Q41" si="2">IF(OR(NOT(ISNUMBER(P7)),NOT(ISNUMBER(N(O7)))),"",N(O7)-P7)</f>
        <v>0</v>
      </c>
      <c r="R7" s="38" t="str">
        <f>IF(NOT(ISNUMBER(K7)),"",IF(N(O7)&gt;=1,"Hoàn thành",IF(AND(Report_Date&lt;K7,N(O7)=0),"Chưa bắt đầu",IF(Report_Date&gt;L7,"Quá hạn",IF(N(O7)+0.005&lt;P7,"Chậm tiến độ","Đúng tiến độ")))))</f>
        <v>Hoàn thành</v>
      </c>
      <c r="S7" s="39"/>
      <c r="U7" s="44">
        <f t="shared" ref="U7:U41" si="3">IF(OR(NOT(ISNUMBER(K7)),N(O7)&lt;=0),"",K7+ROUND((L7-K7+1)*O7,0)-1)</f>
        <v>46304</v>
      </c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</row>
    <row r="8" ht="19.5" customHeight="1">
      <c r="A8" s="23">
        <v>1.0</v>
      </c>
      <c r="B8" s="46" t="s">
        <v>134</v>
      </c>
      <c r="C8" s="47" t="s">
        <v>135</v>
      </c>
      <c r="D8" s="48" t="s">
        <v>136</v>
      </c>
      <c r="E8" s="49">
        <v>250.0</v>
      </c>
      <c r="F8" s="50">
        <v>5.0</v>
      </c>
      <c r="G8" s="51">
        <v>25.0</v>
      </c>
      <c r="H8" s="52">
        <f t="shared" ref="H8:H10" si="4">IF(OR(E8="",F8="",G8=""),"",MAX(1,ROUNDUP(E8/(F8*G8),0)))</f>
        <v>2</v>
      </c>
      <c r="I8" s="48"/>
      <c r="J8" s="50">
        <v>0.0</v>
      </c>
      <c r="K8" s="53">
        <f t="array" ref="K8">IF(H8="","",IF(I8="",Start_Adj,IFERROR(_xlfn.WORKDAY.INTL(INDEX($T$6:T7,MATCH(I8,$B$6:B7,0)),1+N(J8),Weekend_Pattern,Holidays),"Sai mã CV")))</f>
        <v>46300</v>
      </c>
      <c r="L8" s="53">
        <f>IF(ISNUMBER(K8),_xlfn.WORKDAY.INTL(K8,H8-1,Weekend_Pattern,Holidays),"")</f>
        <v>46301</v>
      </c>
      <c r="M8" s="54">
        <v>15000.0</v>
      </c>
      <c r="N8" s="55">
        <f t="shared" ref="N8:N10" si="5">IF(OR(E8="",M8=""),"",E8*M8)</f>
        <v>3750000</v>
      </c>
      <c r="O8" s="56">
        <v>1.0</v>
      </c>
      <c r="P8" s="57">
        <f>IF(ISNUMBER(L8),IF(Report_Date&lt;K8,0,IF(Report_Date&gt;=L8,1,_xlfn.NETWORKDAYS.INTL(K8,Report_Date,Weekend_Pattern,Holidays)/H8)),"")</f>
        <v>1</v>
      </c>
      <c r="Q8" s="58">
        <f t="shared" si="2"/>
        <v>0</v>
      </c>
      <c r="R8" s="59" t="str">
        <f>IF(NOT(ISNUMBER(K8)),"",IF(N(O8)&gt;=1,"Hoàn thành",IF(AND(Report_Date&lt;K8,N(O8)=0),"Chưa bắt đầu",IF(Report_Date&gt;L8,"Quá hạn",IF(N(O8)+0.005&lt;P8,"Chậm tiến độ","Đúng tiến độ")))))</f>
        <v>Hoàn thành</v>
      </c>
      <c r="S8" s="60"/>
      <c r="T8" s="44">
        <f t="shared" ref="T8:T10" si="6">IF(ISNUMBER(L8),L8,"")</f>
        <v>46301</v>
      </c>
      <c r="U8" s="44">
        <f t="shared" si="3"/>
        <v>46301</v>
      </c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</row>
    <row r="9" ht="19.5" customHeight="1">
      <c r="A9" s="23">
        <v>2.0</v>
      </c>
      <c r="B9" s="46" t="s">
        <v>137</v>
      </c>
      <c r="C9" s="47" t="s">
        <v>138</v>
      </c>
      <c r="D9" s="48" t="s">
        <v>139</v>
      </c>
      <c r="E9" s="49">
        <v>1.0</v>
      </c>
      <c r="F9" s="50">
        <v>3.0</v>
      </c>
      <c r="G9" s="51">
        <v>0.5</v>
      </c>
      <c r="H9" s="52">
        <f t="shared" si="4"/>
        <v>1</v>
      </c>
      <c r="I9" s="48"/>
      <c r="J9" s="50">
        <v>0.0</v>
      </c>
      <c r="K9" s="53">
        <f t="array" ref="K9">IF(H9="","",IF(I9="",Start_Adj,IFERROR(_xlfn.WORKDAY.INTL(INDEX($T$6:T8,MATCH(I9,$B$6:B8,0)),1+N(J9),Weekend_Pattern,Holidays),"Sai mã CV")))</f>
        <v>46300</v>
      </c>
      <c r="L9" s="53">
        <f>IF(ISNUMBER(K9),_xlfn.WORKDAY.INTL(K9,H9-1,Weekend_Pattern,Holidays),"")</f>
        <v>46300</v>
      </c>
      <c r="M9" s="54">
        <v>3000000.0</v>
      </c>
      <c r="N9" s="55">
        <f t="shared" si="5"/>
        <v>3000000</v>
      </c>
      <c r="O9" s="56">
        <v>1.0</v>
      </c>
      <c r="P9" s="57">
        <f>IF(ISNUMBER(L9),IF(Report_Date&lt;K9,0,IF(Report_Date&gt;=L9,1,_xlfn.NETWORKDAYS.INTL(K9,Report_Date,Weekend_Pattern,Holidays)/H9)),"")</f>
        <v>1</v>
      </c>
      <c r="Q9" s="58">
        <f t="shared" si="2"/>
        <v>0</v>
      </c>
      <c r="R9" s="59" t="str">
        <f>IF(NOT(ISNUMBER(K9)),"",IF(N(O9)&gt;=1,"Hoàn thành",IF(AND(Report_Date&lt;K9,N(O9)=0),"Chưa bắt đầu",IF(Report_Date&gt;L9,"Quá hạn",IF(N(O9)+0.005&lt;P9,"Chậm tiến độ","Đúng tiến độ")))))</f>
        <v>Hoàn thành</v>
      </c>
      <c r="S9" s="60"/>
      <c r="T9" s="44">
        <f t="shared" si="6"/>
        <v>46300</v>
      </c>
      <c r="U9" s="44">
        <f t="shared" si="3"/>
        <v>46300</v>
      </c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</row>
    <row r="10" ht="19.5" customHeight="1">
      <c r="A10" s="23">
        <v>3.0</v>
      </c>
      <c r="B10" s="46" t="s">
        <v>140</v>
      </c>
      <c r="C10" s="47" t="s">
        <v>141</v>
      </c>
      <c r="D10" s="48" t="s">
        <v>139</v>
      </c>
      <c r="E10" s="49">
        <v>1.0</v>
      </c>
      <c r="F10" s="50">
        <v>4.0</v>
      </c>
      <c r="G10" s="51">
        <v>0.1</v>
      </c>
      <c r="H10" s="52">
        <f t="shared" si="4"/>
        <v>3</v>
      </c>
      <c r="I10" s="48" t="s">
        <v>134</v>
      </c>
      <c r="J10" s="50">
        <v>0.0</v>
      </c>
      <c r="K10" s="53">
        <f t="array" ref="K10">IF(H10="","",IF(I10="",Start_Adj,IFERROR(_xlfn.WORKDAY.INTL(INDEX($T$6:T9,MATCH(I10,$B$6:B9,0)),1+N(J10),Weekend_Pattern,Holidays),"Sai mã CV")))</f>
        <v>46302</v>
      </c>
      <c r="L10" s="53">
        <f>IF(ISNUMBER(K10),_xlfn.WORKDAY.INTL(K10,H10-1,Weekend_Pattern,Holidays),"")</f>
        <v>46304</v>
      </c>
      <c r="M10" s="54">
        <v>1.8E7</v>
      </c>
      <c r="N10" s="55">
        <f t="shared" si="5"/>
        <v>18000000</v>
      </c>
      <c r="O10" s="56">
        <v>1.0</v>
      </c>
      <c r="P10" s="57">
        <f>IF(ISNUMBER(L10),IF(Report_Date&lt;K10,0,IF(Report_Date&gt;=L10,1,_xlfn.NETWORKDAYS.INTL(K10,Report_Date,Weekend_Pattern,Holidays)/H10)),"")</f>
        <v>1</v>
      </c>
      <c r="Q10" s="58">
        <f t="shared" si="2"/>
        <v>0</v>
      </c>
      <c r="R10" s="59" t="str">
        <f>IF(NOT(ISNUMBER(K10)),"",IF(N(O10)&gt;=1,"Hoàn thành",IF(AND(Report_Date&lt;K10,N(O10)=0),"Chưa bắt đầu",IF(Report_Date&gt;L10,"Quá hạn",IF(N(O10)+0.005&lt;P10,"Chậm tiến độ","Đúng tiến độ")))))</f>
        <v>Hoàn thành</v>
      </c>
      <c r="S10" s="60"/>
      <c r="T10" s="44">
        <f t="shared" si="6"/>
        <v>46304</v>
      </c>
      <c r="U10" s="44">
        <f t="shared" si="3"/>
        <v>46304</v>
      </c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</row>
    <row r="11" ht="21.75" customHeight="1">
      <c r="A11" s="38" t="s">
        <v>142</v>
      </c>
      <c r="B11" s="38" t="s">
        <v>143</v>
      </c>
      <c r="C11" s="20" t="s">
        <v>144</v>
      </c>
      <c r="D11" s="39"/>
      <c r="E11" s="39"/>
      <c r="F11" s="39"/>
      <c r="G11" s="39"/>
      <c r="H11" s="40">
        <f>_xlfn.NETWORKDAYS.INTL(K11,L11,Weekend_Pattern,Holidays)</f>
        <v>15</v>
      </c>
      <c r="I11" s="39"/>
      <c r="J11" s="39"/>
      <c r="K11" s="19">
        <f>MIN(K12:K18)</f>
        <v>46307</v>
      </c>
      <c r="L11" s="19">
        <f>MAX(L12:L18)</f>
        <v>46325</v>
      </c>
      <c r="M11" s="39"/>
      <c r="N11" s="41">
        <f>SUM(N12:N18)</f>
        <v>312000000</v>
      </c>
      <c r="O11" s="42">
        <f>IFERROR(SUMPRODUCT(N12:N18,O12:O18)/N11,0)</f>
        <v>0.9596153846</v>
      </c>
      <c r="P11" s="42">
        <f>IFERROR(SUMPRODUCT(N12:N18,P12:P18)/N11,0)</f>
        <v>0.9596153846</v>
      </c>
      <c r="Q11" s="43">
        <f t="shared" si="2"/>
        <v>0</v>
      </c>
      <c r="R11" s="38" t="str">
        <f>IF(NOT(ISNUMBER(K11)),"",IF(N(O11)&gt;=1,"Hoàn thành",IF(AND(Report_Date&lt;K11,N(O11)=0),"Chưa bắt đầu",IF(Report_Date&gt;L11,"Quá hạn",IF(N(O11)+0.005&lt;P11,"Chậm tiến độ","Đúng tiến độ")))))</f>
        <v>Đúng tiến độ</v>
      </c>
      <c r="S11" s="39"/>
      <c r="U11" s="44">
        <f t="shared" si="3"/>
        <v>46324</v>
      </c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</row>
    <row r="12" ht="19.5" customHeight="1">
      <c r="A12" s="23">
        <v>1.0</v>
      </c>
      <c r="B12" s="46" t="s">
        <v>145</v>
      </c>
      <c r="C12" s="47" t="s">
        <v>146</v>
      </c>
      <c r="D12" s="48" t="s">
        <v>147</v>
      </c>
      <c r="E12" s="49">
        <v>180.0</v>
      </c>
      <c r="F12" s="50">
        <v>6.0</v>
      </c>
      <c r="G12" s="51">
        <v>15.0</v>
      </c>
      <c r="H12" s="52">
        <f t="shared" ref="H12:H18" si="7">IF(OR(E12="",F12="",G12=""),"",MAX(1,ROUNDUP(E12/(F12*G12),0)))</f>
        <v>2</v>
      </c>
      <c r="I12" s="48" t="s">
        <v>140</v>
      </c>
      <c r="J12" s="50">
        <v>0.0</v>
      </c>
      <c r="K12" s="53">
        <f t="array" ref="K12">IF(H12="","",IF(I12="",Start_Adj,IFERROR(_xlfn.WORKDAY.INTL(INDEX($T$6:T11,MATCH(I12,$B$6:B11,0)),1+N(J12),Weekend_Pattern,Holidays),"Sai mã CV")))</f>
        <v>46307</v>
      </c>
      <c r="L12" s="53">
        <f>IF(ISNUMBER(K12),_xlfn.WORKDAY.INTL(K12,H12-1,Weekend_Pattern,Holidays),"")</f>
        <v>46308</v>
      </c>
      <c r="M12" s="54">
        <v>120000.0</v>
      </c>
      <c r="N12" s="55">
        <f t="shared" ref="N12:N18" si="8">IF(OR(E12="",M12=""),"",E12*M12)</f>
        <v>21600000</v>
      </c>
      <c r="O12" s="56">
        <v>1.0</v>
      </c>
      <c r="P12" s="57">
        <f>IF(ISNUMBER(L12),IF(Report_Date&lt;K12,0,IF(Report_Date&gt;=L12,1,_xlfn.NETWORKDAYS.INTL(K12,Report_Date,Weekend_Pattern,Holidays)/H12)),"")</f>
        <v>1</v>
      </c>
      <c r="Q12" s="58">
        <f t="shared" si="2"/>
        <v>0</v>
      </c>
      <c r="R12" s="59" t="str">
        <f>IF(NOT(ISNUMBER(K12)),"",IF(N(O12)&gt;=1,"Hoàn thành",IF(AND(Report_Date&lt;K12,N(O12)=0),"Chưa bắt đầu",IF(Report_Date&gt;L12,"Quá hạn",IF(N(O12)+0.005&lt;P12,"Chậm tiến độ","Đúng tiến độ")))))</f>
        <v>Hoàn thành</v>
      </c>
      <c r="S12" s="60"/>
      <c r="T12" s="44">
        <f t="shared" ref="T12:T18" si="9">IF(ISNUMBER(L12),L12,"")</f>
        <v>46308</v>
      </c>
      <c r="U12" s="44">
        <f t="shared" si="3"/>
        <v>46308</v>
      </c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</row>
    <row r="13" ht="19.5" customHeight="1">
      <c r="A13" s="23">
        <v>2.0</v>
      </c>
      <c r="B13" s="46" t="s">
        <v>148</v>
      </c>
      <c r="C13" s="47" t="s">
        <v>149</v>
      </c>
      <c r="D13" s="48" t="s">
        <v>147</v>
      </c>
      <c r="E13" s="49">
        <v>12.0</v>
      </c>
      <c r="F13" s="50">
        <v>6.0</v>
      </c>
      <c r="G13" s="51">
        <v>2.0</v>
      </c>
      <c r="H13" s="52">
        <f t="shared" si="7"/>
        <v>1</v>
      </c>
      <c r="I13" s="48" t="s">
        <v>145</v>
      </c>
      <c r="J13" s="50">
        <v>0.0</v>
      </c>
      <c r="K13" s="53">
        <f t="array" ref="K13">IF(H13="","",IF(I13="",Start_Adj,IFERROR(_xlfn.WORKDAY.INTL(INDEX($T$6:T12,MATCH(I13,$B$6:B12,0)),1+N(J13),Weekend_Pattern,Holidays),"Sai mã CV")))</f>
        <v>46309</v>
      </c>
      <c r="L13" s="53">
        <f>IF(ISNUMBER(K13),_xlfn.WORKDAY.INTL(K13,H13-1,Weekend_Pattern,Holidays),"")</f>
        <v>46309</v>
      </c>
      <c r="M13" s="54">
        <v>1300000.0</v>
      </c>
      <c r="N13" s="55">
        <f t="shared" si="8"/>
        <v>15600000</v>
      </c>
      <c r="O13" s="56">
        <v>1.0</v>
      </c>
      <c r="P13" s="57">
        <f>IF(ISNUMBER(L13),IF(Report_Date&lt;K13,0,IF(Report_Date&gt;=L13,1,_xlfn.NETWORKDAYS.INTL(K13,Report_Date,Weekend_Pattern,Holidays)/H13)),"")</f>
        <v>1</v>
      </c>
      <c r="Q13" s="58">
        <f t="shared" si="2"/>
        <v>0</v>
      </c>
      <c r="R13" s="59" t="str">
        <f>IF(NOT(ISNUMBER(K13)),"",IF(N(O13)&gt;=1,"Hoàn thành",IF(AND(Report_Date&lt;K13,N(O13)=0),"Chưa bắt đầu",IF(Report_Date&gt;L13,"Quá hạn",IF(N(O13)+0.005&lt;P13,"Chậm tiến độ","Đúng tiến độ")))))</f>
        <v>Hoàn thành</v>
      </c>
      <c r="S13" s="60"/>
      <c r="T13" s="44">
        <f t="shared" si="9"/>
        <v>46309</v>
      </c>
      <c r="U13" s="44">
        <f t="shared" si="3"/>
        <v>46309</v>
      </c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</row>
    <row r="14" ht="19.5" customHeight="1">
      <c r="A14" s="23">
        <v>3.0</v>
      </c>
      <c r="B14" s="46" t="s">
        <v>165</v>
      </c>
      <c r="C14" s="47" t="s">
        <v>166</v>
      </c>
      <c r="D14" s="48" t="s">
        <v>167</v>
      </c>
      <c r="E14" s="49">
        <v>6.0</v>
      </c>
      <c r="F14" s="50">
        <v>8.0</v>
      </c>
      <c r="G14" s="51">
        <v>0.25</v>
      </c>
      <c r="H14" s="52">
        <f t="shared" si="7"/>
        <v>3</v>
      </c>
      <c r="I14" s="48" t="s">
        <v>148</v>
      </c>
      <c r="J14" s="50">
        <v>0.0</v>
      </c>
      <c r="K14" s="53">
        <f t="array" ref="K14">IF(H14="","",IF(I14="",Start_Adj,IFERROR(_xlfn.WORKDAY.INTL(INDEX($T$6:T13,MATCH(I14,$B$6:B13,0)),1+N(J14),Weekend_Pattern,Holidays),"Sai mã CV")))</f>
        <v>46310</v>
      </c>
      <c r="L14" s="53">
        <f>IF(ISNUMBER(K14),_xlfn.WORKDAY.INTL(K14,H14-1,Weekend_Pattern,Holidays),"")</f>
        <v>46314</v>
      </c>
      <c r="M14" s="54">
        <v>2.2E7</v>
      </c>
      <c r="N14" s="55">
        <f t="shared" si="8"/>
        <v>132000000</v>
      </c>
      <c r="O14" s="56">
        <v>1.0</v>
      </c>
      <c r="P14" s="57">
        <f>IF(ISNUMBER(L14),IF(Report_Date&lt;K14,0,IF(Report_Date&gt;=L14,1,_xlfn.NETWORKDAYS.INTL(K14,Report_Date,Weekend_Pattern,Holidays)/H14)),"")</f>
        <v>1</v>
      </c>
      <c r="Q14" s="58">
        <f t="shared" si="2"/>
        <v>0</v>
      </c>
      <c r="R14" s="59" t="str">
        <f>IF(NOT(ISNUMBER(K14)),"",IF(N(O14)&gt;=1,"Hoàn thành",IF(AND(Report_Date&lt;K14,N(O14)=0),"Chưa bắt đầu",IF(Report_Date&gt;L14,"Quá hạn",IF(N(O14)+0.005&lt;P14,"Chậm tiến độ","Đúng tiến độ")))))</f>
        <v>Hoàn thành</v>
      </c>
      <c r="S14" s="60"/>
      <c r="T14" s="44">
        <f t="shared" si="9"/>
        <v>46314</v>
      </c>
      <c r="U14" s="44">
        <f t="shared" si="3"/>
        <v>46314</v>
      </c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</row>
    <row r="15" ht="19.5" customHeight="1">
      <c r="A15" s="23">
        <v>4.0</v>
      </c>
      <c r="B15" s="46" t="s">
        <v>168</v>
      </c>
      <c r="C15" s="47" t="s">
        <v>169</v>
      </c>
      <c r="D15" s="48" t="s">
        <v>136</v>
      </c>
      <c r="E15" s="49">
        <v>160.0</v>
      </c>
      <c r="F15" s="50">
        <v>8.0</v>
      </c>
      <c r="G15" s="51">
        <v>5.0</v>
      </c>
      <c r="H15" s="52">
        <f t="shared" si="7"/>
        <v>4</v>
      </c>
      <c r="I15" s="48" t="s">
        <v>148</v>
      </c>
      <c r="J15" s="50">
        <v>0.0</v>
      </c>
      <c r="K15" s="53">
        <f t="array" ref="K15">IF(H15="","",IF(I15="",Start_Adj,IFERROR(_xlfn.WORKDAY.INTL(INDEX($T$6:T14,MATCH(I15,$B$6:B14,0)),1+N(J15),Weekend_Pattern,Holidays),"Sai mã CV")))</f>
        <v>46310</v>
      </c>
      <c r="L15" s="53">
        <f>IF(ISNUMBER(K15),_xlfn.WORKDAY.INTL(K15,H15-1,Weekend_Pattern,Holidays),"")</f>
        <v>46315</v>
      </c>
      <c r="M15" s="54">
        <v>180000.0</v>
      </c>
      <c r="N15" s="55">
        <f t="shared" si="8"/>
        <v>28800000</v>
      </c>
      <c r="O15" s="56">
        <v>1.0</v>
      </c>
      <c r="P15" s="57">
        <f>IF(ISNUMBER(L15),IF(Report_Date&lt;K15,0,IF(Report_Date&gt;=L15,1,_xlfn.NETWORKDAYS.INTL(K15,Report_Date,Weekend_Pattern,Holidays)/H15)),"")</f>
        <v>1</v>
      </c>
      <c r="Q15" s="58">
        <f t="shared" si="2"/>
        <v>0</v>
      </c>
      <c r="R15" s="59" t="str">
        <f>IF(NOT(ISNUMBER(K15)),"",IF(N(O15)&gt;=1,"Hoàn thành",IF(AND(Report_Date&lt;K15,N(O15)=0),"Chưa bắt đầu",IF(Report_Date&gt;L15,"Quá hạn",IF(N(O15)+0.005&lt;P15,"Chậm tiến độ","Đúng tiến độ")))))</f>
        <v>Hoàn thành</v>
      </c>
      <c r="S15" s="60"/>
      <c r="T15" s="44">
        <f t="shared" si="9"/>
        <v>46315</v>
      </c>
      <c r="U15" s="44">
        <f t="shared" si="3"/>
        <v>46315</v>
      </c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</row>
    <row r="16" ht="19.5" customHeight="1">
      <c r="A16" s="23">
        <v>5.0</v>
      </c>
      <c r="B16" s="46" t="s">
        <v>170</v>
      </c>
      <c r="C16" s="47" t="s">
        <v>171</v>
      </c>
      <c r="D16" s="48" t="s">
        <v>147</v>
      </c>
      <c r="E16" s="49">
        <v>60.0</v>
      </c>
      <c r="F16" s="50">
        <v>10.0</v>
      </c>
      <c r="G16" s="51">
        <v>5.5</v>
      </c>
      <c r="H16" s="52">
        <f t="shared" si="7"/>
        <v>2</v>
      </c>
      <c r="I16" s="48" t="s">
        <v>168</v>
      </c>
      <c r="J16" s="50">
        <v>0.0</v>
      </c>
      <c r="K16" s="53">
        <f t="array" ref="K16">IF(H16="","",IF(I16="",Start_Adj,IFERROR(_xlfn.WORKDAY.INTL(INDEX($T$6:T15,MATCH(I16,$B$6:B15,0)),1+N(J16),Weekend_Pattern,Holidays),"Sai mã CV")))</f>
        <v>46316</v>
      </c>
      <c r="L16" s="53">
        <f>IF(ISNUMBER(K16),_xlfn.WORKDAY.INTL(K16,H16-1,Weekend_Pattern,Holidays),"")</f>
        <v>46317</v>
      </c>
      <c r="M16" s="54">
        <v>1650000.0</v>
      </c>
      <c r="N16" s="55">
        <f t="shared" si="8"/>
        <v>99000000</v>
      </c>
      <c r="O16" s="56">
        <v>1.0</v>
      </c>
      <c r="P16" s="57">
        <f>IF(ISNUMBER(L16),IF(Report_Date&lt;K16,0,IF(Report_Date&gt;=L16,1,_xlfn.NETWORKDAYS.INTL(K16,Report_Date,Weekend_Pattern,Holidays)/H16)),"")</f>
        <v>1</v>
      </c>
      <c r="Q16" s="58">
        <f t="shared" si="2"/>
        <v>0</v>
      </c>
      <c r="R16" s="59" t="str">
        <f>IF(NOT(ISNUMBER(K16)),"",IF(N(O16)&gt;=1,"Hoàn thành",IF(AND(Report_Date&lt;K16,N(O16)=0),"Chưa bắt đầu",IF(Report_Date&gt;L16,"Quá hạn",IF(N(O16)+0.005&lt;P16,"Chậm tiến độ","Đúng tiến độ")))))</f>
        <v>Hoàn thành</v>
      </c>
      <c r="S16" s="60" t="s">
        <v>172</v>
      </c>
      <c r="T16" s="44">
        <f t="shared" si="9"/>
        <v>46317</v>
      </c>
      <c r="U16" s="44">
        <f t="shared" si="3"/>
        <v>46317</v>
      </c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</row>
    <row r="17" ht="19.5" customHeight="1">
      <c r="A17" s="23">
        <v>6.0</v>
      </c>
      <c r="B17" s="46" t="s">
        <v>173</v>
      </c>
      <c r="C17" s="47" t="s">
        <v>174</v>
      </c>
      <c r="D17" s="48" t="s">
        <v>136</v>
      </c>
      <c r="E17" s="49">
        <v>160.0</v>
      </c>
      <c r="F17" s="50">
        <v>4.0</v>
      </c>
      <c r="G17" s="51">
        <v>20.0</v>
      </c>
      <c r="H17" s="52">
        <f t="shared" si="7"/>
        <v>2</v>
      </c>
      <c r="I17" s="48" t="s">
        <v>170</v>
      </c>
      <c r="J17" s="50">
        <v>2.0</v>
      </c>
      <c r="K17" s="53">
        <f t="array" ref="K17">IF(H17="","",IF(I17="",Start_Adj,IFERROR(_xlfn.WORKDAY.INTL(INDEX($T$6:T16,MATCH(I17,$B$6:B16,0)),1+N(J17),Weekend_Pattern,Holidays),"Sai mã CV")))</f>
        <v>46322</v>
      </c>
      <c r="L17" s="53">
        <f>IF(ISNUMBER(K17),_xlfn.WORKDAY.INTL(K17,H17-1,Weekend_Pattern,Holidays),"")</f>
        <v>46323</v>
      </c>
      <c r="M17" s="54">
        <v>30000.0</v>
      </c>
      <c r="N17" s="55">
        <f t="shared" si="8"/>
        <v>4800000</v>
      </c>
      <c r="O17" s="56">
        <v>0.5</v>
      </c>
      <c r="P17" s="57">
        <f>IF(ISNUMBER(L17),IF(Report_Date&lt;K17,0,IF(Report_Date&gt;=L17,1,_xlfn.NETWORKDAYS.INTL(K17,Report_Date,Weekend_Pattern,Holidays)/H17)),"")</f>
        <v>0.5</v>
      </c>
      <c r="Q17" s="58">
        <f t="shared" si="2"/>
        <v>0</v>
      </c>
      <c r="R17" s="59" t="str">
        <f>IF(NOT(ISNUMBER(K17)),"",IF(N(O17)&gt;=1,"Hoàn thành",IF(AND(Report_Date&lt;K17,N(O17)=0),"Chưa bắt đầu",IF(Report_Date&gt;L17,"Quá hạn",IF(N(O17)+0.005&lt;P17,"Chậm tiến độ","Đúng tiến độ")))))</f>
        <v>Đúng tiến độ</v>
      </c>
      <c r="S17" s="60" t="s">
        <v>186</v>
      </c>
      <c r="T17" s="44">
        <f t="shared" si="9"/>
        <v>46323</v>
      </c>
      <c r="U17" s="44">
        <f t="shared" si="3"/>
        <v>46322</v>
      </c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</row>
    <row r="18" ht="19.5" customHeight="1">
      <c r="A18" s="23">
        <v>7.0</v>
      </c>
      <c r="B18" s="46" t="s">
        <v>187</v>
      </c>
      <c r="C18" s="47" t="s">
        <v>188</v>
      </c>
      <c r="D18" s="48" t="s">
        <v>147</v>
      </c>
      <c r="E18" s="49">
        <v>120.0</v>
      </c>
      <c r="F18" s="50">
        <v>6.0</v>
      </c>
      <c r="G18" s="51">
        <v>10.0</v>
      </c>
      <c r="H18" s="52">
        <f t="shared" si="7"/>
        <v>2</v>
      </c>
      <c r="I18" s="48" t="s">
        <v>173</v>
      </c>
      <c r="J18" s="50">
        <v>0.0</v>
      </c>
      <c r="K18" s="53">
        <f t="array" ref="K18">IF(H18="","",IF(I18="",Start_Adj,IFERROR(_xlfn.WORKDAY.INTL(INDEX($T$6:T17,MATCH(I18,$B$6:B17,0)),1+N(J18),Weekend_Pattern,Holidays),"Sai mã CV")))</f>
        <v>46324</v>
      </c>
      <c r="L18" s="53">
        <f>IF(ISNUMBER(K18),_xlfn.WORKDAY.INTL(K18,H18-1,Weekend_Pattern,Holidays),"")</f>
        <v>46325</v>
      </c>
      <c r="M18" s="54">
        <v>85000.0</v>
      </c>
      <c r="N18" s="55">
        <f t="shared" si="8"/>
        <v>10200000</v>
      </c>
      <c r="O18" s="56">
        <v>0.0</v>
      </c>
      <c r="P18" s="57">
        <f>IF(ISNUMBER(L18),IF(Report_Date&lt;K18,0,IF(Report_Date&gt;=L18,1,_xlfn.NETWORKDAYS.INTL(K18,Report_Date,Weekend_Pattern,Holidays)/H18)),"")</f>
        <v>0</v>
      </c>
      <c r="Q18" s="58">
        <f t="shared" si="2"/>
        <v>0</v>
      </c>
      <c r="R18" s="59" t="str">
        <f>IF(NOT(ISNUMBER(K18)),"",IF(N(O18)&gt;=1,"Hoàn thành",IF(AND(Report_Date&lt;K18,N(O18)=0),"Chưa bắt đầu",IF(Report_Date&gt;L18,"Quá hạn",IF(N(O18)+0.005&lt;P18,"Chậm tiến độ","Đúng tiến độ")))))</f>
        <v>Chưa bắt đầu</v>
      </c>
      <c r="S18" s="60"/>
      <c r="T18" s="44">
        <f t="shared" si="9"/>
        <v>46325</v>
      </c>
      <c r="U18" s="44" t="str">
        <f t="shared" si="3"/>
        <v/>
      </c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</row>
    <row r="19" ht="21.75" customHeight="1">
      <c r="A19" s="38" t="s">
        <v>189</v>
      </c>
      <c r="B19" s="38" t="s">
        <v>190</v>
      </c>
      <c r="C19" s="20" t="s">
        <v>191</v>
      </c>
      <c r="D19" s="39"/>
      <c r="E19" s="39"/>
      <c r="F19" s="39"/>
      <c r="G19" s="39"/>
      <c r="H19" s="40">
        <f>_xlfn.NETWORKDAYS.INTL(K19,L19,Weekend_Pattern,Holidays)</f>
        <v>39</v>
      </c>
      <c r="I19" s="39"/>
      <c r="J19" s="39"/>
      <c r="K19" s="19">
        <f>MIN(K20:K27)</f>
        <v>46328</v>
      </c>
      <c r="L19" s="19">
        <f>MAX(L20:L27)</f>
        <v>46380</v>
      </c>
      <c r="M19" s="39"/>
      <c r="N19" s="41">
        <f>SUM(N20:N27)</f>
        <v>1341900000</v>
      </c>
      <c r="O19" s="42">
        <f>IFERROR(SUMPRODUCT(N20:N27,O20:O27)/N19,0)</f>
        <v>0</v>
      </c>
      <c r="P19" s="42">
        <f>IFERROR(SUMPRODUCT(N20:N27,P20:P27)/N19,0)</f>
        <v>0</v>
      </c>
      <c r="Q19" s="43">
        <f t="shared" si="2"/>
        <v>0</v>
      </c>
      <c r="R19" s="38" t="str">
        <f>IF(NOT(ISNUMBER(K19)),"",IF(N(O19)&gt;=1,"Hoàn thành",IF(AND(Report_Date&lt;K19,N(O19)=0),"Chưa bắt đầu",IF(Report_Date&gt;L19,"Quá hạn",IF(N(O19)+0.005&lt;P19,"Chậm tiến độ","Đúng tiến độ")))))</f>
        <v>Chưa bắt đầu</v>
      </c>
      <c r="S19" s="39"/>
      <c r="U19" s="44" t="str">
        <f t="shared" si="3"/>
        <v/>
      </c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</row>
    <row r="20" ht="19.5" customHeight="1">
      <c r="A20" s="23">
        <v>1.0</v>
      </c>
      <c r="B20" s="46" t="s">
        <v>197</v>
      </c>
      <c r="C20" s="47" t="s">
        <v>198</v>
      </c>
      <c r="D20" s="48" t="s">
        <v>136</v>
      </c>
      <c r="E20" s="49">
        <v>520.0</v>
      </c>
      <c r="F20" s="50">
        <v>14.0</v>
      </c>
      <c r="G20" s="51">
        <v>6.0</v>
      </c>
      <c r="H20" s="52">
        <f t="shared" ref="H20:H27" si="10">IF(OR(E20="",F20="",G20=""),"",MAX(1,ROUNDUP(E20/(F20*G20),0)))</f>
        <v>7</v>
      </c>
      <c r="I20" s="48" t="s">
        <v>187</v>
      </c>
      <c r="J20" s="50">
        <v>0.0</v>
      </c>
      <c r="K20" s="53">
        <f t="array" ref="K20">IF(H20="","",IF(I20="",Start_Adj,IFERROR(_xlfn.WORKDAY.INTL(INDEX($T$6:T19,MATCH(I20,$B$6:B19,0)),1+N(J20),Weekend_Pattern,Holidays),"Sai mã CV")))</f>
        <v>46328</v>
      </c>
      <c r="L20" s="53">
        <f>IF(ISNUMBER(K20),_xlfn.WORKDAY.INTL(K20,H20-1,Weekend_Pattern,Holidays),"")</f>
        <v>46336</v>
      </c>
      <c r="M20" s="54">
        <v>420000.0</v>
      </c>
      <c r="N20" s="55">
        <f t="shared" ref="N20:N27" si="11">IF(OR(E20="",M20=""),"",E20*M20)</f>
        <v>218400000</v>
      </c>
      <c r="O20" s="56">
        <v>0.0</v>
      </c>
      <c r="P20" s="57">
        <f>IF(ISNUMBER(L20),IF(Report_Date&lt;K20,0,IF(Report_Date&gt;=L20,1,_xlfn.NETWORKDAYS.INTL(K20,Report_Date,Weekend_Pattern,Holidays)/H20)),"")</f>
        <v>0</v>
      </c>
      <c r="Q20" s="58">
        <f t="shared" si="2"/>
        <v>0</v>
      </c>
      <c r="R20" s="59" t="str">
        <f>IF(NOT(ISNUMBER(K20)),"",IF(N(O20)&gt;=1,"Hoàn thành",IF(AND(Report_Date&lt;K20,N(O20)=0),"Chưa bắt đầu",IF(Report_Date&gt;L20,"Quá hạn",IF(N(O20)+0.005&lt;P20,"Chậm tiến độ","Đúng tiến độ")))))</f>
        <v>Chưa bắt đầu</v>
      </c>
      <c r="S20" s="60"/>
      <c r="T20" s="44">
        <f t="shared" ref="T20:T27" si="12">IF(ISNUMBER(L20),L20,"")</f>
        <v>46336</v>
      </c>
      <c r="U20" s="44" t="str">
        <f t="shared" si="3"/>
        <v/>
      </c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</row>
    <row r="21" ht="19.5" customHeight="1">
      <c r="A21" s="23">
        <v>2.0</v>
      </c>
      <c r="B21" s="46" t="s">
        <v>200</v>
      </c>
      <c r="C21" s="47" t="s">
        <v>201</v>
      </c>
      <c r="D21" s="48" t="s">
        <v>147</v>
      </c>
      <c r="E21" s="49">
        <v>48.0</v>
      </c>
      <c r="F21" s="50">
        <v>12.0</v>
      </c>
      <c r="G21" s="51">
        <v>2.0</v>
      </c>
      <c r="H21" s="52">
        <f t="shared" si="10"/>
        <v>2</v>
      </c>
      <c r="I21" s="48" t="s">
        <v>197</v>
      </c>
      <c r="J21" s="50">
        <v>0.0</v>
      </c>
      <c r="K21" s="53">
        <f t="array" ref="K21">IF(H21="","",IF(I21="",Start_Adj,IFERROR(_xlfn.WORKDAY.INTL(INDEX($T$6:T20,MATCH(I21,$B$6:B20,0)),1+N(J21),Weekend_Pattern,Holidays),"Sai mã CV")))</f>
        <v>46337</v>
      </c>
      <c r="L21" s="53">
        <f>IF(ISNUMBER(K21),_xlfn.WORKDAY.INTL(K21,H21-1,Weekend_Pattern,Holidays),"")</f>
        <v>46338</v>
      </c>
      <c r="M21" s="54">
        <v>1850000.0</v>
      </c>
      <c r="N21" s="55">
        <f t="shared" si="11"/>
        <v>88800000</v>
      </c>
      <c r="O21" s="56">
        <v>0.0</v>
      </c>
      <c r="P21" s="57">
        <f>IF(ISNUMBER(L21),IF(Report_Date&lt;K21,0,IF(Report_Date&gt;=L21,1,_xlfn.NETWORKDAYS.INTL(K21,Report_Date,Weekend_Pattern,Holidays)/H21)),"")</f>
        <v>0</v>
      </c>
      <c r="Q21" s="58">
        <f t="shared" si="2"/>
        <v>0</v>
      </c>
      <c r="R21" s="59" t="str">
        <f>IF(NOT(ISNUMBER(K21)),"",IF(N(O21)&gt;=1,"Hoàn thành",IF(AND(Report_Date&lt;K21,N(O21)=0),"Chưa bắt đầu",IF(Report_Date&gt;L21,"Quá hạn",IF(N(O21)+0.005&lt;P21,"Chậm tiến độ","Đúng tiến độ")))))</f>
        <v>Chưa bắt đầu</v>
      </c>
      <c r="S21" s="60"/>
      <c r="T21" s="44">
        <f t="shared" si="12"/>
        <v>46338</v>
      </c>
      <c r="U21" s="44" t="str">
        <f t="shared" si="3"/>
        <v/>
      </c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</row>
    <row r="22" ht="19.5" customHeight="1">
      <c r="A22" s="23">
        <v>3.0</v>
      </c>
      <c r="B22" s="46" t="s">
        <v>202</v>
      </c>
      <c r="C22" s="47" t="s">
        <v>203</v>
      </c>
      <c r="D22" s="48" t="s">
        <v>136</v>
      </c>
      <c r="E22" s="49">
        <v>520.0</v>
      </c>
      <c r="F22" s="50">
        <v>14.0</v>
      </c>
      <c r="G22" s="51">
        <v>6.0</v>
      </c>
      <c r="H22" s="52">
        <f t="shared" si="10"/>
        <v>7</v>
      </c>
      <c r="I22" s="48" t="s">
        <v>200</v>
      </c>
      <c r="J22" s="50">
        <v>3.0</v>
      </c>
      <c r="K22" s="53">
        <f t="array" ref="K22">IF(H22="","",IF(I22="",Start_Adj,IFERROR(_xlfn.WORKDAY.INTL(INDEX($T$6:T21,MATCH(I22,$B$6:B21,0)),1+N(J22),Weekend_Pattern,Holidays),"Sai mã CV")))</f>
        <v>46344</v>
      </c>
      <c r="L22" s="53">
        <f>IF(ISNUMBER(K22),_xlfn.WORKDAY.INTL(K22,H22-1,Weekend_Pattern,Holidays),"")</f>
        <v>46352</v>
      </c>
      <c r="M22" s="54">
        <v>420000.0</v>
      </c>
      <c r="N22" s="55">
        <f t="shared" si="11"/>
        <v>218400000</v>
      </c>
      <c r="O22" s="56">
        <v>0.0</v>
      </c>
      <c r="P22" s="57">
        <f>IF(ISNUMBER(L22),IF(Report_Date&lt;K22,0,IF(Report_Date&gt;=L22,1,_xlfn.NETWORKDAYS.INTL(K22,Report_Date,Weekend_Pattern,Holidays)/H22)),"")</f>
        <v>0</v>
      </c>
      <c r="Q22" s="58">
        <f t="shared" si="2"/>
        <v>0</v>
      </c>
      <c r="R22" s="59" t="str">
        <f>IF(NOT(ISNUMBER(K22)),"",IF(N(O22)&gt;=1,"Hoàn thành",IF(AND(Report_Date&lt;K22,N(O22)=0),"Chưa bắt đầu",IF(Report_Date&gt;L22,"Quá hạn",IF(N(O22)+0.005&lt;P22,"Chậm tiến độ","Đúng tiến độ")))))</f>
        <v>Chưa bắt đầu</v>
      </c>
      <c r="S22" s="60" t="s">
        <v>204</v>
      </c>
      <c r="T22" s="44">
        <f t="shared" si="12"/>
        <v>46352</v>
      </c>
      <c r="U22" s="44" t="str">
        <f t="shared" si="3"/>
        <v/>
      </c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</row>
    <row r="23" ht="19.5" customHeight="1">
      <c r="A23" s="23">
        <v>4.0</v>
      </c>
      <c r="B23" s="46" t="s">
        <v>205</v>
      </c>
      <c r="C23" s="47" t="s">
        <v>206</v>
      </c>
      <c r="D23" s="48" t="s">
        <v>147</v>
      </c>
      <c r="E23" s="49">
        <v>48.0</v>
      </c>
      <c r="F23" s="50">
        <v>12.0</v>
      </c>
      <c r="G23" s="51">
        <v>2.0</v>
      </c>
      <c r="H23" s="52">
        <f t="shared" si="10"/>
        <v>2</v>
      </c>
      <c r="I23" s="48" t="s">
        <v>202</v>
      </c>
      <c r="J23" s="50">
        <v>0.0</v>
      </c>
      <c r="K23" s="53">
        <f t="array" ref="K23">IF(H23="","",IF(I23="",Start_Adj,IFERROR(_xlfn.WORKDAY.INTL(INDEX($T$6:T22,MATCH(I23,$B$6:B22,0)),1+N(J23),Weekend_Pattern,Holidays),"Sai mã CV")))</f>
        <v>46353</v>
      </c>
      <c r="L23" s="53">
        <f>IF(ISNUMBER(K23),_xlfn.WORKDAY.INTL(K23,H23-1,Weekend_Pattern,Holidays),"")</f>
        <v>46356</v>
      </c>
      <c r="M23" s="54">
        <v>1850000.0</v>
      </c>
      <c r="N23" s="55">
        <f t="shared" si="11"/>
        <v>88800000</v>
      </c>
      <c r="O23" s="56">
        <v>0.0</v>
      </c>
      <c r="P23" s="57">
        <f>IF(ISNUMBER(L23),IF(Report_Date&lt;K23,0,IF(Report_Date&gt;=L23,1,_xlfn.NETWORKDAYS.INTL(K23,Report_Date,Weekend_Pattern,Holidays)/H23)),"")</f>
        <v>0</v>
      </c>
      <c r="Q23" s="58">
        <f t="shared" si="2"/>
        <v>0</v>
      </c>
      <c r="R23" s="59" t="str">
        <f>IF(NOT(ISNUMBER(K23)),"",IF(N(O23)&gt;=1,"Hoàn thành",IF(AND(Report_Date&lt;K23,N(O23)=0),"Chưa bắt đầu",IF(Report_Date&gt;L23,"Quá hạn",IF(N(O23)+0.005&lt;P23,"Chậm tiến độ","Đúng tiến độ")))))</f>
        <v>Chưa bắt đầu</v>
      </c>
      <c r="S23" s="60"/>
      <c r="T23" s="44">
        <f t="shared" si="12"/>
        <v>46356</v>
      </c>
      <c r="U23" s="44" t="str">
        <f t="shared" si="3"/>
        <v/>
      </c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</row>
    <row r="24" ht="19.5" customHeight="1">
      <c r="A24" s="23">
        <v>5.0</v>
      </c>
      <c r="B24" s="46" t="s">
        <v>207</v>
      </c>
      <c r="C24" s="47" t="s">
        <v>208</v>
      </c>
      <c r="D24" s="48" t="s">
        <v>136</v>
      </c>
      <c r="E24" s="49">
        <v>520.0</v>
      </c>
      <c r="F24" s="50">
        <v>14.0</v>
      </c>
      <c r="G24" s="51">
        <v>6.0</v>
      </c>
      <c r="H24" s="52">
        <f t="shared" si="10"/>
        <v>7</v>
      </c>
      <c r="I24" s="48" t="s">
        <v>205</v>
      </c>
      <c r="J24" s="50">
        <v>3.0</v>
      </c>
      <c r="K24" s="53">
        <f t="array" ref="K24">IF(H24="","",IF(I24="",Start_Adj,IFERROR(_xlfn.WORKDAY.INTL(INDEX($T$6:T23,MATCH(I24,$B$6:B23,0)),1+N(J24),Weekend_Pattern,Holidays),"Sai mã CV")))</f>
        <v>46360</v>
      </c>
      <c r="L24" s="53">
        <f>IF(ISNUMBER(K24),_xlfn.WORKDAY.INTL(K24,H24-1,Weekend_Pattern,Holidays),"")</f>
        <v>46370</v>
      </c>
      <c r="M24" s="54">
        <v>420000.0</v>
      </c>
      <c r="N24" s="55">
        <f t="shared" si="11"/>
        <v>218400000</v>
      </c>
      <c r="O24" s="56">
        <v>0.0</v>
      </c>
      <c r="P24" s="57">
        <f>IF(ISNUMBER(L24),IF(Report_Date&lt;K24,0,IF(Report_Date&gt;=L24,1,_xlfn.NETWORKDAYS.INTL(K24,Report_Date,Weekend_Pattern,Holidays)/H24)),"")</f>
        <v>0</v>
      </c>
      <c r="Q24" s="58">
        <f t="shared" si="2"/>
        <v>0</v>
      </c>
      <c r="R24" s="59" t="str">
        <f>IF(NOT(ISNUMBER(K24)),"",IF(N(O24)&gt;=1,"Hoàn thành",IF(AND(Report_Date&lt;K24,N(O24)=0),"Chưa bắt đầu",IF(Report_Date&gt;L24,"Quá hạn",IF(N(O24)+0.005&lt;P24,"Chậm tiến độ","Đúng tiến độ")))))</f>
        <v>Chưa bắt đầu</v>
      </c>
      <c r="S24" s="60"/>
      <c r="T24" s="44">
        <f t="shared" si="12"/>
        <v>46370</v>
      </c>
      <c r="U24" s="44" t="str">
        <f t="shared" si="3"/>
        <v/>
      </c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</row>
    <row r="25" ht="19.5" customHeight="1">
      <c r="A25" s="23">
        <v>6.0</v>
      </c>
      <c r="B25" s="46" t="s">
        <v>209</v>
      </c>
      <c r="C25" s="47" t="s">
        <v>210</v>
      </c>
      <c r="D25" s="48" t="s">
        <v>147</v>
      </c>
      <c r="E25" s="49">
        <v>48.0</v>
      </c>
      <c r="F25" s="50">
        <v>12.0</v>
      </c>
      <c r="G25" s="51">
        <v>2.0</v>
      </c>
      <c r="H25" s="52">
        <f t="shared" si="10"/>
        <v>2</v>
      </c>
      <c r="I25" s="48" t="s">
        <v>207</v>
      </c>
      <c r="J25" s="50">
        <v>0.0</v>
      </c>
      <c r="K25" s="53">
        <f t="array" ref="K25">IF(H25="","",IF(I25="",Start_Adj,IFERROR(_xlfn.WORKDAY.INTL(INDEX($T$6:T24,MATCH(I25,$B$6:B24,0)),1+N(J25),Weekend_Pattern,Holidays),"Sai mã CV")))</f>
        <v>46371</v>
      </c>
      <c r="L25" s="53">
        <f>IF(ISNUMBER(K25),_xlfn.WORKDAY.INTL(K25,H25-1,Weekend_Pattern,Holidays),"")</f>
        <v>46372</v>
      </c>
      <c r="M25" s="54">
        <v>1850000.0</v>
      </c>
      <c r="N25" s="55">
        <f t="shared" si="11"/>
        <v>88800000</v>
      </c>
      <c r="O25" s="56">
        <v>0.0</v>
      </c>
      <c r="P25" s="57">
        <f>IF(ISNUMBER(L25),IF(Report_Date&lt;K25,0,IF(Report_Date&gt;=L25,1,_xlfn.NETWORKDAYS.INTL(K25,Report_Date,Weekend_Pattern,Holidays)/H25)),"")</f>
        <v>0</v>
      </c>
      <c r="Q25" s="58">
        <f t="shared" si="2"/>
        <v>0</v>
      </c>
      <c r="R25" s="59" t="str">
        <f>IF(NOT(ISNUMBER(K25)),"",IF(N(O25)&gt;=1,"Hoàn thành",IF(AND(Report_Date&lt;K25,N(O25)=0),"Chưa bắt đầu",IF(Report_Date&gt;L25,"Quá hạn",IF(N(O25)+0.005&lt;P25,"Chậm tiến độ","Đúng tiến độ")))))</f>
        <v>Chưa bắt đầu</v>
      </c>
      <c r="S25" s="60"/>
      <c r="T25" s="44">
        <f t="shared" si="12"/>
        <v>46372</v>
      </c>
      <c r="U25" s="44" t="str">
        <f t="shared" si="3"/>
        <v/>
      </c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</row>
    <row r="26" ht="19.5" customHeight="1">
      <c r="A26" s="23">
        <v>7.0</v>
      </c>
      <c r="B26" s="46" t="s">
        <v>211</v>
      </c>
      <c r="C26" s="47" t="s">
        <v>212</v>
      </c>
      <c r="D26" s="48" t="s">
        <v>136</v>
      </c>
      <c r="E26" s="49">
        <v>260.0</v>
      </c>
      <c r="F26" s="50">
        <v>14.0</v>
      </c>
      <c r="G26" s="51">
        <v>8.0</v>
      </c>
      <c r="H26" s="52">
        <f t="shared" si="10"/>
        <v>3</v>
      </c>
      <c r="I26" s="48" t="s">
        <v>209</v>
      </c>
      <c r="J26" s="50">
        <v>3.0</v>
      </c>
      <c r="K26" s="53">
        <f t="array" ref="K26">IF(H26="","",IF(I26="",Start_Adj,IFERROR(_xlfn.WORKDAY.INTL(INDEX($T$6:T25,MATCH(I26,$B$6:B25,0)),1+N(J26),Weekend_Pattern,Holidays),"Sai mã CV")))</f>
        <v>46378</v>
      </c>
      <c r="L26" s="53">
        <f>IF(ISNUMBER(K26),_xlfn.WORKDAY.INTL(K26,H26-1,Weekend_Pattern,Holidays),"")</f>
        <v>46380</v>
      </c>
      <c r="M26" s="54">
        <v>780000.0</v>
      </c>
      <c r="N26" s="55">
        <f t="shared" si="11"/>
        <v>202800000</v>
      </c>
      <c r="O26" s="56">
        <v>0.0</v>
      </c>
      <c r="P26" s="57">
        <f>IF(ISNUMBER(L26),IF(Report_Date&lt;K26,0,IF(Report_Date&gt;=L26,1,_xlfn.NETWORKDAYS.INTL(K26,Report_Date,Weekend_Pattern,Holidays)/H26)),"")</f>
        <v>0</v>
      </c>
      <c r="Q26" s="58">
        <f t="shared" si="2"/>
        <v>0</v>
      </c>
      <c r="R26" s="59" t="str">
        <f>IF(NOT(ISNUMBER(K26)),"",IF(N(O26)&gt;=1,"Hoàn thành",IF(AND(Report_Date&lt;K26,N(O26)=0),"Chưa bắt đầu",IF(Report_Date&gt;L26,"Quá hạn",IF(N(O26)+0.005&lt;P26,"Chậm tiến độ","Đúng tiến độ")))))</f>
        <v>Chưa bắt đầu</v>
      </c>
      <c r="S26" s="60"/>
      <c r="T26" s="44">
        <f t="shared" si="12"/>
        <v>46380</v>
      </c>
      <c r="U26" s="44" t="str">
        <f t="shared" si="3"/>
        <v/>
      </c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</row>
    <row r="27" ht="19.5" customHeight="1">
      <c r="A27" s="23">
        <v>8.0</v>
      </c>
      <c r="B27" s="46" t="s">
        <v>213</v>
      </c>
      <c r="C27" s="47" t="s">
        <v>214</v>
      </c>
      <c r="D27" s="48" t="s">
        <v>147</v>
      </c>
      <c r="E27" s="49">
        <v>150.0</v>
      </c>
      <c r="F27" s="50">
        <v>12.0</v>
      </c>
      <c r="G27" s="51">
        <v>1.2</v>
      </c>
      <c r="H27" s="52">
        <f t="shared" si="10"/>
        <v>11</v>
      </c>
      <c r="I27" s="48" t="s">
        <v>205</v>
      </c>
      <c r="J27" s="50">
        <v>0.0</v>
      </c>
      <c r="K27" s="53">
        <f t="array" ref="K27">IF(H27="","",IF(I27="",Start_Adj,IFERROR(_xlfn.WORKDAY.INTL(INDEX($T$6:T26,MATCH(I27,$B$6:B26,0)),1+N(J27),Weekend_Pattern,Holidays),"Sai mã CV")))</f>
        <v>46357</v>
      </c>
      <c r="L27" s="53">
        <f>IF(ISNUMBER(K27),_xlfn.WORKDAY.INTL(K27,H27-1,Weekend_Pattern,Holidays),"")</f>
        <v>46371</v>
      </c>
      <c r="M27" s="54">
        <v>1450000.0</v>
      </c>
      <c r="N27" s="55">
        <f t="shared" si="11"/>
        <v>217500000</v>
      </c>
      <c r="O27" s="56">
        <v>0.0</v>
      </c>
      <c r="P27" s="57">
        <f>IF(ISNUMBER(L27),IF(Report_Date&lt;K27,0,IF(Report_Date&gt;=L27,1,_xlfn.NETWORKDAYS.INTL(K27,Report_Date,Weekend_Pattern,Holidays)/H27)),"")</f>
        <v>0</v>
      </c>
      <c r="Q27" s="58">
        <f t="shared" si="2"/>
        <v>0</v>
      </c>
      <c r="R27" s="59" t="str">
        <f>IF(NOT(ISNUMBER(K27)),"",IF(N(O27)&gt;=1,"Hoàn thành",IF(AND(Report_Date&lt;K27,N(O27)=0),"Chưa bắt đầu",IF(Report_Date&gt;L27,"Quá hạn",IF(N(O27)+0.005&lt;P27,"Chậm tiến độ","Đúng tiến độ")))))</f>
        <v>Chưa bắt đầu</v>
      </c>
      <c r="S27" s="60"/>
      <c r="T27" s="44">
        <f t="shared" si="12"/>
        <v>46371</v>
      </c>
      <c r="U27" s="44" t="str">
        <f t="shared" si="3"/>
        <v/>
      </c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</row>
    <row r="28" ht="21.75" customHeight="1">
      <c r="A28" s="38" t="s">
        <v>215</v>
      </c>
      <c r="B28" s="38" t="s">
        <v>216</v>
      </c>
      <c r="C28" s="20" t="s">
        <v>217</v>
      </c>
      <c r="D28" s="39"/>
      <c r="E28" s="39"/>
      <c r="F28" s="39"/>
      <c r="G28" s="39"/>
      <c r="H28" s="40">
        <f>_xlfn.NETWORKDAYS.INTL(K28,L28,Weekend_Pattern,Holidays)</f>
        <v>16</v>
      </c>
      <c r="I28" s="39"/>
      <c r="J28" s="39"/>
      <c r="K28" s="19">
        <f>MIN(K29:K32)</f>
        <v>46372</v>
      </c>
      <c r="L28" s="19">
        <f>MAX(L29:L32)</f>
        <v>46394</v>
      </c>
      <c r="M28" s="39"/>
      <c r="N28" s="41">
        <f>SUM(N29:N32)</f>
        <v>250450000</v>
      </c>
      <c r="O28" s="42">
        <f>IFERROR(SUMPRODUCT(N29:N32,O29:O32)/N28,0)</f>
        <v>0</v>
      </c>
      <c r="P28" s="42">
        <f>IFERROR(SUMPRODUCT(N29:N32,P29:P32)/N28,0)</f>
        <v>0</v>
      </c>
      <c r="Q28" s="43">
        <f t="shared" si="2"/>
        <v>0</v>
      </c>
      <c r="R28" s="38" t="str">
        <f>IF(NOT(ISNUMBER(K28)),"",IF(N(O28)&gt;=1,"Hoàn thành",IF(AND(Report_Date&lt;K28,N(O28)=0),"Chưa bắt đầu",IF(Report_Date&gt;L28,"Quá hạn",IF(N(O28)+0.005&lt;P28,"Chậm tiến độ","Đúng tiến độ")))))</f>
        <v>Chưa bắt đầu</v>
      </c>
      <c r="S28" s="39"/>
      <c r="U28" s="44" t="str">
        <f t="shared" si="3"/>
        <v/>
      </c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</row>
    <row r="29" ht="19.5" customHeight="1">
      <c r="A29" s="23">
        <v>1.0</v>
      </c>
      <c r="B29" s="46" t="s">
        <v>218</v>
      </c>
      <c r="C29" s="47" t="s">
        <v>219</v>
      </c>
      <c r="D29" s="48" t="s">
        <v>220</v>
      </c>
      <c r="E29" s="49">
        <v>900.0</v>
      </c>
      <c r="F29" s="50">
        <v>8.0</v>
      </c>
      <c r="G29" s="51">
        <v>25.0</v>
      </c>
      <c r="H29" s="52">
        <f t="shared" ref="H29:H32" si="13">IF(OR(E29="",F29="",G29=""),"",MAX(1,ROUNDUP(E29/(F29*G29),0)))</f>
        <v>5</v>
      </c>
      <c r="I29" s="48" t="s">
        <v>213</v>
      </c>
      <c r="J29" s="50">
        <v>0.0</v>
      </c>
      <c r="K29" s="53">
        <f t="array" ref="K29">IF(H29="","",IF(I29="",Start_Adj,IFERROR(_xlfn.WORKDAY.INTL(INDEX($T$6:T28,MATCH(I29,$B$6:B28,0)),1+N(J29),Weekend_Pattern,Holidays),"Sai mã CV")))</f>
        <v>46372</v>
      </c>
      <c r="L29" s="53">
        <f>IF(ISNUMBER(K29),_xlfn.WORKDAY.INTL(K29,H29-1,Weekend_Pattern,Holidays),"")</f>
        <v>46378</v>
      </c>
      <c r="M29" s="54">
        <v>55000.0</v>
      </c>
      <c r="N29" s="55">
        <f t="shared" ref="N29:N32" si="14">IF(OR(E29="",M29=""),"",E29*M29)</f>
        <v>49500000</v>
      </c>
      <c r="O29" s="56">
        <v>0.0</v>
      </c>
      <c r="P29" s="57">
        <f>IF(ISNUMBER(L29),IF(Report_Date&lt;K29,0,IF(Report_Date&gt;=L29,1,_xlfn.NETWORKDAYS.INTL(K29,Report_Date,Weekend_Pattern,Holidays)/H29)),"")</f>
        <v>0</v>
      </c>
      <c r="Q29" s="58">
        <f t="shared" si="2"/>
        <v>0</v>
      </c>
      <c r="R29" s="59" t="str">
        <f>IF(NOT(ISNUMBER(K29)),"",IF(N(O29)&gt;=1,"Hoàn thành",IF(AND(Report_Date&lt;K29,N(O29)=0),"Chưa bắt đầu",IF(Report_Date&gt;L29,"Quá hạn",IF(N(O29)+0.005&lt;P29,"Chậm tiến độ","Đúng tiến độ")))))</f>
        <v>Chưa bắt đầu</v>
      </c>
      <c r="S29" s="60"/>
      <c r="T29" s="44">
        <f t="shared" ref="T29:T32" si="15">IF(ISNUMBER(L29),L29,"")</f>
        <v>46378</v>
      </c>
      <c r="U29" s="44" t="str">
        <f t="shared" si="3"/>
        <v/>
      </c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</row>
    <row r="30" ht="19.5" customHeight="1">
      <c r="A30" s="23">
        <v>2.0</v>
      </c>
      <c r="B30" s="46" t="s">
        <v>221</v>
      </c>
      <c r="C30" s="47" t="s">
        <v>222</v>
      </c>
      <c r="D30" s="48" t="s">
        <v>136</v>
      </c>
      <c r="E30" s="49">
        <v>1450.0</v>
      </c>
      <c r="F30" s="50">
        <v>16.0</v>
      </c>
      <c r="G30" s="51">
        <v>12.0</v>
      </c>
      <c r="H30" s="52">
        <f t="shared" si="13"/>
        <v>8</v>
      </c>
      <c r="I30" s="48" t="s">
        <v>218</v>
      </c>
      <c r="J30" s="50">
        <v>0.0</v>
      </c>
      <c r="K30" s="53">
        <f t="array" ref="K30">IF(H30="","",IF(I30="",Start_Adj,IFERROR(_xlfn.WORKDAY.INTL(INDEX($T$6:T29,MATCH(I30,$B$6:B29,0)),1+N(J30),Weekend_Pattern,Holidays),"Sai mã CV")))</f>
        <v>46379</v>
      </c>
      <c r="L30" s="53">
        <f>IF(ISNUMBER(K30),_xlfn.WORKDAY.INTL(K30,H30-1,Weekend_Pattern,Holidays),"")</f>
        <v>46391</v>
      </c>
      <c r="M30" s="54">
        <v>95000.0</v>
      </c>
      <c r="N30" s="55">
        <f t="shared" si="14"/>
        <v>137750000</v>
      </c>
      <c r="O30" s="56">
        <v>0.0</v>
      </c>
      <c r="P30" s="57">
        <f>IF(ISNUMBER(L30),IF(Report_Date&lt;K30,0,IF(Report_Date&gt;=L30,1,_xlfn.NETWORKDAYS.INTL(K30,Report_Date,Weekend_Pattern,Holidays)/H30)),"")</f>
        <v>0</v>
      </c>
      <c r="Q30" s="58">
        <f t="shared" si="2"/>
        <v>0</v>
      </c>
      <c r="R30" s="59" t="str">
        <f>IF(NOT(ISNUMBER(K30)),"",IF(N(O30)&gt;=1,"Hoàn thành",IF(AND(Report_Date&lt;K30,N(O30)=0),"Chưa bắt đầu",IF(Report_Date&gt;L30,"Quá hạn",IF(N(O30)+0.005&lt;P30,"Chậm tiến độ","Đúng tiến độ")))))</f>
        <v>Chưa bắt đầu</v>
      </c>
      <c r="S30" s="60"/>
      <c r="T30" s="44">
        <f t="shared" si="15"/>
        <v>46391</v>
      </c>
      <c r="U30" s="44" t="str">
        <f t="shared" si="3"/>
        <v/>
      </c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</row>
    <row r="31" ht="19.5" customHeight="1">
      <c r="A31" s="23">
        <v>3.0</v>
      </c>
      <c r="B31" s="46" t="s">
        <v>223</v>
      </c>
      <c r="C31" s="47" t="s">
        <v>224</v>
      </c>
      <c r="D31" s="48" t="s">
        <v>136</v>
      </c>
      <c r="E31" s="49">
        <v>180.0</v>
      </c>
      <c r="F31" s="50">
        <v>6.0</v>
      </c>
      <c r="G31" s="51">
        <v>20.0</v>
      </c>
      <c r="H31" s="52">
        <f t="shared" si="13"/>
        <v>2</v>
      </c>
      <c r="I31" s="48" t="s">
        <v>211</v>
      </c>
      <c r="J31" s="50">
        <v>7.0</v>
      </c>
      <c r="K31" s="53">
        <f t="array" ref="K31">IF(H31="","",IF(I31="",Start_Adj,IFERROR(_xlfn.WORKDAY.INTL(INDEX($T$6:T30,MATCH(I31,$B$6:B30,0)),1+N(J31),Weekend_Pattern,Holidays),"Sai mã CV")))</f>
        <v>46393</v>
      </c>
      <c r="L31" s="53">
        <f>IF(ISNUMBER(K31),_xlfn.WORKDAY.INTL(K31,H31-1,Weekend_Pattern,Holidays),"")</f>
        <v>46394</v>
      </c>
      <c r="M31" s="54">
        <v>110000.0</v>
      </c>
      <c r="N31" s="55">
        <f t="shared" si="14"/>
        <v>19800000</v>
      </c>
      <c r="O31" s="56">
        <v>0.0</v>
      </c>
      <c r="P31" s="57">
        <f>IF(ISNUMBER(L31),IF(Report_Date&lt;K31,0,IF(Report_Date&gt;=L31,1,_xlfn.NETWORKDAYS.INTL(K31,Report_Date,Weekend_Pattern,Holidays)/H31)),"")</f>
        <v>0</v>
      </c>
      <c r="Q31" s="58">
        <f t="shared" si="2"/>
        <v>0</v>
      </c>
      <c r="R31" s="59" t="str">
        <f>IF(NOT(ISNUMBER(K31)),"",IF(N(O31)&gt;=1,"Hoàn thành",IF(AND(Report_Date&lt;K31,N(O31)=0),"Chưa bắt đầu",IF(Report_Date&gt;L31,"Quá hạn",IF(N(O31)+0.005&lt;P31,"Chậm tiến độ","Đúng tiến độ")))))</f>
        <v>Chưa bắt đầu</v>
      </c>
      <c r="S31" s="60" t="s">
        <v>225</v>
      </c>
      <c r="T31" s="44">
        <f t="shared" si="15"/>
        <v>46394</v>
      </c>
      <c r="U31" s="44" t="str">
        <f t="shared" si="3"/>
        <v/>
      </c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</row>
    <row r="32" ht="19.5" customHeight="1">
      <c r="A32" s="23">
        <v>4.0</v>
      </c>
      <c r="B32" s="46" t="s">
        <v>226</v>
      </c>
      <c r="C32" s="47" t="s">
        <v>227</v>
      </c>
      <c r="D32" s="48" t="s">
        <v>136</v>
      </c>
      <c r="E32" s="49">
        <v>620.0</v>
      </c>
      <c r="F32" s="50">
        <v>10.0</v>
      </c>
      <c r="G32" s="51">
        <v>25.0</v>
      </c>
      <c r="H32" s="52">
        <f t="shared" si="13"/>
        <v>3</v>
      </c>
      <c r="I32" s="48" t="s">
        <v>221</v>
      </c>
      <c r="J32" s="50">
        <v>0.0</v>
      </c>
      <c r="K32" s="53">
        <f t="array" ref="K32">IF(H32="","",IF(I32="",Start_Adj,IFERROR(_xlfn.WORKDAY.INTL(INDEX($T$6:T31,MATCH(I32,$B$6:B31,0)),1+N(J32),Weekend_Pattern,Holidays),"Sai mã CV")))</f>
        <v>46392</v>
      </c>
      <c r="L32" s="53">
        <f>IF(ISNUMBER(K32),_xlfn.WORKDAY.INTL(K32,H32-1,Weekend_Pattern,Holidays),"")</f>
        <v>46394</v>
      </c>
      <c r="M32" s="54">
        <v>70000.0</v>
      </c>
      <c r="N32" s="55">
        <f t="shared" si="14"/>
        <v>43400000</v>
      </c>
      <c r="O32" s="56">
        <v>0.0</v>
      </c>
      <c r="P32" s="57">
        <f>IF(ISNUMBER(L32),IF(Report_Date&lt;K32,0,IF(Report_Date&gt;=L32,1,_xlfn.NETWORKDAYS.INTL(K32,Report_Date,Weekend_Pattern,Holidays)/H32)),"")</f>
        <v>0</v>
      </c>
      <c r="Q32" s="58">
        <f t="shared" si="2"/>
        <v>0</v>
      </c>
      <c r="R32" s="59" t="str">
        <f>IF(NOT(ISNUMBER(K32)),"",IF(N(O32)&gt;=1,"Hoàn thành",IF(AND(Report_Date&lt;K32,N(O32)=0),"Chưa bắt đầu",IF(Report_Date&gt;L32,"Quá hạn",IF(N(O32)+0.005&lt;P32,"Chậm tiến độ","Đúng tiến độ")))))</f>
        <v>Chưa bắt đầu</v>
      </c>
      <c r="S32" s="60"/>
      <c r="T32" s="44">
        <f t="shared" si="15"/>
        <v>46394</v>
      </c>
      <c r="U32" s="44" t="str">
        <f t="shared" si="3"/>
        <v/>
      </c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</row>
    <row r="33" ht="21.75" customHeight="1">
      <c r="A33" s="38" t="s">
        <v>228</v>
      </c>
      <c r="B33" s="38" t="s">
        <v>229</v>
      </c>
      <c r="C33" s="20" t="s">
        <v>230</v>
      </c>
      <c r="D33" s="39"/>
      <c r="E33" s="39"/>
      <c r="F33" s="39"/>
      <c r="G33" s="39"/>
      <c r="H33" s="40">
        <f>_xlfn.NETWORKDAYS.INTL(K33,L33,Weekend_Pattern,Holidays)</f>
        <v>24</v>
      </c>
      <c r="I33" s="39"/>
      <c r="J33" s="39"/>
      <c r="K33" s="19">
        <f>MIN(K34:K38)</f>
        <v>46392</v>
      </c>
      <c r="L33" s="19">
        <f>MAX(L34:L38)</f>
        <v>46423</v>
      </c>
      <c r="M33" s="39"/>
      <c r="N33" s="41">
        <f>SUM(N34:N38)</f>
        <v>615250000</v>
      </c>
      <c r="O33" s="42">
        <f>IFERROR(SUMPRODUCT(N34:N38,O34:O38)/N33,0)</f>
        <v>0</v>
      </c>
      <c r="P33" s="42">
        <f>IFERROR(SUMPRODUCT(N34:N38,P34:P38)/N33,0)</f>
        <v>0</v>
      </c>
      <c r="Q33" s="43">
        <f t="shared" si="2"/>
        <v>0</v>
      </c>
      <c r="R33" s="38" t="str">
        <f>IF(NOT(ISNUMBER(K33)),"",IF(N(O33)&gt;=1,"Hoàn thành",IF(AND(Report_Date&lt;K33,N(O33)=0),"Chưa bắt đầu",IF(Report_Date&gt;L33,"Quá hạn",IF(N(O33)+0.005&lt;P33,"Chậm tiến độ","Đúng tiến độ")))))</f>
        <v>Chưa bắt đầu</v>
      </c>
      <c r="S33" s="39"/>
      <c r="U33" s="44" t="str">
        <f t="shared" si="3"/>
        <v/>
      </c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</row>
    <row r="34" ht="19.5" customHeight="1">
      <c r="A34" s="23">
        <v>1.0</v>
      </c>
      <c r="B34" s="46" t="s">
        <v>231</v>
      </c>
      <c r="C34" s="47" t="s">
        <v>232</v>
      </c>
      <c r="D34" s="48" t="s">
        <v>136</v>
      </c>
      <c r="E34" s="49">
        <v>700.0</v>
      </c>
      <c r="F34" s="50">
        <v>12.0</v>
      </c>
      <c r="G34" s="51">
        <v>10.0</v>
      </c>
      <c r="H34" s="52">
        <f t="shared" ref="H34:H38" si="16">IF(OR(E34="",F34="",G34=""),"",MAX(1,ROUNDUP(E34/(F34*G34),0)))</f>
        <v>6</v>
      </c>
      <c r="I34" s="48" t="s">
        <v>226</v>
      </c>
      <c r="J34" s="50">
        <v>2.0</v>
      </c>
      <c r="K34" s="53">
        <f t="array" ref="K34">IF(H34="","",IF(I34="",Start_Adj,IFERROR(_xlfn.WORKDAY.INTL(INDEX($T$6:T33,MATCH(I34,$B$6:B33,0)),1+N(J34),Weekend_Pattern,Holidays),"Sai mã CV")))</f>
        <v>46399</v>
      </c>
      <c r="L34" s="53">
        <f>IF(ISNUMBER(K34),_xlfn.WORKDAY.INTL(K34,H34-1,Weekend_Pattern,Holidays),"")</f>
        <v>46406</v>
      </c>
      <c r="M34" s="54">
        <v>280000.0</v>
      </c>
      <c r="N34" s="55">
        <f t="shared" ref="N34:N38" si="17">IF(OR(E34="",M34=""),"",E34*M34)</f>
        <v>196000000</v>
      </c>
      <c r="O34" s="56">
        <v>0.0</v>
      </c>
      <c r="P34" s="57">
        <f>IF(ISNUMBER(L34),IF(Report_Date&lt;K34,0,IF(Report_Date&gt;=L34,1,_xlfn.NETWORKDAYS.INTL(K34,Report_Date,Weekend_Pattern,Holidays)/H34)),"")</f>
        <v>0</v>
      </c>
      <c r="Q34" s="58">
        <f t="shared" si="2"/>
        <v>0</v>
      </c>
      <c r="R34" s="59" t="str">
        <f>IF(NOT(ISNUMBER(K34)),"",IF(N(O34)&gt;=1,"Hoàn thành",IF(AND(Report_Date&lt;K34,N(O34)=0),"Chưa bắt đầu",IF(Report_Date&gt;L34,"Quá hạn",IF(N(O34)+0.005&lt;P34,"Chậm tiến độ","Đúng tiến độ")))))</f>
        <v>Chưa bắt đầu</v>
      </c>
      <c r="S34" s="60"/>
      <c r="T34" s="44">
        <f t="shared" ref="T34:T38" si="18">IF(ISNUMBER(L34),L34,"")</f>
        <v>46406</v>
      </c>
      <c r="U34" s="44" t="str">
        <f t="shared" si="3"/>
        <v/>
      </c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</row>
    <row r="35" ht="19.5" customHeight="1">
      <c r="A35" s="23">
        <v>2.0</v>
      </c>
      <c r="B35" s="46" t="s">
        <v>233</v>
      </c>
      <c r="C35" s="47" t="s">
        <v>234</v>
      </c>
      <c r="D35" s="48" t="s">
        <v>136</v>
      </c>
      <c r="E35" s="49">
        <v>95.0</v>
      </c>
      <c r="F35" s="50">
        <v>6.0</v>
      </c>
      <c r="G35" s="51">
        <v>8.0</v>
      </c>
      <c r="H35" s="52">
        <f t="shared" si="16"/>
        <v>2</v>
      </c>
      <c r="I35" s="48" t="s">
        <v>221</v>
      </c>
      <c r="J35" s="50">
        <v>0.0</v>
      </c>
      <c r="K35" s="53">
        <f t="array" ref="K35">IF(H35="","",IF(I35="",Start_Adj,IFERROR(_xlfn.WORKDAY.INTL(INDEX($T$6:T34,MATCH(I35,$B$6:B34,0)),1+N(J35),Weekend_Pattern,Holidays),"Sai mã CV")))</f>
        <v>46392</v>
      </c>
      <c r="L35" s="53">
        <f>IF(ISNUMBER(K35),_xlfn.WORKDAY.INTL(K35,H35-1,Weekend_Pattern,Holidays),"")</f>
        <v>46393</v>
      </c>
      <c r="M35" s="54">
        <v>1650000.0</v>
      </c>
      <c r="N35" s="55">
        <f t="shared" si="17"/>
        <v>156750000</v>
      </c>
      <c r="O35" s="56">
        <v>0.0</v>
      </c>
      <c r="P35" s="57">
        <f>IF(ISNUMBER(L35),IF(Report_Date&lt;K35,0,IF(Report_Date&gt;=L35,1,_xlfn.NETWORKDAYS.INTL(K35,Report_Date,Weekend_Pattern,Holidays)/H35)),"")</f>
        <v>0</v>
      </c>
      <c r="Q35" s="58">
        <f t="shared" si="2"/>
        <v>0</v>
      </c>
      <c r="R35" s="59" t="str">
        <f>IF(NOT(ISNUMBER(K35)),"",IF(N(O35)&gt;=1,"Hoàn thành",IF(AND(Report_Date&lt;K35,N(O35)=0),"Chưa bắt đầu",IF(Report_Date&gt;L35,"Quá hạn",IF(N(O35)+0.005&lt;P35,"Chậm tiến độ","Đúng tiến độ")))))</f>
        <v>Chưa bắt đầu</v>
      </c>
      <c r="S35" s="60"/>
      <c r="T35" s="44">
        <f t="shared" si="18"/>
        <v>46393</v>
      </c>
      <c r="U35" s="44" t="str">
        <f t="shared" si="3"/>
        <v/>
      </c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</row>
    <row r="36" ht="19.5" customHeight="1">
      <c r="A36" s="23">
        <v>3.0</v>
      </c>
      <c r="B36" s="46" t="s">
        <v>235</v>
      </c>
      <c r="C36" s="47" t="s">
        <v>236</v>
      </c>
      <c r="D36" s="48" t="s">
        <v>136</v>
      </c>
      <c r="E36" s="49">
        <v>2100.0</v>
      </c>
      <c r="F36" s="50">
        <v>14.0</v>
      </c>
      <c r="G36" s="51">
        <v>18.0</v>
      </c>
      <c r="H36" s="52">
        <f t="shared" si="16"/>
        <v>9</v>
      </c>
      <c r="I36" s="48" t="s">
        <v>231</v>
      </c>
      <c r="J36" s="50">
        <v>0.0</v>
      </c>
      <c r="K36" s="53">
        <f t="array" ref="K36">IF(H36="","",IF(I36="",Start_Adj,IFERROR(_xlfn.WORKDAY.INTL(INDEX($T$6:T35,MATCH(I36,$B$6:B35,0)),1+N(J36),Weekend_Pattern,Holidays),"Sai mã CV")))</f>
        <v>46407</v>
      </c>
      <c r="L36" s="53">
        <f>IF(ISNUMBER(K36),_xlfn.WORKDAY.INTL(K36,H36-1,Weekend_Pattern,Holidays),"")</f>
        <v>46419</v>
      </c>
      <c r="M36" s="54">
        <v>85000.0</v>
      </c>
      <c r="N36" s="55">
        <f t="shared" si="17"/>
        <v>178500000</v>
      </c>
      <c r="O36" s="56">
        <v>0.0</v>
      </c>
      <c r="P36" s="57">
        <f>IF(ISNUMBER(L36),IF(Report_Date&lt;K36,0,IF(Report_Date&gt;=L36,1,_xlfn.NETWORKDAYS.INTL(K36,Report_Date,Weekend_Pattern,Holidays)/H36)),"")</f>
        <v>0</v>
      </c>
      <c r="Q36" s="58">
        <f t="shared" si="2"/>
        <v>0</v>
      </c>
      <c r="R36" s="59" t="str">
        <f>IF(NOT(ISNUMBER(K36)),"",IF(N(O36)&gt;=1,"Hoàn thành",IF(AND(Report_Date&lt;K36,N(O36)=0),"Chưa bắt đầu",IF(Report_Date&gt;L36,"Quá hạn",IF(N(O36)+0.005&lt;P36,"Chậm tiến độ","Đúng tiến độ")))))</f>
        <v>Chưa bắt đầu</v>
      </c>
      <c r="S36" s="60"/>
      <c r="T36" s="44">
        <f t="shared" si="18"/>
        <v>46419</v>
      </c>
      <c r="U36" s="44" t="str">
        <f t="shared" si="3"/>
        <v/>
      </c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</row>
    <row r="37" ht="19.5" customHeight="1">
      <c r="A37" s="23">
        <v>4.0</v>
      </c>
      <c r="B37" s="46" t="s">
        <v>237</v>
      </c>
      <c r="C37" s="47" t="s">
        <v>238</v>
      </c>
      <c r="D37" s="48" t="s">
        <v>239</v>
      </c>
      <c r="E37" s="49">
        <v>120.0</v>
      </c>
      <c r="F37" s="50">
        <v>4.0</v>
      </c>
      <c r="G37" s="51">
        <v>8.0</v>
      </c>
      <c r="H37" s="52">
        <f t="shared" si="16"/>
        <v>4</v>
      </c>
      <c r="I37" s="48" t="s">
        <v>235</v>
      </c>
      <c r="J37" s="50">
        <v>0.0</v>
      </c>
      <c r="K37" s="53">
        <f t="array" ref="K37">IF(H37="","",IF(I37="",Start_Adj,IFERROR(_xlfn.WORKDAY.INTL(INDEX($T$6:T36,MATCH(I37,$B$6:B36,0)),1+N(J37),Weekend_Pattern,Holidays),"Sai mã CV")))</f>
        <v>46420</v>
      </c>
      <c r="L37" s="53">
        <f>IF(ISNUMBER(K37),_xlfn.WORKDAY.INTL(K37,H37-1,Weekend_Pattern,Holidays),"")</f>
        <v>46423</v>
      </c>
      <c r="M37" s="54">
        <v>250000.0</v>
      </c>
      <c r="N37" s="55">
        <f t="shared" si="17"/>
        <v>30000000</v>
      </c>
      <c r="O37" s="56">
        <v>0.0</v>
      </c>
      <c r="P37" s="57">
        <f>IF(ISNUMBER(L37),IF(Report_Date&lt;K37,0,IF(Report_Date&gt;=L37,1,_xlfn.NETWORKDAYS.INTL(K37,Report_Date,Weekend_Pattern,Holidays)/H37)),"")</f>
        <v>0</v>
      </c>
      <c r="Q37" s="58">
        <f t="shared" si="2"/>
        <v>0</v>
      </c>
      <c r="R37" s="59" t="str">
        <f>IF(NOT(ISNUMBER(K37)),"",IF(N(O37)&gt;=1,"Hoàn thành",IF(AND(Report_Date&lt;K37,N(O37)=0),"Chưa bắt đầu",IF(Report_Date&gt;L37,"Quá hạn",IF(N(O37)+0.005&lt;P37,"Chậm tiến độ","Đúng tiến độ")))))</f>
        <v>Chưa bắt đầu</v>
      </c>
      <c r="S37" s="60"/>
      <c r="T37" s="44">
        <f t="shared" si="18"/>
        <v>46423</v>
      </c>
      <c r="U37" s="44" t="str">
        <f t="shared" si="3"/>
        <v/>
      </c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</row>
    <row r="38" ht="19.5" customHeight="1">
      <c r="A38" s="23">
        <v>5.0</v>
      </c>
      <c r="B38" s="46" t="s">
        <v>240</v>
      </c>
      <c r="C38" s="47" t="s">
        <v>241</v>
      </c>
      <c r="D38" s="48" t="s">
        <v>242</v>
      </c>
      <c r="E38" s="49">
        <v>12.0</v>
      </c>
      <c r="F38" s="50">
        <v>3.0</v>
      </c>
      <c r="G38" s="51">
        <v>2.0</v>
      </c>
      <c r="H38" s="52">
        <f t="shared" si="16"/>
        <v>2</v>
      </c>
      <c r="I38" s="48" t="s">
        <v>235</v>
      </c>
      <c r="J38" s="50">
        <v>0.0</v>
      </c>
      <c r="K38" s="53">
        <f t="array" ref="K38">IF(H38="","",IF(I38="",Start_Adj,IFERROR(_xlfn.WORKDAY.INTL(INDEX($T$6:T37,MATCH(I38,$B$6:B37,0)),1+N(J38),Weekend_Pattern,Holidays),"Sai mã CV")))</f>
        <v>46420</v>
      </c>
      <c r="L38" s="53">
        <f>IF(ISNUMBER(K38),_xlfn.WORKDAY.INTL(K38,H38-1,Weekend_Pattern,Holidays),"")</f>
        <v>46421</v>
      </c>
      <c r="M38" s="54">
        <v>4500000.0</v>
      </c>
      <c r="N38" s="55">
        <f t="shared" si="17"/>
        <v>54000000</v>
      </c>
      <c r="O38" s="56">
        <v>0.0</v>
      </c>
      <c r="P38" s="57">
        <f>IF(ISNUMBER(L38),IF(Report_Date&lt;K38,0,IF(Report_Date&gt;=L38,1,_xlfn.NETWORKDAYS.INTL(K38,Report_Date,Weekend_Pattern,Holidays)/H38)),"")</f>
        <v>0</v>
      </c>
      <c r="Q38" s="58">
        <f t="shared" si="2"/>
        <v>0</v>
      </c>
      <c r="R38" s="59" t="str">
        <f>IF(NOT(ISNUMBER(K38)),"",IF(N(O38)&gt;=1,"Hoàn thành",IF(AND(Report_Date&lt;K38,N(O38)=0),"Chưa bắt đầu",IF(Report_Date&gt;L38,"Quá hạn",IF(N(O38)+0.005&lt;P38,"Chậm tiến độ","Đúng tiến độ")))))</f>
        <v>Chưa bắt đầu</v>
      </c>
      <c r="S38" s="60"/>
      <c r="T38" s="44">
        <f t="shared" si="18"/>
        <v>46421</v>
      </c>
      <c r="U38" s="44" t="str">
        <f t="shared" si="3"/>
        <v/>
      </c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</row>
    <row r="39" ht="21.75" customHeight="1">
      <c r="A39" s="38" t="s">
        <v>243</v>
      </c>
      <c r="B39" s="38" t="s">
        <v>244</v>
      </c>
      <c r="C39" s="20" t="s">
        <v>245</v>
      </c>
      <c r="D39" s="39"/>
      <c r="E39" s="39"/>
      <c r="F39" s="39"/>
      <c r="G39" s="39"/>
      <c r="H39" s="40">
        <f>_xlfn.NETWORKDAYS.INTL(K39,L39,Weekend_Pattern,Holidays)</f>
        <v>4</v>
      </c>
      <c r="I39" s="39"/>
      <c r="J39" s="39"/>
      <c r="K39" s="19">
        <f>MIN(K40:K41)</f>
        <v>46426</v>
      </c>
      <c r="L39" s="19">
        <f>MAX(L40:L41)</f>
        <v>46429</v>
      </c>
      <c r="M39" s="39"/>
      <c r="N39" s="41">
        <f>SUM(N40:N41)</f>
        <v>30500000</v>
      </c>
      <c r="O39" s="42">
        <f>IFERROR(SUMPRODUCT(N40:N41,O40:O41)/N39,0)</f>
        <v>0</v>
      </c>
      <c r="P39" s="42">
        <f>IFERROR(SUMPRODUCT(N40:N41,P40:P41)/N39,0)</f>
        <v>0</v>
      </c>
      <c r="Q39" s="43">
        <f t="shared" si="2"/>
        <v>0</v>
      </c>
      <c r="R39" s="38" t="str">
        <f>IF(NOT(ISNUMBER(K39)),"",IF(N(O39)&gt;=1,"Hoàn thành",IF(AND(Report_Date&lt;K39,N(O39)=0),"Chưa bắt đầu",IF(Report_Date&gt;L39,"Quá hạn",IF(N(O39)+0.005&lt;P39,"Chậm tiến độ","Đúng tiến độ")))))</f>
        <v>Chưa bắt đầu</v>
      </c>
      <c r="S39" s="39"/>
      <c r="U39" s="44" t="str">
        <f t="shared" si="3"/>
        <v/>
      </c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</row>
    <row r="40" ht="19.5" customHeight="1">
      <c r="A40" s="23">
        <v>1.0</v>
      </c>
      <c r="B40" s="46" t="s">
        <v>246</v>
      </c>
      <c r="C40" s="47" t="s">
        <v>247</v>
      </c>
      <c r="D40" s="48" t="s">
        <v>136</v>
      </c>
      <c r="E40" s="49">
        <v>620.0</v>
      </c>
      <c r="F40" s="50">
        <v>8.0</v>
      </c>
      <c r="G40" s="51">
        <v>40.0</v>
      </c>
      <c r="H40" s="52">
        <f t="shared" ref="H40:H41" si="19">IF(OR(E40="",F40="",G40=""),"",MAX(1,ROUNDUP(E40/(F40*G40),0)))</f>
        <v>2</v>
      </c>
      <c r="I40" s="48" t="s">
        <v>237</v>
      </c>
      <c r="J40" s="50">
        <v>0.0</v>
      </c>
      <c r="K40" s="53">
        <f t="array" ref="K40">IF(H40="","",IF(I40="",Start_Adj,IFERROR(_xlfn.WORKDAY.INTL(INDEX($T$6:T39,MATCH(I40,$B$6:B39,0)),1+N(J40),Weekend_Pattern,Holidays),"Sai mã CV")))</f>
        <v>46426</v>
      </c>
      <c r="L40" s="53">
        <f>IF(ISNUMBER(K40),_xlfn.WORKDAY.INTL(K40,H40-1,Weekend_Pattern,Holidays),"")</f>
        <v>46427</v>
      </c>
      <c r="M40" s="54">
        <v>25000.0</v>
      </c>
      <c r="N40" s="55">
        <f t="shared" ref="N40:N41" si="20">IF(OR(E40="",M40=""),"",E40*M40)</f>
        <v>15500000</v>
      </c>
      <c r="O40" s="56">
        <v>0.0</v>
      </c>
      <c r="P40" s="57">
        <f>IF(ISNUMBER(L40),IF(Report_Date&lt;K40,0,IF(Report_Date&gt;=L40,1,_xlfn.NETWORKDAYS.INTL(K40,Report_Date,Weekend_Pattern,Holidays)/H40)),"")</f>
        <v>0</v>
      </c>
      <c r="Q40" s="58">
        <f t="shared" si="2"/>
        <v>0</v>
      </c>
      <c r="R40" s="59" t="str">
        <f>IF(NOT(ISNUMBER(K40)),"",IF(N(O40)&gt;=1,"Hoàn thành",IF(AND(Report_Date&lt;K40,N(O40)=0),"Chưa bắt đầu",IF(Report_Date&gt;L40,"Quá hạn",IF(N(O40)+0.005&lt;P40,"Chậm tiến độ","Đúng tiến độ")))))</f>
        <v>Chưa bắt đầu</v>
      </c>
      <c r="S40" s="60"/>
      <c r="T40" s="44">
        <f t="shared" ref="T40:T41" si="21">IF(ISNUMBER(L40),L40,"")</f>
        <v>46427</v>
      </c>
      <c r="U40" s="44" t="str">
        <f t="shared" si="3"/>
        <v/>
      </c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</row>
    <row r="41" ht="19.5" customHeight="1">
      <c r="A41" s="23">
        <v>2.0</v>
      </c>
      <c r="B41" s="46" t="s">
        <v>248</v>
      </c>
      <c r="C41" s="47" t="s">
        <v>249</v>
      </c>
      <c r="D41" s="48" t="s">
        <v>139</v>
      </c>
      <c r="E41" s="49">
        <v>1.0</v>
      </c>
      <c r="F41" s="50">
        <v>4.0</v>
      </c>
      <c r="G41" s="51">
        <v>0.2</v>
      </c>
      <c r="H41" s="52">
        <f t="shared" si="19"/>
        <v>2</v>
      </c>
      <c r="I41" s="48" t="s">
        <v>246</v>
      </c>
      <c r="J41" s="50">
        <v>0.0</v>
      </c>
      <c r="K41" s="53">
        <f t="array" ref="K41">IF(H41="","",IF(I41="",Start_Adj,IFERROR(_xlfn.WORKDAY.INTL(INDEX($T$6:T40,MATCH(I41,$B$6:B40,0)),1+N(J41),Weekend_Pattern,Holidays),"Sai mã CV")))</f>
        <v>46428</v>
      </c>
      <c r="L41" s="53">
        <f>IF(ISNUMBER(K41),_xlfn.WORKDAY.INTL(K41,H41-1,Weekend_Pattern,Holidays),"")</f>
        <v>46429</v>
      </c>
      <c r="M41" s="54">
        <v>1.5E7</v>
      </c>
      <c r="N41" s="55">
        <f t="shared" si="20"/>
        <v>15000000</v>
      </c>
      <c r="O41" s="56">
        <v>0.0</v>
      </c>
      <c r="P41" s="57">
        <f>IF(ISNUMBER(L41),IF(Report_Date&lt;K41,0,IF(Report_Date&gt;=L41,1,_xlfn.NETWORKDAYS.INTL(K41,Report_Date,Weekend_Pattern,Holidays)/H41)),"")</f>
        <v>0</v>
      </c>
      <c r="Q41" s="58">
        <f t="shared" si="2"/>
        <v>0</v>
      </c>
      <c r="R41" s="59" t="str">
        <f>IF(NOT(ISNUMBER(K41)),"",IF(N(O41)&gt;=1,"Hoàn thành",IF(AND(Report_Date&lt;K41,N(O41)=0),"Chưa bắt đầu",IF(Report_Date&gt;L41,"Quá hạn",IF(N(O41)+0.005&lt;P41,"Chậm tiến độ","Đúng tiến độ")))))</f>
        <v>Chưa bắt đầu</v>
      </c>
      <c r="S41" s="60"/>
      <c r="T41" s="44">
        <f t="shared" si="21"/>
        <v>46429</v>
      </c>
      <c r="U41" s="44" t="str">
        <f t="shared" si="3"/>
        <v/>
      </c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</row>
    <row r="42" ht="25.5" customHeight="1">
      <c r="A42" s="97" t="s">
        <v>250</v>
      </c>
      <c r="B42" s="77"/>
      <c r="C42" s="78"/>
      <c r="D42" s="98"/>
      <c r="E42" s="98"/>
      <c r="F42" s="98"/>
      <c r="G42" s="98"/>
      <c r="H42" s="86">
        <f>_xlfn.NETWORKDAYS.INTL(K42,L42,Weekend_Pattern,Holidays)</f>
        <v>93</v>
      </c>
      <c r="I42" s="98"/>
      <c r="J42" s="98"/>
      <c r="K42" s="85">
        <f>MIN(K7,K11,K19,K28,K33,K39)</f>
        <v>46300</v>
      </c>
      <c r="L42" s="85">
        <f>MAX(L7,L11,L19,L28,L33,L39)</f>
        <v>46429</v>
      </c>
      <c r="M42" s="98"/>
      <c r="N42" s="87">
        <f>SUM(N7,N11,N19,N28,N33,N39)</f>
        <v>2574850000</v>
      </c>
      <c r="O42" s="88">
        <f>IFERROR((N7*O7+N11*O11+N19*O19+N28*O28+N33*O33+N39*O39)/N42,0)</f>
        <v>0.1258908286</v>
      </c>
      <c r="P42" s="88">
        <f>IFERROR((N7*P7+N11*P11+N19*P19+N28*P28+N33*P33+N39*P39)/N42,0)</f>
        <v>0.1258908286</v>
      </c>
      <c r="Q42" s="89">
        <f>O42-P42</f>
        <v>0</v>
      </c>
      <c r="R42" s="22" t="str">
        <f>IF(N(O42)&gt;=1,"Hoàn thành",IF(Report_Date&lt;K42,"Chưa bắt đầu",IF(Report_Date&gt;L42,"Quá hạn",IF(O42+0.005&lt;P42,"Chậm tiến độ","Đúng tiến độ"))))</f>
        <v>Đúng tiến độ</v>
      </c>
      <c r="S42" s="98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S1"/>
    <mergeCell ref="A5:H5"/>
    <mergeCell ref="I5:L5"/>
    <mergeCell ref="M5:N5"/>
    <mergeCell ref="O5:R5"/>
    <mergeCell ref="A42:C42"/>
  </mergeCells>
  <conditionalFormatting sqref="V7:AU41">
    <cfRule type="expression" dxfId="2" priority="1">
      <formula>AND(AND(ISNUMBER($K7),ISNUMBER($L7),$K7&lt;=V$6+6,$L7&gt;=V$6),ISTEXT($A7),ISNUMBER($U7),$U7&gt;=V$6)</formula>
    </cfRule>
  </conditionalFormatting>
  <conditionalFormatting sqref="V7:AU41">
    <cfRule type="expression" dxfId="3" priority="2">
      <formula>AND(AND(ISNUMBER($K7),ISNUMBER($L7),$K7&lt;=V$6+6,$L7&gt;=V$6),ISTEXT($A7))</formula>
    </cfRule>
  </conditionalFormatting>
  <conditionalFormatting sqref="V7:AU41">
    <cfRule type="expression" dxfId="4" priority="3">
      <formula>AND(AND(ISNUMBER($K7),ISNUMBER($L7),$K7&lt;=V$6+6,$L7&gt;=V$6),ISNUMBER($U7),$U7&gt;=V$6)</formula>
    </cfRule>
  </conditionalFormatting>
  <conditionalFormatting sqref="V7:AU41">
    <cfRule type="expression" dxfId="5" priority="4">
      <formula>AND(ISNUMBER($K7),ISNUMBER($L7),$K7&lt;=V$6+6,$L7&gt;=V$6)</formula>
    </cfRule>
  </conditionalFormatting>
  <conditionalFormatting sqref="V7:AU41">
    <cfRule type="expression" dxfId="6" priority="5">
      <formula>AND($L$3&gt;=V$6,$L$3&lt;=V$6+6)</formula>
    </cfRule>
  </conditionalFormatting>
  <conditionalFormatting sqref="V5:AU6">
    <cfRule type="expression" dxfId="7" priority="6">
      <formula>AND($L$3&gt;=V$6,$L$3&lt;=V$6+6)</formula>
    </cfRule>
  </conditionalFormatting>
  <conditionalFormatting sqref="R7:R41">
    <cfRule type="expression" dxfId="8" priority="7">
      <formula>$R7="Hoàn thành"</formula>
    </cfRule>
  </conditionalFormatting>
  <conditionalFormatting sqref="R7:R41">
    <cfRule type="expression" dxfId="9" priority="8">
      <formula>OR($R7="Chậm tiến độ",$R7="Quá hạn")</formula>
    </cfRule>
  </conditionalFormatting>
  <conditionalFormatting sqref="R7:R41">
    <cfRule type="expression" dxfId="10" priority="9">
      <formula>$R7="Đúng tiến độ"</formula>
    </cfRule>
  </conditionalFormatting>
  <conditionalFormatting sqref="R7:R41">
    <cfRule type="expression" dxfId="11" priority="10">
      <formula>$R7="Chưa bắt đầu"</formula>
    </cfRule>
  </conditionalFormatting>
  <conditionalFormatting sqref="Q7:Q41">
    <cfRule type="expression" dxfId="1" priority="11">
      <formula>AND(ISNUMBER($Q7),$Q7&lt;-0.005)</formula>
    </cfRule>
  </conditionalFormatting>
  <conditionalFormatting sqref="K7:K41">
    <cfRule type="expression" dxfId="12" priority="12">
      <formula>$K7="Sai mã CV"</formula>
    </cfRule>
  </conditionalFormatting>
  <dataValidations>
    <dataValidation type="decimal" allowBlank="1" showInputMessage="1" showErrorMessage="1" prompt="Sai giá trị - Nhập % hoàn thành từ 0% đến 100%" sqref="O8:O10 O12:O18 O20:O27 O29:O32 O34:O38 O40:O41">
      <formula1>0.0</formula1>
      <formula2>1.0</formula2>
    </dataValidation>
  </dataValidations>
  <printOptions/>
  <pageMargins bottom="1.0" footer="0.0" header="0.0" left="0.75" right="0.75" top="1.0"/>
  <pageSetup fitToHeight="0" paperSize="8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B7280"/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3.0"/>
    <col customWidth="1" min="2" max="2" width="8.0"/>
    <col customWidth="1" min="3" max="3" width="16.0"/>
    <col customWidth="1" min="4" max="4" width="50.0"/>
    <col customWidth="1" min="5" max="26" width="8.57"/>
  </cols>
  <sheetData>
    <row r="1" ht="37.5" customHeight="1">
      <c r="B1" s="1" t="s">
        <v>41</v>
      </c>
      <c r="C1" s="2"/>
      <c r="D1" s="3"/>
    </row>
    <row r="2">
      <c r="B2" s="4" t="s">
        <v>49</v>
      </c>
    </row>
    <row r="4">
      <c r="B4" s="22" t="s">
        <v>55</v>
      </c>
      <c r="C4" s="22" t="s">
        <v>63</v>
      </c>
      <c r="D4" s="22" t="s">
        <v>64</v>
      </c>
    </row>
    <row r="5">
      <c r="B5" s="23">
        <v>1.0</v>
      </c>
      <c r="C5" s="24">
        <v>46388.0</v>
      </c>
      <c r="D5" s="7" t="s">
        <v>77</v>
      </c>
    </row>
    <row r="6">
      <c r="B6" s="23">
        <v>2.0</v>
      </c>
      <c r="C6" s="24"/>
      <c r="D6" s="7"/>
    </row>
    <row r="7">
      <c r="B7" s="23">
        <v>3.0</v>
      </c>
      <c r="C7" s="24"/>
      <c r="D7" s="7"/>
    </row>
    <row r="8">
      <c r="B8" s="23">
        <v>4.0</v>
      </c>
      <c r="C8" s="24"/>
      <c r="D8" s="7"/>
    </row>
    <row r="9">
      <c r="B9" s="23">
        <v>5.0</v>
      </c>
      <c r="C9" s="24"/>
      <c r="D9" s="7"/>
    </row>
    <row r="10">
      <c r="B10" s="23">
        <v>6.0</v>
      </c>
      <c r="C10" s="24"/>
      <c r="D10" s="7"/>
    </row>
    <row r="11">
      <c r="B11" s="23">
        <v>7.0</v>
      </c>
      <c r="C11" s="24"/>
      <c r="D11" s="7"/>
    </row>
    <row r="12">
      <c r="B12" s="23">
        <v>8.0</v>
      </c>
      <c r="C12" s="24"/>
      <c r="D12" s="7"/>
    </row>
    <row r="13">
      <c r="B13" s="23">
        <v>9.0</v>
      </c>
      <c r="C13" s="24"/>
      <c r="D13" s="7"/>
    </row>
    <row r="14">
      <c r="B14" s="23">
        <v>10.0</v>
      </c>
      <c r="C14" s="24"/>
      <c r="D14" s="7"/>
    </row>
    <row r="15">
      <c r="B15" s="23">
        <v>11.0</v>
      </c>
      <c r="C15" s="24"/>
      <c r="D15" s="7"/>
    </row>
    <row r="16">
      <c r="B16" s="23">
        <v>12.0</v>
      </c>
      <c r="C16" s="24"/>
      <c r="D16" s="7"/>
    </row>
    <row r="17">
      <c r="B17" s="23">
        <v>13.0</v>
      </c>
      <c r="C17" s="24"/>
      <c r="D17" s="7"/>
    </row>
    <row r="18">
      <c r="B18" s="23">
        <v>14.0</v>
      </c>
      <c r="C18" s="24"/>
      <c r="D18" s="7"/>
    </row>
    <row r="19">
      <c r="B19" s="23">
        <v>15.0</v>
      </c>
      <c r="C19" s="24"/>
      <c r="D19" s="7"/>
    </row>
    <row r="20">
      <c r="B20" s="23">
        <v>16.0</v>
      </c>
      <c r="C20" s="24"/>
      <c r="D20" s="7"/>
    </row>
    <row r="21" ht="15.75" customHeight="1">
      <c r="B21" s="23">
        <v>17.0</v>
      </c>
      <c r="C21" s="24"/>
      <c r="D21" s="7"/>
    </row>
    <row r="22" ht="15.75" customHeight="1">
      <c r="B22" s="23">
        <v>18.0</v>
      </c>
      <c r="C22" s="24"/>
      <c r="D22" s="7"/>
    </row>
    <row r="23" ht="15.75" customHeight="1">
      <c r="B23" s="23">
        <v>19.0</v>
      </c>
      <c r="C23" s="24"/>
      <c r="D23" s="7"/>
    </row>
    <row r="24" ht="15.75" customHeight="1">
      <c r="B24" s="23">
        <v>20.0</v>
      </c>
      <c r="C24" s="24"/>
      <c r="D24" s="7"/>
    </row>
    <row r="25" ht="15.75" customHeight="1">
      <c r="B25" s="23">
        <v>21.0</v>
      </c>
      <c r="C25" s="24"/>
      <c r="D25" s="7"/>
    </row>
    <row r="26" ht="15.75" customHeight="1">
      <c r="B26" s="23">
        <v>22.0</v>
      </c>
      <c r="C26" s="24"/>
      <c r="D26" s="7"/>
    </row>
    <row r="27" ht="15.75" customHeight="1">
      <c r="B27" s="23">
        <v>23.0</v>
      </c>
      <c r="C27" s="24"/>
      <c r="D27" s="7"/>
    </row>
    <row r="28" ht="15.75" customHeight="1">
      <c r="B28" s="23">
        <v>24.0</v>
      </c>
      <c r="C28" s="24"/>
      <c r="D28" s="7"/>
    </row>
    <row r="29" ht="15.75" customHeight="1">
      <c r="B29" s="23">
        <v>25.0</v>
      </c>
      <c r="C29" s="24"/>
      <c r="D29" s="7"/>
    </row>
    <row r="30" ht="15.75" customHeight="1">
      <c r="B30" s="23">
        <v>26.0</v>
      </c>
      <c r="C30" s="24"/>
      <c r="D30" s="7"/>
    </row>
    <row r="31" ht="15.75" customHeight="1">
      <c r="B31" s="23">
        <v>27.0</v>
      </c>
      <c r="C31" s="24"/>
      <c r="D31" s="7"/>
    </row>
    <row r="32" ht="15.75" customHeight="1">
      <c r="B32" s="23">
        <v>28.0</v>
      </c>
      <c r="C32" s="24"/>
      <c r="D32" s="7"/>
    </row>
    <row r="33" ht="15.75" customHeight="1">
      <c r="B33" s="23">
        <v>29.0</v>
      </c>
      <c r="C33" s="24"/>
      <c r="D33" s="7"/>
    </row>
    <row r="34" ht="15.75" customHeight="1">
      <c r="B34" s="23">
        <v>30.0</v>
      </c>
      <c r="C34" s="24"/>
      <c r="D34" s="7"/>
    </row>
    <row r="35" ht="15.75" customHeight="1">
      <c r="B35" s="23">
        <v>31.0</v>
      </c>
      <c r="C35" s="24"/>
      <c r="D35" s="7"/>
    </row>
    <row r="36" ht="15.75" customHeight="1">
      <c r="B36" s="23">
        <v>32.0</v>
      </c>
      <c r="C36" s="24"/>
      <c r="D36" s="7"/>
    </row>
    <row r="37" ht="15.75" customHeight="1">
      <c r="B37" s="23">
        <v>33.0</v>
      </c>
      <c r="C37" s="24"/>
      <c r="D37" s="7"/>
    </row>
    <row r="38" ht="15.75" customHeight="1">
      <c r="B38" s="23">
        <v>34.0</v>
      </c>
      <c r="C38" s="24"/>
      <c r="D38" s="7"/>
    </row>
    <row r="39" ht="15.75" customHeight="1">
      <c r="B39" s="23">
        <v>35.0</v>
      </c>
      <c r="C39" s="24"/>
      <c r="D39" s="7"/>
    </row>
    <row r="40" ht="15.75" customHeight="1">
      <c r="B40" s="23">
        <v>36.0</v>
      </c>
      <c r="C40" s="24"/>
      <c r="D40" s="7"/>
    </row>
    <row r="41" ht="15.75" customHeight="1">
      <c r="B41" s="23">
        <v>37.0</v>
      </c>
      <c r="C41" s="24"/>
      <c r="D41" s="7"/>
    </row>
    <row r="42" ht="15.75" customHeight="1">
      <c r="B42" s="23">
        <v>38.0</v>
      </c>
      <c r="C42" s="24"/>
      <c r="D42" s="7"/>
    </row>
    <row r="43" ht="15.75" customHeight="1">
      <c r="B43" s="23">
        <v>39.0</v>
      </c>
      <c r="C43" s="24"/>
      <c r="D43" s="7"/>
    </row>
    <row r="44" ht="15.75" customHeight="1">
      <c r="B44" s="23">
        <v>40.0</v>
      </c>
      <c r="C44" s="24"/>
      <c r="D44" s="7"/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/>
  <pageMargins bottom="1.0" footer="0.0" header="0.0" left="0.75" right="0.75" top="1.0"/>
  <pageSetup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B7280"/>
    <pageSetUpPr fitToPage="1"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26.0"/>
    <col customWidth="1" min="3" max="3" width="100.0"/>
    <col customWidth="1" min="4" max="26" width="8.57"/>
  </cols>
  <sheetData>
    <row r="1" ht="37.5" customHeight="1">
      <c r="B1" s="1" t="s">
        <v>36</v>
      </c>
      <c r="C1" s="3"/>
    </row>
    <row r="3" ht="21.75" customHeight="1">
      <c r="B3" s="5" t="s">
        <v>37</v>
      </c>
      <c r="C3" s="3"/>
    </row>
    <row r="4" ht="33.75" customHeight="1">
      <c r="B4" s="20" t="s">
        <v>38</v>
      </c>
      <c r="C4" s="21" t="s">
        <v>39</v>
      </c>
    </row>
    <row r="5" ht="33.75" customHeight="1">
      <c r="B5" s="20" t="s">
        <v>40</v>
      </c>
      <c r="C5" s="21" t="s">
        <v>42</v>
      </c>
    </row>
    <row r="6" ht="33.75" customHeight="1">
      <c r="B6" s="20" t="s">
        <v>43</v>
      </c>
      <c r="C6" s="21" t="s">
        <v>44</v>
      </c>
    </row>
    <row r="7" ht="33.75" customHeight="1">
      <c r="B7" s="20" t="s">
        <v>45</v>
      </c>
      <c r="C7" s="21" t="s">
        <v>46</v>
      </c>
    </row>
    <row r="8" ht="21.75" customHeight="1">
      <c r="B8" s="5" t="s">
        <v>47</v>
      </c>
      <c r="C8" s="3"/>
    </row>
    <row r="9" ht="33.75" customHeight="1">
      <c r="B9" s="20" t="s">
        <v>48</v>
      </c>
      <c r="C9" s="21" t="s">
        <v>50</v>
      </c>
    </row>
    <row r="10" ht="33.75" customHeight="1">
      <c r="B10" s="20" t="s">
        <v>51</v>
      </c>
      <c r="C10" s="21" t="s">
        <v>52</v>
      </c>
    </row>
    <row r="11" ht="33.75" customHeight="1">
      <c r="B11" s="20" t="s">
        <v>53</v>
      </c>
      <c r="C11" s="21" t="s">
        <v>54</v>
      </c>
    </row>
    <row r="12" ht="33.75" customHeight="1">
      <c r="B12" s="20" t="s">
        <v>56</v>
      </c>
      <c r="C12" s="21" t="s">
        <v>57</v>
      </c>
    </row>
    <row r="13" ht="33.75" customHeight="1">
      <c r="B13" s="20" t="s">
        <v>58</v>
      </c>
      <c r="C13" s="21" t="s">
        <v>59</v>
      </c>
    </row>
    <row r="14" ht="33.75" customHeight="1">
      <c r="B14" s="20" t="s">
        <v>60</v>
      </c>
      <c r="C14" s="21" t="s">
        <v>61</v>
      </c>
    </row>
    <row r="15" ht="21.75" customHeight="1">
      <c r="B15" s="5" t="s">
        <v>62</v>
      </c>
      <c r="C15" s="3"/>
    </row>
    <row r="16" ht="33.75" customHeight="1">
      <c r="B16" s="20" t="s">
        <v>65</v>
      </c>
      <c r="C16" s="21" t="s">
        <v>66</v>
      </c>
    </row>
    <row r="17" ht="33.75" customHeight="1">
      <c r="B17" s="20" t="s">
        <v>67</v>
      </c>
      <c r="C17" s="21" t="s">
        <v>68</v>
      </c>
    </row>
    <row r="18" ht="33.75" customHeight="1">
      <c r="B18" s="20" t="s">
        <v>69</v>
      </c>
      <c r="C18" s="21" t="s">
        <v>70</v>
      </c>
    </row>
    <row r="19" ht="33.75" customHeight="1">
      <c r="B19" s="20" t="s">
        <v>71</v>
      </c>
      <c r="C19" s="21" t="s">
        <v>72</v>
      </c>
    </row>
    <row r="20" ht="33.75" customHeight="1">
      <c r="B20" s="20" t="s">
        <v>73</v>
      </c>
      <c r="C20" s="21" t="s">
        <v>74</v>
      </c>
    </row>
    <row r="21" ht="33.75" customHeight="1">
      <c r="B21" s="20" t="s">
        <v>75</v>
      </c>
      <c r="C21" s="21" t="s">
        <v>76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C1"/>
    <mergeCell ref="B3:C3"/>
    <mergeCell ref="B8:C8"/>
    <mergeCell ref="B15:C15"/>
  </mergeCells>
  <printOptions/>
  <pageMargins bottom="1.0" footer="0.0" header="0.0" left="0.75" right="0.75" top="1.0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2026-10-27T09:51:39Z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