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ổng hợp" sheetId="1" r:id="rId4"/>
    <sheet state="visible" name="Cấu hình" sheetId="2" r:id="rId5"/>
    <sheet state="visible" name="Danh mục công việc" sheetId="3" r:id="rId6"/>
    <sheet state="visible" name="Gantt" sheetId="4" r:id="rId7"/>
    <sheet state="visible" name="Nhân lực - Vốn" sheetId="5" r:id="rId8"/>
    <sheet state="visible" name="Vật tư" sheetId="6" r:id="rId9"/>
  </sheets>
  <definedNames>
    <definedName hidden="1" localSheetId="2" name="_xlnm._FilterDatabase">'Danh mục công việc'!$A$6:$AA$66</definedName>
  </definedNames>
  <calcPr/>
  <extLst>
    <ext uri="GoogleSheetsCustomDataVersion2">
      <go:sheetsCustomData xmlns:go="http://customooxmlschemas.google.com/" r:id="rId10" roundtripDataChecksum="iuSs/BwWWAxzujdXEIArUr9EzxzE3DzacBY4IXfmMUQ="/>
    </ext>
  </extLst>
</workbook>
</file>

<file path=xl/sharedStrings.xml><?xml version="1.0" encoding="utf-8"?>
<sst xmlns="http://schemas.openxmlformats.org/spreadsheetml/2006/main" count="347" uniqueCount="229">
  <si>
    <t>THÔNG TIN &amp; CẤU HÌNH KẾ HOẠCH THI CÔNG</t>
  </si>
  <si>
    <t>Điền vào các ô nền cam nhạt. Mọi sheet khác tự cập nhật theo các thông số tại đây.</t>
  </si>
  <si>
    <t>4. Ngày nghỉ lễ / nghỉ đặc biệt</t>
  </si>
  <si>
    <t>5. Danh mục giai đoạn</t>
  </si>
  <si>
    <t>1. Thông tin dự án</t>
  </si>
  <si>
    <t>Ngày</t>
  </si>
  <si>
    <t>Tên ngày nghỉ</t>
  </si>
  <si>
    <t>Mã</t>
  </si>
  <si>
    <t>Tên giai đoạn</t>
  </si>
  <si>
    <t>Tên dự án / công trình</t>
  </si>
  <si>
    <t>Tòa nhà văn phòng ABC – 8 tầng (dữ liệu mẫu)</t>
  </si>
  <si>
    <t>Tết Dương lịch (ví dụ)</t>
  </si>
  <si>
    <t>A</t>
  </si>
  <si>
    <t>Chuẩn bị mặt bằng</t>
  </si>
  <si>
    <t>Địa điểm xây dựng</t>
  </si>
  <si>
    <t>Hà Nội (ví dụ)</t>
  </si>
  <si>
    <t>Nghỉ Tết Nguyên đán (ví dụ)</t>
  </si>
  <si>
    <t>B</t>
  </si>
  <si>
    <t>Phần ngầm – móng</t>
  </si>
  <si>
    <t>Chủ đầu tư</t>
  </si>
  <si>
    <t>Công ty CP Đầu tư ABC</t>
  </si>
  <si>
    <t>C</t>
  </si>
  <si>
    <t>Phần thân – kết cấu</t>
  </si>
  <si>
    <t>Nhà thầu thi công</t>
  </si>
  <si>
    <t>Công ty TNHH Xây dựng XYZ</t>
  </si>
  <si>
    <t>D</t>
  </si>
  <si>
    <t>Hoàn thiện thô (xây, MEP)</t>
  </si>
  <si>
    <t>Chỉ huy trưởng công trường</t>
  </si>
  <si>
    <t>Nguyễn Văn An</t>
  </si>
  <si>
    <t>E</t>
  </si>
  <si>
    <t>Hoàn thiện</t>
  </si>
  <si>
    <t>Người lập kế hoạch</t>
  </si>
  <si>
    <t>Trần Thị Bình</t>
  </si>
  <si>
    <t>F</t>
  </si>
  <si>
    <t>Hạ tầng và bàn giao</t>
  </si>
  <si>
    <t>Giải phóng miền Nam (ví dụ)</t>
  </si>
  <si>
    <t>2. Mốc thời gian &amp; lịch làm việc</t>
  </si>
  <si>
    <t>Ngày lập kế hoạch</t>
  </si>
  <si>
    <t>Ngày khởi công</t>
  </si>
  <si>
    <t>Ngày hoàn thành theo hợp đồng</t>
  </si>
  <si>
    <t>Ngày nghỉ cuối tuần (mã 1 hoặc 11)</t>
  </si>
  <si>
    <t>Mã 1 = nghỉ Thứ Bảy và Chủ Nhật. Mã 11 = chỉ nghỉ Chủ Nhật. Ngày nghỉ lễ nhập ở cột bên phải.</t>
  </si>
  <si>
    <t>3. Hướng dẫn sử dụng</t>
  </si>
  <si>
    <t>Bước 1: Điền các mục ở sheet này (ngày khởi công, lịch nghỉ, danh mục giai đoạn).</t>
  </si>
  <si>
    <t>Bước 2: Sheet 'Danh mục công việc' – nhập mã, tên, khối lượng, đơn giá, năng suất, số tổ, công nhân và công việc trước. Số ngày, ngày bắt đầu/kết thúc, dự trữ thời gian và đường găng tự tính.</t>
  </si>
  <si>
    <t>Bước 3: Xem 'Gantt' (biểu đồ tiến độ), 'Nhân lực - Vốn' (biểu đồ nhân lực, đường cong S) và 'Vật tư' (ngày phải đặt hàng).</t>
  </si>
  <si>
    <t>Bước 4: 'Tổng hợp' cho biết ngày hoàn thành dự kiến, so sánh với hợp đồng, các công việc găng và các lỗi liên kết cần sửa.</t>
  </si>
  <si>
    <t>Quy tắc: công việc trước phải nằm phía trên công việc sau; mã công việc không trùng nhau. Độ trễ dương = chờ thêm (ví dụ bảo dưỡng bê tông), âm = cho phép làm chồng lên.</t>
  </si>
  <si>
    <t>Cách tính: số ngày = khối lượng ÷ (năng suất × số tổ), làm tròn lên (hoặc nhập tay). Giá trị mỗi công việc được phân bổ đều theo ngày lịch trong thời gian thi công. Quan hệ liên kết là Kết thúc – Bắt đầu.</t>
  </si>
  <si>
    <t>Dữ liệu hiện tại là dữ liệu mẫu (công trình giả định, ngày nghỉ lễ chỉ là ví dụ). Hãy xóa các ô nền cam nhạt và nhập dữ liệu thật; ô nền xám là công thức, không nhập đè.</t>
  </si>
  <si>
    <t>DANH MỤC CÔNG VIỆC &amp; LẬP TIẾN ĐỘ TỰ ĐỘNG</t>
  </si>
  <si>
    <t>BIỂU ĐỒ GANTT KẾ HOẠCH THI CÔNG</t>
  </si>
  <si>
    <t>Hoàn thành dự kiến:</t>
  </si>
  <si>
    <t>Ngày lập kế hoạch:</t>
  </si>
  <si>
    <t>Đường găng</t>
  </si>
  <si>
    <t>KẾ HOẠCH THI CÔNG XÂY DỰNG</t>
  </si>
  <si>
    <t>THÔNG TIN CÔNG VIỆC</t>
  </si>
  <si>
    <t>KHỐI LƯỢNG &amp; GIÁ TRỊ</t>
  </si>
  <si>
    <t>Công việc thường</t>
  </si>
  <si>
    <t>NĂNG SUẤT &amp; THỜI GIAN</t>
  </si>
  <si>
    <t>Dự trữ thời gian</t>
  </si>
  <si>
    <t>LIÊN KẾT &amp; RÀNG BUỘC</t>
  </si>
  <si>
    <t>LỊCH TỰ ĐỘNG &amp; ĐƯỜNG GĂNG</t>
  </si>
  <si>
    <t>Ngày lập KH</t>
  </si>
  <si>
    <t>NGUỒN LỰC &amp; GHI CHÚ</t>
  </si>
  <si>
    <t>CỘT PHỤ TRỢ (KHÔNG CHỈNH SỬA)</t>
  </si>
  <si>
    <t>Tự động lấy từ sheet 'Danh mục công việc'. Mỗi cột = 1 tuần (ngày thứ Hai đầu tuần).</t>
  </si>
  <si>
    <t>STT</t>
  </si>
  <si>
    <t>Mã CV</t>
  </si>
  <si>
    <t>Giai đoạn</t>
  </si>
  <si>
    <t>Tên công việc</t>
  </si>
  <si>
    <t>ĐVT</t>
  </si>
  <si>
    <t>Khối lượng</t>
  </si>
  <si>
    <t>Đơn giá (VNĐ)</t>
  </si>
  <si>
    <t>Công việc</t>
  </si>
  <si>
    <t>Thành tiền (VNĐ)</t>
  </si>
  <si>
    <t>Năng suất / tổ / ngày</t>
  </si>
  <si>
    <t>Số tổ / máy</t>
  </si>
  <si>
    <t>Công nhân / tổ</t>
  </si>
  <si>
    <t>Bắt đầu</t>
  </si>
  <si>
    <t>Số ngày nhập tay (tùy chọn)</t>
  </si>
  <si>
    <t>Số ngày thi công</t>
  </si>
  <si>
    <t>Kết thúc</t>
  </si>
  <si>
    <t>CV trước 1</t>
  </si>
  <si>
    <t>NHÂN LỰC &amp; DÒNG GIÁ TRỊ THEO TUẦN</t>
  </si>
  <si>
    <t>CV trước 2</t>
  </si>
  <si>
    <t>Độ trễ (ngày LV)</t>
  </si>
  <si>
    <t>Bắt đầu không sớm hơn</t>
  </si>
  <si>
    <t>Muộn nhất</t>
  </si>
  <si>
    <t>Bắt đầu sớm nhất</t>
  </si>
  <si>
    <t>Kết thúc sớm nhất</t>
  </si>
  <si>
    <t>Kết thúc muộn nhất</t>
  </si>
  <si>
    <t>Số ngày</t>
  </si>
  <si>
    <t>Bắt đầu muộn nhất</t>
  </si>
  <si>
    <t>Dự trữ (ngày LV)</t>
  </si>
  <si>
    <t>NGÀY KHỞI CÔNG</t>
  </si>
  <si>
    <t>Dự trữ</t>
  </si>
  <si>
    <t>Nhân lực huy động</t>
  </si>
  <si>
    <t>Tổng công (người-ngày)</t>
  </si>
  <si>
    <t>Găng</t>
  </si>
  <si>
    <t>Kiểm tra liên kết</t>
  </si>
  <si>
    <t>Ghi chú</t>
  </si>
  <si>
    <t>Bắt đầu (số)</t>
  </si>
  <si>
    <t>Giá trị mỗi công việc được phân bổ đều theo ngày lịch trong thời gian thi công. Nhân lực = tổng công nhân của các công việc đang thi công trong tuần.</t>
  </si>
  <si>
    <t>Tuần</t>
  </si>
  <si>
    <t>Kết thúc (số)</t>
  </si>
  <si>
    <t>Từ ngày</t>
  </si>
  <si>
    <t>Giá trị (số)</t>
  </si>
  <si>
    <t>Đến ngày</t>
  </si>
  <si>
    <t>Nhân lực (số)</t>
  </si>
  <si>
    <t>Số CV đang thi công</t>
  </si>
  <si>
    <t>Hạn kết thúc CV trước</t>
  </si>
  <si>
    <t>HOÀN THÀNH DỰ KIẾN</t>
  </si>
  <si>
    <t>STT găng</t>
  </si>
  <si>
    <t>Nhân lực huy động (người)</t>
  </si>
  <si>
    <t>Giá trị trong tuần (VNĐ)</t>
  </si>
  <si>
    <t>Giá trị lũy kế (VNĐ)</t>
  </si>
  <si>
    <t>% lũy kế</t>
  </si>
  <si>
    <t>THỜI GIAN THI CÔNG</t>
  </si>
  <si>
    <t>TỔNG GIÁ TRỊ (VNĐ)</t>
  </si>
  <si>
    <t>A01</t>
  </si>
  <si>
    <t>Giải phóng mặt bằng, dựng lán trại, hàng rào</t>
  </si>
  <si>
    <t>m2</t>
  </si>
  <si>
    <t>SO SÁNH VỚI HỢP ĐỒNG</t>
  </si>
  <si>
    <t>KIỂM TRA DỮ LIỆU</t>
  </si>
  <si>
    <t>Hoàn thành theo hợp đồng</t>
  </si>
  <si>
    <t>Số công việc</t>
  </si>
  <si>
    <t>Hoàn thành dự kiến</t>
  </si>
  <si>
    <t>Số công việc trên đường găng</t>
  </si>
  <si>
    <t>Chênh lệch (ngày lịch)</t>
  </si>
  <si>
    <t>Công việc lỗi liên kết</t>
  </si>
  <si>
    <t>Kết luận</t>
  </si>
  <si>
    <t>Vật tư quá hạn đặt hàng</t>
  </si>
  <si>
    <t>% giá trị đã phân bổ vào lịch tuần</t>
  </si>
  <si>
    <t>Nếu '% giá trị đã phân bổ' nhỏ hơn 100%, dự án dài hơn 60 tuần – hãy kéo dài bảng ở sheet 'Nhân lực - Vốn'.</t>
  </si>
  <si>
    <t>TỔNG HỢP THEO GIAI ĐOẠN</t>
  </si>
  <si>
    <t>Số CV</t>
  </si>
  <si>
    <t>Giá trị (VNĐ)</t>
  </si>
  <si>
    <t>Tỷ trọng</t>
  </si>
  <si>
    <t>Số ngày LV</t>
  </si>
  <si>
    <t>A02</t>
  </si>
  <si>
    <t>Cấp điện nước tạm, đường công vụ</t>
  </si>
  <si>
    <t>trọn gói</t>
  </si>
  <si>
    <t>B01</t>
  </si>
  <si>
    <t>Đào đất hố móng, vận chuyển đất thải</t>
  </si>
  <si>
    <t>m3</t>
  </si>
  <si>
    <t>B02</t>
  </si>
  <si>
    <t>Bê tông lót móng</t>
  </si>
  <si>
    <t>B03</t>
  </si>
  <si>
    <t>Gia công, lắp dựng cốt thép móng</t>
  </si>
  <si>
    <t>tấn</t>
  </si>
  <si>
    <t>B04</t>
  </si>
  <si>
    <t>Lắp dựng ván khuôn móng</t>
  </si>
  <si>
    <t>B05</t>
  </si>
  <si>
    <t>Đổ bê tông móng</t>
  </si>
  <si>
    <t>B06</t>
  </si>
  <si>
    <t>Lấp đất, hoàn trả mặt bằng sau móng</t>
  </si>
  <si>
    <t>C01</t>
  </si>
  <si>
    <t>Kết cấu thân tầng 1–2 (cốp pha, cốt thép, bê tông)</t>
  </si>
  <si>
    <t>C02</t>
  </si>
  <si>
    <t>Kết cấu thân tầng 3–4</t>
  </si>
  <si>
    <t>TỔNG CỘNG</t>
  </si>
  <si>
    <t>C03</t>
  </si>
  <si>
    <t>Kết cấu thân tầng 5–6</t>
  </si>
  <si>
    <t>CÔNG VIỆC TRÊN ĐƯỜNG GĂNG (theo thứ tự thi công)</t>
  </si>
  <si>
    <t>Nhân lực</t>
  </si>
  <si>
    <t>C04</t>
  </si>
  <si>
    <t>Kết cấu thân tầng 7–8</t>
  </si>
  <si>
    <t>C05</t>
  </si>
  <si>
    <t>Kết cấu mái và tum</t>
  </si>
  <si>
    <t>D01</t>
  </si>
  <si>
    <t>Xây tường tầng 1–4</t>
  </si>
  <si>
    <t>D02</t>
  </si>
  <si>
    <t>Xây tường tầng 5–8</t>
  </si>
  <si>
    <t>D03</t>
  </si>
  <si>
    <t>Lắp đặt hệ thống điện âm tường</t>
  </si>
  <si>
    <t>tầng</t>
  </si>
  <si>
    <t>Hiển thị tối đa 15 công việc găng đầu tiên. Danh sách đầy đủ ở cột 'Đường găng' của sheet 'Danh mục công việc'.</t>
  </si>
  <si>
    <t>BIỂU ĐỒ</t>
  </si>
  <si>
    <t>KẾ HOẠCH CUNG ỨNG VẬT TƯ – THIẾT BỊ CHÍNH</t>
  </si>
  <si>
    <t>Ngày cần có = ngày bắt đầu của công việc sử dụng. Ngày đặt hàng chậm nhất = ngày cần có trừ thời gian giao hàng (ngày làm việc).</t>
  </si>
  <si>
    <t>Vật tư / Thiết bị</t>
  </si>
  <si>
    <t>Mã CV sử dụng</t>
  </si>
  <si>
    <t>Ngày cần có</t>
  </si>
  <si>
    <t>Giao hàng (ngày LV)</t>
  </si>
  <si>
    <t>Đặt hàng chậm nhất</t>
  </si>
  <si>
    <t>Còn lại (ngày)</t>
  </si>
  <si>
    <t>Trạng thái</t>
  </si>
  <si>
    <t>Nhà cung cấp</t>
  </si>
  <si>
    <t>Thép cốt bê tông các loại</t>
  </si>
  <si>
    <t>Hòa Phát</t>
  </si>
  <si>
    <t>Xi măng PCB40</t>
  </si>
  <si>
    <t>Bê tông thương phẩm M300</t>
  </si>
  <si>
    <t>Trạm trộn gần công trình</t>
  </si>
  <si>
    <t>Cốp pha thép, giáo chống</t>
  </si>
  <si>
    <t>bộ</t>
  </si>
  <si>
    <t>Thuê</t>
  </si>
  <si>
    <t>Gạch xây không nung</t>
  </si>
  <si>
    <t>viên</t>
  </si>
  <si>
    <t>Cáp điện, ống luồn dây</t>
  </si>
  <si>
    <t>Gạch ốp lát</t>
  </si>
  <si>
    <t>E01</t>
  </si>
  <si>
    <t>D04</t>
  </si>
  <si>
    <t>Lắp đặt cấp thoát nước, PCCC</t>
  </si>
  <si>
    <t>Bột bả, sơn nước</t>
  </si>
  <si>
    <t>thùng</t>
  </si>
  <si>
    <t>E02</t>
  </si>
  <si>
    <t>Cửa nhôm kính</t>
  </si>
  <si>
    <t>E03</t>
  </si>
  <si>
    <t>Thiết bị vệ sinh</t>
  </si>
  <si>
    <t>E05</t>
  </si>
  <si>
    <t>D05</t>
  </si>
  <si>
    <t>Trát tường trong và ngoài nhà</t>
  </si>
  <si>
    <t>Thang máy</t>
  </si>
  <si>
    <t>E04</t>
  </si>
  <si>
    <t>Nhập khẩu – đặt sớm</t>
  </si>
  <si>
    <t>Ốp lát sàn, tường khu vệ sinh</t>
  </si>
  <si>
    <t>Bả, sơn tường và trần</t>
  </si>
  <si>
    <t>Lắp cửa nhôm kính</t>
  </si>
  <si>
    <t>Lắp đặt thang máy</t>
  </si>
  <si>
    <t>Lắp thiết bị điện, thiết bị vệ sinh</t>
  </si>
  <si>
    <t>F01</t>
  </si>
  <si>
    <t>Hạ tầng kỹ thuật ngoài nhà, sân đường</t>
  </si>
  <si>
    <t>F02</t>
  </si>
  <si>
    <t>Vệ sinh công nghiệp, hoàn thiện cuối cùng</t>
  </si>
  <si>
    <t>F03</t>
  </si>
  <si>
    <t>Nghiệm thu, bàn giao công trình</t>
  </si>
  <si>
    <t>Tổng</t>
  </si>
  <si>
    <t>Cao điểm: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</si>
</sst>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/mm/yyyy"/>
    <numFmt numFmtId="165" formatCode="0&quot; ngày&quot;"/>
    <numFmt numFmtId="166" formatCode="dd/mm"/>
    <numFmt numFmtId="167" formatCode="0.0%"/>
    <numFmt numFmtId="168" formatCode="dd/mm/yy"/>
    <numFmt numFmtId="169" formatCode="\+0;\-0;0"/>
    <numFmt numFmtId="170" formatCode="&quot;Ngày lập KH: &quot;dd/mm/yyyy"/>
  </numFmts>
  <fonts count="24">
    <font>
      <sz val="10.0"/>
      <color rgb="FF000000"/>
      <name val="Inter Tight"/>
      <scheme val="minor"/>
    </font>
    <font>
      <b/>
      <sz val="18.0"/>
      <color rgb="FFF26B1D"/>
      <name val="Inter Tight"/>
    </font>
    <font>
      <i/>
      <sz val="10.0"/>
      <color rgb="FF7F7F7F"/>
      <name val="Inter Tight"/>
    </font>
    <font>
      <b/>
      <sz val="11.0"/>
      <color rgb="FFF26B1D"/>
      <name val="Inter Tight"/>
    </font>
    <font>
      <sz val="10.0"/>
      <color theme="1"/>
      <name val="Inter Tight"/>
    </font>
    <font>
      <b/>
      <sz val="10.0"/>
      <color rgb="FFFFFFFF"/>
      <name val="Inter Tight"/>
    </font>
    <font>
      <b/>
      <sz val="10.0"/>
      <color rgb="FF404040"/>
      <name val="Inter Tight"/>
    </font>
    <font>
      <sz val="10.0"/>
      <color rgb="FF404040"/>
      <name val="Inter Tight"/>
    </font>
    <font>
      <i/>
      <sz val="9.0"/>
      <color rgb="FF7F7F7F"/>
      <name val="Inter Tight"/>
    </font>
    <font>
      <b/>
      <sz val="10.0"/>
      <color rgb="FF7F7F7F"/>
      <name val="Inter Tight"/>
    </font>
    <font>
      <b/>
      <sz val="9.0"/>
      <color rgb="FF7F7F7F"/>
      <name val="Inter Tight"/>
    </font>
    <font>
      <b/>
      <sz val="11.0"/>
      <color rgb="FFC2410C"/>
      <name val="Inter Tight"/>
    </font>
    <font>
      <b/>
      <sz val="10.0"/>
      <color rgb="FFC2410C"/>
      <name val="Inter Tight"/>
    </font>
    <font>
      <b/>
      <sz val="9.0"/>
      <color rgb="FFFFFFFF"/>
      <name val="Inter Tight"/>
    </font>
    <font/>
    <font>
      <b/>
      <sz val="22.0"/>
      <color rgb="FFF26B1D"/>
      <name val="Inter Tight"/>
    </font>
    <font>
      <b/>
      <sz val="9.0"/>
      <color rgb="FFC2410C"/>
      <name val="Inter Tight"/>
    </font>
    <font>
      <b/>
      <sz val="9.0"/>
      <color rgb="FF404040"/>
      <name val="Inter Tight"/>
    </font>
    <font>
      <b/>
      <sz val="12.0"/>
      <color rgb="FF404040"/>
      <name val="Inter Tight"/>
    </font>
    <font>
      <sz val="10.0"/>
      <color rgb="FF7F7F7F"/>
      <name val="Inter Tight"/>
    </font>
    <font>
      <b/>
      <sz val="8.0"/>
      <color rgb="FFFFFFFF"/>
      <name val="Inter Tight"/>
    </font>
    <font>
      <sz val="8.0"/>
      <color rgb="FFFFFFFF"/>
      <name val="Inter Tight"/>
    </font>
    <font>
      <sz val="8.0"/>
      <color rgb="FF404040"/>
      <name val="Inter Tight"/>
    </font>
    <font>
      <sz val="9.0"/>
      <color rgb="FF7F7F7F"/>
      <name val="Inter Tight"/>
    </font>
  </fonts>
  <fills count="9">
    <fill>
      <patternFill patternType="none"/>
    </fill>
    <fill>
      <patternFill patternType="lightGray"/>
    </fill>
    <fill>
      <patternFill patternType="solid">
        <fgColor rgb="FFF26B1D"/>
        <bgColor rgb="FFF26B1D"/>
      </patternFill>
    </fill>
    <fill>
      <patternFill patternType="solid">
        <fgColor rgb="FFFFF5EE"/>
        <bgColor rgb="FFFFF5EE"/>
      </patternFill>
    </fill>
    <fill>
      <patternFill patternType="solid">
        <fgColor rgb="FFFDE6D6"/>
        <bgColor rgb="FFFDE6D6"/>
      </patternFill>
    </fill>
    <fill>
      <patternFill patternType="solid">
        <fgColor rgb="FFF7F7F7"/>
        <bgColor rgb="FFF7F7F7"/>
      </patternFill>
    </fill>
    <fill>
      <patternFill patternType="solid">
        <fgColor rgb="FFC2410C"/>
        <bgColor rgb="FFC2410C"/>
      </patternFill>
    </fill>
    <fill>
      <patternFill patternType="solid">
        <fgColor rgb="FFD9D9D9"/>
        <bgColor rgb="FFD9D9D9"/>
      </patternFill>
    </fill>
    <fill>
      <patternFill patternType="solid">
        <fgColor rgb="FFEDEDED"/>
        <bgColor rgb="FFEDEDED"/>
      </patternFill>
    </fill>
  </fills>
  <borders count="20">
    <border/>
    <border>
      <bottom style="medium">
        <color rgb="FFF26B1D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/>
      <top/>
      <bottom/>
    </border>
    <border>
      <top/>
      <bottom/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right/>
      <top/>
      <bottom/>
    </border>
    <border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</border>
    <border>
      <left style="thick">
        <color rgb="FFFFFFFF"/>
      </left>
      <top style="thick">
        <color rgb="FFF26B1D"/>
      </top>
      <bottom/>
    </border>
    <border>
      <top style="thick">
        <color rgb="FFF26B1D"/>
      </top>
      <bottom/>
    </border>
    <border>
      <right style="thick">
        <color rgb="FFFFFFFF"/>
      </right>
      <top style="thick">
        <color rgb="FFF26B1D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/>
    </border>
    <border>
      <left style="thick">
        <color rgb="FFFFFFFF"/>
      </left>
      <top/>
      <bottom/>
    </border>
    <border>
      <right style="thick">
        <color rgb="FFFFFFFF"/>
      </right>
      <top/>
      <bottom/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thin">
        <color rgb="FFD9D9D9"/>
      </left>
      <right style="thin">
        <color rgb="FFD9D9D9"/>
      </right>
      <top/>
      <bottom style="thin">
        <color rgb="FFD9D9D9"/>
      </bottom>
    </border>
    <border>
      <left style="hair">
        <color rgb="FFD9D9D9"/>
      </left>
      <right style="hair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medium">
        <color rgb="FFF26B1D"/>
      </top>
      <bottom style="thin">
        <color rgb="FFD9D9D9"/>
      </bottom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2" fillId="2" fontId="5" numFmtId="0" xfId="0" applyAlignment="1" applyBorder="1" applyFill="1" applyFont="1">
      <alignment horizontal="center" shrinkToFit="0" vertical="center" wrapText="1"/>
    </xf>
    <xf borderId="2" fillId="0" fontId="6" numFmtId="0" xfId="0" applyAlignment="1" applyBorder="1" applyFont="1">
      <alignment horizontal="left" shrinkToFit="0" vertical="center" wrapText="1"/>
    </xf>
    <xf borderId="2" fillId="3" fontId="7" numFmtId="0" xfId="0" applyAlignment="1" applyBorder="1" applyFill="1" applyFont="1">
      <alignment horizontal="left" shrinkToFit="0" vertical="center" wrapText="0"/>
    </xf>
    <xf borderId="2" fillId="3" fontId="7" numFmtId="164" xfId="0" applyAlignment="1" applyBorder="1" applyFill="1" applyFont="1" applyNumberFormat="1">
      <alignment horizontal="center" shrinkToFit="0" vertical="center" wrapText="1"/>
    </xf>
    <xf borderId="2" fillId="3" fontId="7" numFmtId="0" xfId="0" applyAlignment="1" applyBorder="1" applyFill="1" applyFont="1">
      <alignment horizontal="left" shrinkToFit="0" vertical="center" wrapText="1"/>
    </xf>
    <xf borderId="2" fillId="3" fontId="7" numFmtId="0" xfId="0" applyAlignment="1" applyBorder="1" applyFill="1" applyFont="1">
      <alignment horizontal="center" shrinkToFit="0" vertical="center" wrapText="1"/>
    </xf>
    <xf borderId="2" fillId="3" fontId="7" numFmtId="164" xfId="0" applyAlignment="1" applyBorder="1" applyFill="1" applyFont="1" applyNumberFormat="1">
      <alignment horizontal="left" shrinkToFit="0" vertical="center" wrapText="0"/>
    </xf>
    <xf borderId="2" fillId="3" fontId="7" numFmtId="1" xfId="0" applyAlignment="1" applyBorder="1" applyFill="1" applyFont="1" applyNumberFormat="1">
      <alignment horizontal="left" shrinkToFit="0" vertical="center" wrapText="0"/>
    </xf>
    <xf borderId="0" fillId="0" fontId="8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bottom" wrapText="0"/>
    </xf>
    <xf borderId="0" fillId="0" fontId="6" numFmtId="0" xfId="0" applyAlignment="1" applyFont="1">
      <alignment shrinkToFit="0" vertical="bottom" wrapText="0"/>
    </xf>
    <xf borderId="0" fillId="0" fontId="9" numFmtId="0" xfId="0" applyAlignment="1" applyFont="1">
      <alignment horizontal="right" shrinkToFit="0" vertical="center" wrapText="0"/>
    </xf>
    <xf borderId="0" fillId="0" fontId="10" numFmtId="0" xfId="0" applyAlignment="1" applyFont="1">
      <alignment horizontal="right" shrinkToFit="0" vertical="center" wrapText="0"/>
    </xf>
    <xf borderId="2" fillId="4" fontId="11" numFmtId="164" xfId="0" applyAlignment="1" applyBorder="1" applyFill="1" applyFont="1" applyNumberFormat="1">
      <alignment horizontal="center" shrinkToFit="0" vertical="center" wrapText="1"/>
    </xf>
    <xf borderId="2" fillId="5" fontId="12" numFmtId="164" xfId="0" applyAlignment="1" applyBorder="1" applyFill="1" applyFont="1" applyNumberFormat="1">
      <alignment horizontal="center" shrinkToFit="0" vertical="center" wrapText="1"/>
    </xf>
    <xf borderId="3" fillId="6" fontId="13" numFmtId="0" xfId="0" applyAlignment="1" applyBorder="1" applyFill="1" applyFont="1">
      <alignment horizontal="center" shrinkToFit="0" vertical="center" wrapText="1"/>
    </xf>
    <xf borderId="4" fillId="0" fontId="14" numFmtId="0" xfId="0" applyBorder="1" applyFont="1"/>
    <xf borderId="0" fillId="0" fontId="15" numFmtId="0" xfId="0" applyAlignment="1" applyFont="1">
      <alignment horizontal="center" shrinkToFit="0" vertical="bottom" wrapText="0"/>
    </xf>
    <xf borderId="5" fillId="4" fontId="16" numFmtId="0" xfId="0" applyAlignment="1" applyBorder="1" applyFill="1" applyFont="1">
      <alignment horizontal="center" shrinkToFit="0" vertical="center" wrapText="1"/>
    </xf>
    <xf borderId="6" fillId="0" fontId="14" numFmtId="0" xfId="0" applyBorder="1" applyFont="1"/>
    <xf borderId="7" fillId="0" fontId="14" numFmtId="0" xfId="0" applyBorder="1" applyFont="1"/>
    <xf borderId="8" fillId="0" fontId="14" numFmtId="0" xfId="0" applyBorder="1" applyFont="1"/>
    <xf borderId="3" fillId="2" fontId="13" numFmtId="0" xfId="0" applyAlignment="1" applyBorder="1" applyFill="1" applyFont="1">
      <alignment horizontal="center" shrinkToFit="0" vertical="center" wrapText="1"/>
    </xf>
    <xf borderId="3" fillId="7" fontId="17" numFmtId="0" xfId="0" applyAlignment="1" applyBorder="1" applyFill="1" applyFont="1">
      <alignment horizontal="center" shrinkToFit="0" vertical="center" wrapText="1"/>
    </xf>
    <xf borderId="0" fillId="0" fontId="18" numFmtId="0" xfId="0" applyAlignment="1" applyFont="1">
      <alignment shrinkToFit="0" vertical="bottom" wrapText="0"/>
    </xf>
    <xf borderId="3" fillId="4" fontId="16" numFmtId="0" xfId="0" applyAlignment="1" applyBorder="1" applyFill="1" applyFont="1">
      <alignment horizontal="center" shrinkToFit="0" vertical="center" wrapText="1"/>
    </xf>
    <xf borderId="0" fillId="0" fontId="19" numFmtId="0" xfId="0" applyAlignment="1" applyFont="1">
      <alignment horizontal="left" shrinkToFit="0" vertical="center" wrapText="0"/>
    </xf>
    <xf borderId="0" fillId="0" fontId="8" numFmtId="0" xfId="0" applyAlignment="1" applyFont="1">
      <alignment shrinkToFit="0" vertical="bottom" wrapText="0"/>
    </xf>
    <xf borderId="9" fillId="2" fontId="5" numFmtId="0" xfId="0" applyAlignment="1" applyBorder="1" applyFill="1" applyFont="1">
      <alignment horizontal="center" shrinkToFit="0" vertical="center" wrapText="1"/>
    </xf>
    <xf borderId="0" fillId="0" fontId="19" numFmtId="0" xfId="0" applyAlignment="1" applyFont="1">
      <alignment horizontal="right" shrinkToFit="0" vertical="center" wrapText="0"/>
    </xf>
    <xf borderId="10" fillId="5" fontId="10" numFmtId="0" xfId="0" applyAlignment="1" applyBorder="1" applyFill="1" applyFont="1">
      <alignment horizontal="center" shrinkToFit="0" vertical="center" wrapText="1"/>
    </xf>
    <xf borderId="11" fillId="0" fontId="14" numFmtId="0" xfId="0" applyBorder="1" applyFont="1"/>
    <xf borderId="2" fillId="8" fontId="6" numFmtId="0" xfId="0" applyAlignment="1" applyBorder="1" applyFill="1" applyFont="1">
      <alignment horizontal="center" shrinkToFit="0" vertical="center" wrapText="1"/>
    </xf>
    <xf borderId="12" fillId="0" fontId="14" numFmtId="0" xfId="0" applyBorder="1" applyFont="1"/>
    <xf borderId="13" fillId="2" fontId="20" numFmtId="0" xfId="0" applyAlignment="1" applyBorder="1" applyFill="1" applyFont="1">
      <alignment horizontal="left" shrinkToFit="0" vertical="center" wrapText="0"/>
    </xf>
    <xf borderId="2" fillId="5" fontId="7" numFmtId="0" xfId="0" applyAlignment="1" applyBorder="1" applyFill="1" applyFont="1">
      <alignment horizontal="center" shrinkToFit="0" vertical="center" wrapText="1"/>
    </xf>
    <xf borderId="2" fillId="5" fontId="7" numFmtId="164" xfId="0" applyAlignment="1" applyBorder="1" applyFill="1" applyFont="1" applyNumberFormat="1">
      <alignment horizontal="center" shrinkToFit="0" vertical="center" wrapText="1"/>
    </xf>
    <xf borderId="14" fillId="5" fontId="15" numFmtId="164" xfId="0" applyAlignment="1" applyBorder="1" applyFill="1" applyFont="1" applyNumberFormat="1">
      <alignment horizontal="center" shrinkToFit="0" vertical="center" wrapText="1"/>
    </xf>
    <xf borderId="2" fillId="3" fontId="7" numFmtId="4" xfId="0" applyAlignment="1" applyBorder="1" applyFill="1" applyFont="1" applyNumberFormat="1">
      <alignment horizontal="center" shrinkToFit="0" vertical="center" wrapText="1"/>
    </xf>
    <xf borderId="15" fillId="0" fontId="14" numFmtId="0" xfId="0" applyBorder="1" applyFont="1"/>
    <xf borderId="2" fillId="3" fontId="7" numFmtId="3" xfId="0" applyAlignment="1" applyBorder="1" applyFill="1" applyFont="1" applyNumberFormat="1">
      <alignment horizontal="center" shrinkToFit="0" vertical="center" wrapText="1"/>
    </xf>
    <xf borderId="2" fillId="5" fontId="7" numFmtId="3" xfId="0" applyAlignment="1" applyBorder="1" applyFill="1" applyFont="1" applyNumberFormat="1">
      <alignment horizontal="center" shrinkToFit="0" vertical="center" wrapText="1"/>
    </xf>
    <xf borderId="2" fillId="3" fontId="7" numFmtId="1" xfId="0" applyAlignment="1" applyBorder="1" applyFill="1" applyFont="1" applyNumberFormat="1">
      <alignment horizontal="center" shrinkToFit="0" vertical="center" wrapText="1"/>
    </xf>
    <xf borderId="2" fillId="5" fontId="7" numFmtId="1" xfId="0" applyAlignment="1" applyBorder="1" applyFill="1" applyFont="1" applyNumberFormat="1">
      <alignment horizontal="center" shrinkToFit="0" vertical="center" wrapText="1"/>
    </xf>
    <xf borderId="14" fillId="5" fontId="15" numFmtId="165" xfId="0" applyAlignment="1" applyBorder="1" applyFill="1" applyFont="1" applyNumberFormat="1">
      <alignment horizontal="center" shrinkToFit="0" vertical="center" wrapText="1"/>
    </xf>
    <xf borderId="14" fillId="5" fontId="15" numFmtId="3" xfId="0" applyAlignment="1" applyBorder="1" applyFill="1" applyFont="1" applyNumberFormat="1">
      <alignment horizontal="center" shrinkToFit="0" vertical="center" wrapText="1"/>
    </xf>
    <xf borderId="14" fillId="5" fontId="7" numFmtId="0" xfId="0" applyAlignment="1" applyBorder="1" applyFill="1" applyFont="1">
      <alignment horizontal="center" shrinkToFit="0" vertical="center" wrapText="1"/>
    </xf>
    <xf borderId="16" fillId="0" fontId="14" numFmtId="0" xfId="0" applyBorder="1" applyFont="1"/>
    <xf borderId="17" fillId="2" fontId="21" numFmtId="166" xfId="0" applyAlignment="1" applyBorder="1" applyFill="1" applyFont="1" applyNumberFormat="1">
      <alignment horizontal="center" shrinkToFit="0" textRotation="90" vertical="center" wrapText="0"/>
    </xf>
    <xf borderId="2" fillId="5" fontId="7" numFmtId="167" xfId="0" applyAlignment="1" applyBorder="1" applyFill="1" applyFont="1" applyNumberFormat="1">
      <alignment horizontal="center" shrinkToFit="0" vertical="center" wrapText="1"/>
    </xf>
    <xf borderId="2" fillId="0" fontId="7" numFmtId="0" xfId="0" applyAlignment="1" applyBorder="1" applyFont="1">
      <alignment horizontal="center" shrinkToFit="0" vertical="center" wrapText="1"/>
    </xf>
    <xf borderId="2" fillId="0" fontId="7" numFmtId="164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shrinkToFit="0" vertical="center" wrapText="0"/>
    </xf>
    <xf borderId="1" fillId="0" fontId="14" numFmtId="0" xfId="0" applyBorder="1" applyFont="1"/>
    <xf borderId="5" fillId="5" fontId="6" numFmtId="0" xfId="0" applyAlignment="1" applyBorder="1" applyFill="1" applyFont="1">
      <alignment horizontal="left" shrinkToFit="0" vertical="center" wrapText="1"/>
    </xf>
    <xf borderId="2" fillId="0" fontId="7" numFmtId="1" xfId="0" applyAlignment="1" applyBorder="1" applyFont="1" applyNumberFormat="1">
      <alignment horizontal="center" shrinkToFit="0" vertical="center" wrapText="1"/>
    </xf>
    <xf borderId="5" fillId="0" fontId="6" numFmtId="164" xfId="0" applyAlignment="1" applyBorder="1" applyFont="1" applyNumberFormat="1">
      <alignment horizontal="center" shrinkToFit="0" vertical="center" wrapText="1"/>
    </xf>
    <xf borderId="5" fillId="0" fontId="6" numFmtId="1" xfId="0" applyAlignment="1" applyBorder="1" applyFont="1" applyNumberFormat="1">
      <alignment horizontal="center" shrinkToFit="0" vertical="center" wrapText="1"/>
    </xf>
    <xf borderId="2" fillId="5" fontId="7" numFmtId="0" xfId="0" applyAlignment="1" applyBorder="1" applyFill="1" applyFont="1">
      <alignment horizontal="left" shrinkToFit="0" vertical="center" wrapText="1"/>
    </xf>
    <xf borderId="2" fillId="5" fontId="7" numFmtId="168" xfId="0" applyAlignment="1" applyBorder="1" applyFill="1" applyFont="1" applyNumberFormat="1">
      <alignment horizontal="center" shrinkToFit="0" vertical="center" wrapText="1"/>
    </xf>
    <xf borderId="2" fillId="0" fontId="7" numFmtId="3" xfId="0" applyAlignment="1" applyBorder="1" applyFont="1" applyNumberFormat="1">
      <alignment horizontal="center" shrinkToFit="0" vertical="center" wrapText="1"/>
    </xf>
    <xf borderId="2" fillId="5" fontId="6" numFmtId="0" xfId="0" applyAlignment="1" applyBorder="1" applyFill="1" applyFont="1">
      <alignment horizontal="center" shrinkToFit="0" vertical="center" wrapText="1"/>
    </xf>
    <xf borderId="5" fillId="0" fontId="6" numFmtId="169" xfId="0" applyAlignment="1" applyBorder="1" applyFont="1" applyNumberFormat="1">
      <alignment horizontal="center" shrinkToFit="0" vertical="center" wrapText="1"/>
    </xf>
    <xf borderId="2" fillId="0" fontId="7" numFmtId="167" xfId="0" applyAlignment="1" applyBorder="1" applyFont="1" applyNumberFormat="1">
      <alignment horizontal="center" shrinkToFit="0" vertical="center" wrapText="1"/>
    </xf>
    <xf borderId="18" fillId="0" fontId="22" numFmtId="0" xfId="0" applyAlignment="1" applyBorder="1" applyFont="1">
      <alignment shrinkToFit="0" vertical="bottom" wrapText="0"/>
    </xf>
    <xf borderId="5" fillId="0" fontId="6" numFmtId="0" xfId="0" applyAlignment="1" applyBorder="1" applyFont="1">
      <alignment horizontal="center" shrinkToFit="0" vertical="center" wrapText="1"/>
    </xf>
    <xf borderId="2" fillId="5" fontId="23" numFmtId="1" xfId="0" applyAlignment="1" applyBorder="1" applyFill="1" applyFont="1" applyNumberForma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2" fillId="5" fontId="23" numFmtId="3" xfId="0" applyAlignment="1" applyBorder="1" applyFill="1" applyFont="1" applyNumberFormat="1">
      <alignment horizontal="center" shrinkToFit="0" vertical="center" wrapText="1"/>
    </xf>
    <xf borderId="2" fillId="0" fontId="7" numFmtId="168" xfId="0" applyAlignment="1" applyBorder="1" applyFont="1" applyNumberFormat="1">
      <alignment horizontal="center" shrinkToFit="0" vertical="center" wrapText="1"/>
    </xf>
    <xf borderId="5" fillId="0" fontId="6" numFmtId="9" xfId="0" applyAlignment="1" applyBorder="1" applyFont="1" applyNumberFormat="1">
      <alignment horizontal="center" shrinkToFit="0" vertical="center" wrapText="1"/>
    </xf>
    <xf borderId="0" fillId="0" fontId="8" numFmtId="0" xfId="0" applyAlignment="1" applyFont="1">
      <alignment shrinkToFit="0" vertical="center" wrapText="0"/>
    </xf>
    <xf borderId="5" fillId="8" fontId="17" numFmtId="0" xfId="0" applyAlignment="1" applyBorder="1" applyFill="1" applyFont="1">
      <alignment horizontal="center" shrinkToFit="0" vertical="center" wrapText="1"/>
    </xf>
    <xf borderId="2" fillId="8" fontId="17" numFmtId="0" xfId="0" applyAlignment="1" applyBorder="1" applyFill="1" applyFont="1">
      <alignment horizontal="center" shrinkToFit="0" vertical="center" wrapText="1"/>
    </xf>
    <xf borderId="5" fillId="0" fontId="6" numFmtId="0" xfId="0" applyAlignment="1" applyBorder="1" applyFont="1">
      <alignment horizontal="left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5" fillId="0" fontId="7" numFmtId="3" xfId="0" applyAlignment="1" applyBorder="1" applyFont="1" applyNumberFormat="1">
      <alignment horizontal="right" shrinkToFit="0" vertical="center" wrapText="0"/>
    </xf>
    <xf borderId="5" fillId="0" fontId="7" numFmtId="164" xfId="0" applyAlignment="1" applyBorder="1" applyFont="1" applyNumberFormat="1">
      <alignment horizontal="center" shrinkToFit="0" vertical="center" wrapText="1"/>
    </xf>
    <xf borderId="5" fillId="4" fontId="12" numFmtId="0" xfId="0" applyAlignment="1" applyBorder="1" applyFill="1" applyFont="1">
      <alignment horizontal="left" shrinkToFit="0" vertical="center" wrapText="1"/>
    </xf>
    <xf borderId="2" fillId="4" fontId="12" numFmtId="1" xfId="0" applyAlignment="1" applyBorder="1" applyFill="1" applyFont="1" applyNumberFormat="1">
      <alignment horizontal="center" shrinkToFit="0" vertical="center" wrapText="1"/>
    </xf>
    <xf borderId="5" fillId="4" fontId="12" numFmtId="3" xfId="0" applyAlignment="1" applyBorder="1" applyFill="1" applyFont="1" applyNumberFormat="1">
      <alignment horizontal="right" shrinkToFit="0" vertical="center" wrapText="0"/>
    </xf>
    <xf borderId="2" fillId="4" fontId="12" numFmtId="167" xfId="0" applyAlignment="1" applyBorder="1" applyFill="1" applyFont="1" applyNumberFormat="1">
      <alignment horizontal="center" shrinkToFit="0" vertical="center" wrapText="1"/>
    </xf>
    <xf borderId="5" fillId="4" fontId="7" numFmtId="0" xfId="0" applyAlignment="1" applyBorder="1" applyFill="1" applyFont="1">
      <alignment shrinkToFit="0" vertical="bottom" wrapText="0"/>
    </xf>
    <xf borderId="5" fillId="0" fontId="7" numFmtId="0" xfId="0" applyAlignment="1" applyBorder="1" applyFont="1">
      <alignment horizontal="left" shrinkToFit="0" vertical="center" wrapText="1"/>
    </xf>
    <xf borderId="0" fillId="0" fontId="2" numFmtId="170" xfId="0" applyAlignment="1" applyFont="1" applyNumberFormat="1">
      <alignment horizontal="left" shrinkToFit="0" vertical="bottom" wrapText="0"/>
    </xf>
    <xf borderId="19" fillId="4" fontId="12" numFmtId="0" xfId="0" applyAlignment="1" applyBorder="1" applyFill="1" applyFont="1">
      <alignment horizontal="center" shrinkToFit="0" vertical="center" wrapText="1"/>
    </xf>
    <xf borderId="19" fillId="4" fontId="12" numFmtId="1" xfId="0" applyAlignment="1" applyBorder="1" applyFill="1" applyFont="1" applyNumberFormat="1">
      <alignment horizontal="center" shrinkToFit="0" vertical="center" wrapText="1"/>
    </xf>
    <xf borderId="19" fillId="4" fontId="12" numFmtId="3" xfId="0" applyAlignment="1" applyBorder="1" applyFill="1" applyFont="1" applyNumberFormat="1">
      <alignment horizontal="center" shrinkToFit="0" vertical="center" wrapText="1"/>
    </xf>
    <xf borderId="19" fillId="4" fontId="12" numFmtId="167" xfId="0" applyAlignment="1" applyBorder="1" applyFill="1" applyFont="1" applyNumberFormat="1">
      <alignment horizontal="center" shrinkToFit="0" vertical="center" wrapText="1"/>
    </xf>
    <xf borderId="19" fillId="4" fontId="12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10">
    <dxf>
      <font>
        <b/>
        <color rgb="FF404040"/>
        <name val="Inter Tight"/>
      </font>
      <fill>
        <patternFill patternType="solid">
          <fgColor rgb="FFEDEDED"/>
          <bgColor rgb="FFEDEDED"/>
        </patternFill>
      </fill>
      <border/>
    </dxf>
    <dxf>
      <font>
        <b/>
        <color rgb="FFFFFFFF"/>
        <name val="Inter Tight"/>
      </font>
      <fill>
        <patternFill patternType="solid">
          <fgColor rgb="FFF26B1D"/>
          <bgColor rgb="FFF26B1D"/>
        </patternFill>
      </fill>
      <border/>
    </dxf>
    <dxf>
      <font>
        <b/>
        <color rgb="FFC2410C"/>
        <name val="Inter Tight"/>
      </font>
      <fill>
        <patternFill patternType="solid">
          <fgColor rgb="FFFDE6D6"/>
          <bgColor rgb="FFFDE6D6"/>
        </patternFill>
      </fill>
      <border/>
    </dxf>
    <dxf>
      <font>
        <b/>
        <color rgb="FF7C2D12"/>
        <name val="Inter Tight"/>
      </font>
      <fill>
        <patternFill patternType="solid">
          <fgColor rgb="FFF9C49A"/>
          <bgColor rgb="FFF9C49A"/>
        </patternFill>
      </fill>
      <border/>
    </dxf>
    <dxf>
      <font>
        <color rgb="FF404040"/>
        <name val="Inter Tight"/>
      </font>
      <fill>
        <patternFill patternType="solid">
          <fgColor rgb="FFEDEDED"/>
          <bgColor rgb="FFEDEDED"/>
        </patternFill>
      </fill>
      <border/>
    </dxf>
    <dxf>
      <font/>
      <fill>
        <patternFill patternType="solid">
          <fgColor rgb="FFC2410C"/>
          <bgColor rgb="FFC2410C"/>
        </patternFill>
      </fill>
      <border/>
    </dxf>
    <dxf>
      <font/>
      <fill>
        <patternFill patternType="solid">
          <fgColor rgb="FFF26B1D"/>
          <bgColor rgb="FFF26B1D"/>
        </patternFill>
      </fill>
      <border/>
    </dxf>
    <dxf>
      <font/>
      <fill>
        <patternFill patternType="solid">
          <fgColor rgb="FFD9D9D9"/>
          <bgColor rgb="FFD9D9D9"/>
        </patternFill>
      </fill>
      <border/>
    </dxf>
    <dxf>
      <font/>
      <fill>
        <patternFill patternType="solid">
          <fgColor rgb="FFFDE6D6"/>
          <bgColor rgb="FFFDE6D6"/>
        </patternFill>
      </fill>
      <border/>
    </dxf>
    <dxf>
      <font>
        <b/>
        <color rgb="FFFFFFFF"/>
        <name val="Inter Tight"/>
      </font>
      <fill>
        <patternFill patternType="solid">
          <fgColor rgb="FFC2410C"/>
          <bgColor rgb="FFC2410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100">
                <a:solidFill>
                  <a:srgbClr val="F26B1D"/>
                </a:solidFill>
                <a:latin typeface="Inter Tight"/>
              </a:defRPr>
            </a:pPr>
            <a:r>
              <a:rPr b="1" i="0" sz="1100">
                <a:solidFill>
                  <a:srgbClr val="F26B1D"/>
                </a:solidFill>
                <a:latin typeface="Inter Tight"/>
              </a:rPr>
              <a:t>Đường cong S – % giá trị lũy kế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v>% lũy kế</c:v>
          </c:tx>
          <c:spPr>
            <a:ln cmpd="sng" w="19050">
              <a:solidFill>
                <a:srgbClr val="F26B1D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'Nhân lực - Vốn'!$B$8:$B$67</c:f>
            </c:strRef>
          </c:cat>
          <c:val>
            <c:numRef>
              <c:f>'Nhân lực - Vốn'!$H$8:$H$67</c:f>
              <c:numCache/>
            </c:numRef>
          </c:val>
          <c:smooth val="0"/>
        </c:ser>
        <c:axId val="915372112"/>
        <c:axId val="1217547350"/>
      </c:lineChart>
      <c:catAx>
        <c:axId val="915372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dd/mm/yy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800">
                <a:solidFill>
                  <a:srgbClr val="595959"/>
                </a:solidFill>
                <a:latin typeface="Inter Tight"/>
              </a:defRPr>
            </a:pPr>
          </a:p>
        </c:txPr>
        <c:crossAx val="1217547350"/>
      </c:catAx>
      <c:valAx>
        <c:axId val="1217547350"/>
        <c:scaling>
          <c:orientation val="minMax"/>
          <c:max val="1.0"/>
          <c:min val="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  <a:latin typeface="Inter Tight"/>
              </a:defRPr>
            </a:pPr>
          </a:p>
        </c:txPr>
        <c:crossAx val="915372112"/>
        <c:majorUnit val="0.25"/>
      </c:valAx>
    </c:plotArea>
    <c:plotVisOnly val="1"/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100">
                <a:solidFill>
                  <a:srgbClr val="F26B1D"/>
                </a:solidFill>
                <a:latin typeface="Inter Tight"/>
              </a:defRPr>
            </a:pPr>
            <a:r>
              <a:rPr b="1" i="0" sz="1100">
                <a:solidFill>
                  <a:srgbClr val="F26B1D"/>
                </a:solidFill>
                <a:latin typeface="Inter Tight"/>
              </a:rPr>
              <a:t>Nhân lực huy động theo tuần (người)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Nhân lực</c:v>
          </c:tx>
          <c:spPr>
            <a:solidFill>
              <a:srgbClr val="F26B1D"/>
            </a:solidFill>
            <a:ln cmpd="sng">
              <a:noFill/>
            </a:ln>
          </c:spPr>
          <c:invertIfNegative val="0"/>
          <c:cat>
            <c:strRef>
              <c:f>'Nhân lực - Vốn'!$B$8:$B$67</c:f>
            </c:strRef>
          </c:cat>
          <c:val>
            <c:numRef>
              <c:f>'Nhân lực - Vốn'!$E$8:$E$67</c:f>
              <c:numCache/>
            </c:numRef>
          </c:val>
        </c:ser>
        <c:axId val="286778531"/>
        <c:axId val="456480811"/>
      </c:barChart>
      <c:catAx>
        <c:axId val="28677853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dd/mm/yy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800">
                <a:solidFill>
                  <a:srgbClr val="595959"/>
                </a:solidFill>
                <a:latin typeface="Inter Tight"/>
              </a:defRPr>
            </a:pPr>
          </a:p>
        </c:txPr>
        <c:crossAx val="456480811"/>
      </c:catAx>
      <c:valAx>
        <c:axId val="456480811"/>
        <c:scaling>
          <c:orientation val="minMax"/>
          <c:min val="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  <a:latin typeface="Inter Tight"/>
              </a:defRPr>
            </a:pPr>
          </a:p>
        </c:txPr>
        <c:crossAx val="286778531"/>
      </c:valAx>
    </c:plotArea>
    <c:plotVisOnly val="1"/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51</xdr:row>
      <xdr:rowOff>0</xdr:rowOff>
    </xdr:from>
    <xdr:ext cx="4324350" cy="3209925"/>
    <xdr:graphicFrame>
      <xdr:nvGraphicFramePr>
        <xdr:cNvPr id="12878229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7</xdr:col>
      <xdr:colOff>0</xdr:colOff>
      <xdr:row>51</xdr:row>
      <xdr:rowOff>0</xdr:rowOff>
    </xdr:from>
    <xdr:ext cx="4324350" cy="3209925"/>
    <xdr:graphicFrame>
      <xdr:nvGraphicFramePr>
        <xdr:cNvPr id="637034607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Inter Tight"/>
        <a:ea typeface="Inter Tight"/>
        <a:cs typeface="Inter Tight"/>
      </a:majorFont>
      <a:minorFont>
        <a:latin typeface="Inter Tight"/>
        <a:ea typeface="Inter Tight"/>
        <a:cs typeface="Inter Tight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B1D"/>
    <pageSetUpPr fitToPage="1"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13" width="12.43"/>
    <col customWidth="1" min="14" max="26" width="8.57"/>
  </cols>
  <sheetData>
    <row r="2" ht="36.0" customHeight="1">
      <c r="B2" s="23" t="s">
        <v>55</v>
      </c>
    </row>
    <row r="3" ht="21.75" customHeight="1">
      <c r="B3" s="30" t="str">
        <f>"Công trình: "&amp;IF('Cấu hình'!C6="","(chưa nhập)",'Cấu hình'!C6)</f>
        <v>Công trình: Tòa nhà văn phòng ABC – 8 tầng (dữ liệu mẫu)</v>
      </c>
    </row>
    <row r="4">
      <c r="B4" s="32" t="str">
        <f>"Nhà thầu: "&amp;IF('Cấu hình'!C9="","—",'Cấu hình'!C9)</f>
        <v>Nhà thầu: Công ty TNHH Xây dựng XYZ</v>
      </c>
      <c r="H4" s="35" t="str">
        <f>"Người lập: "&amp;IF('Cấu hình'!C11="","—",'Cấu hình'!C11)&amp;"  |  Ngày lập: "&amp;TEXT('Cấu hình'!$C$14,"dd/mm/yyyy")</f>
        <v>Người lập: Trần Thị Bình  |  Ngày lập: 28/10/2026</v>
      </c>
    </row>
    <row r="6" ht="24.0" customHeight="1">
      <c r="B6" s="36" t="s">
        <v>95</v>
      </c>
      <c r="C6" s="37"/>
      <c r="D6" s="39"/>
      <c r="E6" s="36" t="s">
        <v>112</v>
      </c>
      <c r="F6" s="37"/>
      <c r="G6" s="39"/>
      <c r="H6" s="36" t="s">
        <v>118</v>
      </c>
      <c r="I6" s="37"/>
      <c r="J6" s="39"/>
      <c r="K6" s="36" t="s">
        <v>119</v>
      </c>
      <c r="L6" s="37"/>
      <c r="M6" s="39"/>
    </row>
    <row r="7" ht="43.5" customHeight="1">
      <c r="B7" s="43">
        <f>'Cấu hình'!$C$15</f>
        <v>46328</v>
      </c>
      <c r="C7" s="22"/>
      <c r="D7" s="45"/>
      <c r="E7" s="43">
        <f>'Danh mục công việc'!$S$4</f>
        <v>46728</v>
      </c>
      <c r="F7" s="22"/>
      <c r="G7" s="45"/>
      <c r="H7" s="50">
        <f>'Danh mục công việc'!$S$4-'Cấu hình'!$C$15+1</f>
        <v>401</v>
      </c>
      <c r="I7" s="22"/>
      <c r="J7" s="45"/>
      <c r="K7" s="51">
        <f>'Danh mục công việc'!H67</f>
        <v>37126000000</v>
      </c>
      <c r="L7" s="22"/>
      <c r="M7" s="45"/>
    </row>
    <row r="8" ht="25.5" customHeight="1">
      <c r="B8" s="52" t="str">
        <f>"Còn "&amp;MAX(0,'Cấu hình'!$C$15-'Cấu hình'!$C$14)&amp;" ngày nữa khởi công"</f>
        <v>Còn 5 ngày nữa khởi công</v>
      </c>
      <c r="C8" s="22"/>
      <c r="D8" s="45"/>
      <c r="E8" s="52" t="str">
        <f>IF('Cấu hình'!$C$16="","",IF('Danh mục công việc'!$S$4&lt;='Cấu hình'!$C$16,"Đạt thời hạn hợp đồng","Chậm "&amp;('Danh mục công việc'!$S$4-'Cấu hình'!$C$16)&amp;" ngày so với hợp đồng"))</f>
        <v>Đạt thời hạn hợp đồng</v>
      </c>
      <c r="F8" s="22"/>
      <c r="G8" s="45"/>
      <c r="H8" s="52" t="str">
        <f>_xlfn.NETWORKDAYS.INTL('Cấu hình'!$C$15,'Danh mục công việc'!$S$4,'Cấu hình'!$C$17,'Cấu hình'!$E$6:$E$35)&amp;" ngày làm việc"</f>
        <v>280 ngày làm việc</v>
      </c>
      <c r="I8" s="22"/>
      <c r="J8" s="45"/>
      <c r="K8" s="52" t="str">
        <f>"Nhân lực cao điểm: "&amp;'Nhân lực - Vốn'!E68&amp;" người"</f>
        <v>Nhân lực cao điểm: 104 người</v>
      </c>
      <c r="L8" s="22"/>
      <c r="M8" s="45"/>
    </row>
    <row r="10" ht="24.0" customHeight="1">
      <c r="B10" s="58" t="s">
        <v>123</v>
      </c>
      <c r="C10" s="59"/>
      <c r="D10" s="59"/>
      <c r="E10" s="59"/>
      <c r="F10" s="59"/>
      <c r="G10" s="59"/>
      <c r="H10" s="58" t="s">
        <v>124</v>
      </c>
      <c r="I10" s="59"/>
      <c r="J10" s="59"/>
      <c r="K10" s="59"/>
      <c r="L10" s="59"/>
      <c r="M10" s="59"/>
    </row>
    <row r="11" ht="21.75" customHeight="1">
      <c r="B11" s="60" t="s">
        <v>125</v>
      </c>
      <c r="C11" s="26"/>
      <c r="D11" s="27"/>
      <c r="E11" s="62">
        <f>'Cấu hình'!$C$16</f>
        <v>46752</v>
      </c>
      <c r="F11" s="26"/>
      <c r="G11" s="27"/>
      <c r="H11" s="60" t="s">
        <v>126</v>
      </c>
      <c r="I11" s="26"/>
      <c r="J11" s="26"/>
      <c r="K11" s="27"/>
      <c r="L11" s="63">
        <f>COUNTA('Danh mục công việc'!$D$7:$D$66)</f>
        <v>26</v>
      </c>
      <c r="M11" s="27"/>
    </row>
    <row r="12" ht="21.75" customHeight="1">
      <c r="B12" s="60" t="s">
        <v>127</v>
      </c>
      <c r="C12" s="26"/>
      <c r="D12" s="27"/>
      <c r="E12" s="62">
        <f>'Danh mục công việc'!$S$4</f>
        <v>46728</v>
      </c>
      <c r="F12" s="26"/>
      <c r="G12" s="27"/>
      <c r="H12" s="60" t="s">
        <v>128</v>
      </c>
      <c r="I12" s="26"/>
      <c r="J12" s="26"/>
      <c r="K12" s="27"/>
      <c r="L12" s="63">
        <f>COUNTIF('Danh mục công việc'!$W$7:$W$66,"Găng")</f>
        <v>18</v>
      </c>
      <c r="M12" s="27"/>
    </row>
    <row r="13" ht="21.75" customHeight="1">
      <c r="B13" s="60" t="s">
        <v>129</v>
      </c>
      <c r="C13" s="26"/>
      <c r="D13" s="27"/>
      <c r="E13" s="68">
        <f>IF('Cấu hình'!$C$16="","",'Cấu hình'!$C$16-'Danh mục công việc'!$S$4)</f>
        <v>24</v>
      </c>
      <c r="F13" s="26"/>
      <c r="G13" s="27"/>
      <c r="H13" s="60" t="s">
        <v>130</v>
      </c>
      <c r="I13" s="26"/>
      <c r="J13" s="26"/>
      <c r="K13" s="27"/>
      <c r="L13" s="63">
        <f>COUNTIF('Danh mục công việc'!$Z$7:$Z$66,"Kiểm tra*")</f>
        <v>0</v>
      </c>
      <c r="M13" s="27"/>
    </row>
    <row r="14" ht="21.75" customHeight="1">
      <c r="B14" s="60" t="s">
        <v>131</v>
      </c>
      <c r="C14" s="26"/>
      <c r="D14" s="27"/>
      <c r="E14" s="71" t="str">
        <f>IF('Cấu hình'!$C$16="","",IF('Danh mục công việc'!$S$4&lt;='Cấu hình'!$C$16,"Đạt tiến độ hợp đồng","Vượt thời hạn hợp đồng"))</f>
        <v>Đạt tiến độ hợp đồng</v>
      </c>
      <c r="F14" s="26"/>
      <c r="G14" s="27"/>
      <c r="H14" s="60" t="s">
        <v>132</v>
      </c>
      <c r="I14" s="26"/>
      <c r="J14" s="26"/>
      <c r="K14" s="27"/>
      <c r="L14" s="63">
        <f>COUNTIF('Vật tư'!L8:L32,"Quá hạn*")</f>
        <v>0</v>
      </c>
      <c r="M14" s="27"/>
    </row>
    <row r="15" ht="21.75" customHeight="1">
      <c r="H15" s="60" t="s">
        <v>133</v>
      </c>
      <c r="I15" s="26"/>
      <c r="J15" s="26"/>
      <c r="K15" s="27"/>
      <c r="L15" s="76">
        <f>'Nhân lực - Vốn'!H67</f>
        <v>1</v>
      </c>
      <c r="M15" s="27"/>
    </row>
    <row r="16">
      <c r="B16" s="77" t="s">
        <v>134</v>
      </c>
    </row>
    <row r="18" ht="24.0" customHeight="1">
      <c r="B18" s="58" t="s">
        <v>135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ht="15.0" customHeight="1">
      <c r="B19" s="78" t="s">
        <v>69</v>
      </c>
      <c r="C19" s="26"/>
      <c r="D19" s="27"/>
      <c r="E19" s="79" t="s">
        <v>136</v>
      </c>
      <c r="F19" s="78" t="s">
        <v>137</v>
      </c>
      <c r="G19" s="27"/>
      <c r="H19" s="79" t="s">
        <v>138</v>
      </c>
      <c r="I19" s="78" t="s">
        <v>79</v>
      </c>
      <c r="J19" s="27"/>
      <c r="K19" s="78" t="s">
        <v>82</v>
      </c>
      <c r="L19" s="27"/>
      <c r="M19" s="79" t="s">
        <v>139</v>
      </c>
    </row>
    <row r="20" ht="21.75" customHeight="1">
      <c r="B20" s="80" t="str">
        <f>IF('Cấu hình'!$I$6="","",'Cấu hình'!$I$6)</f>
        <v>Chuẩn bị mặt bằng</v>
      </c>
      <c r="C20" s="26"/>
      <c r="D20" s="27"/>
      <c r="E20" s="61">
        <f>IF('Cấu hình'!$I$6="","",COUNTIF('Danh mục công việc'!$C$7:$C$66,'Cấu hình'!$I$6))</f>
        <v>2</v>
      </c>
      <c r="F20" s="82">
        <f>IF('Cấu hình'!$I$6="","",SUMIFS('Danh mục công việc'!$H$7:$H$66,'Danh mục công việc'!$C$7:$C$66,'Cấu hình'!$I$6))</f>
        <v>310000000</v>
      </c>
      <c r="G20" s="27"/>
      <c r="H20" s="69">
        <f>IF('Cấu hình'!$I$6="","",IF('Danh mục công việc'!$H$67=0,0,F20/'Danh mục công việc'!$H$67))</f>
        <v>0.008349943436</v>
      </c>
      <c r="I20" s="83">
        <f>IF(OR('Cấu hình'!$I$6="",N(E20)=0),"",MINIFS('Danh mục công việc'!$R$7:$R$66,'Danh mục công việc'!$C$7:$C$66,'Cấu hình'!$I$6))</f>
        <v>46328</v>
      </c>
      <c r="J20" s="27"/>
      <c r="K20" s="83">
        <f>IF(OR('Cấu hình'!$I$6="",N(E20)=0),"",MAXIFS('Danh mục công việc'!$S$7:$S$66,'Danh mục công việc'!$C$7:$C$66,'Cấu hình'!$I$6))</f>
        <v>46339</v>
      </c>
      <c r="L20" s="27"/>
      <c r="M20" s="61">
        <f>IF(I20="","",_xlfn.NETWORKDAYS.INTL(I20,K20,'Cấu hình'!$C$17,'Cấu hình'!$E$6:$E$35))</f>
        <v>10</v>
      </c>
    </row>
    <row r="21" ht="21.75" customHeight="1">
      <c r="B21" s="80" t="str">
        <f>IF('Cấu hình'!$I$7="","",'Cấu hình'!$I$7)</f>
        <v>Phần ngầm – móng</v>
      </c>
      <c r="C21" s="26"/>
      <c r="D21" s="27"/>
      <c r="E21" s="61">
        <f>IF('Cấu hình'!$I$7="","",COUNTIF('Danh mục công việc'!$C$7:$C$66,'Cấu hình'!$I$7))</f>
        <v>6</v>
      </c>
      <c r="F21" s="82">
        <f>IF('Cấu hình'!$I$7="","",SUMIFS('Danh mục công việc'!$H$7:$H$66,'Danh mục công việc'!$C$7:$C$66,'Cấu hình'!$I$7))</f>
        <v>4887000000</v>
      </c>
      <c r="G21" s="27"/>
      <c r="H21" s="69">
        <f>IF('Cấu hình'!$I$7="","",IF('Danh mục công việc'!$H$67=0,0,F21/'Danh mục công việc'!$H$67))</f>
        <v>0.131632818</v>
      </c>
      <c r="I21" s="83">
        <f>IF(OR('Cấu hình'!$I$7="",N(E21)=0),"",MINIFS('Danh mục công việc'!$R$7:$R$66,'Danh mục công việc'!$C$7:$C$66,'Cấu hình'!$I$7))</f>
        <v>46342</v>
      </c>
      <c r="J21" s="27"/>
      <c r="K21" s="83">
        <f>IF(OR('Cấu hình'!$I$7="",N(E21)=0),"",MAXIFS('Danh mục công việc'!$S$7:$S$66,'Danh mục công việc'!$C$7:$C$66,'Cấu hình'!$I$7))</f>
        <v>46392</v>
      </c>
      <c r="L21" s="27"/>
      <c r="M21" s="61">
        <f>IF(I21="","",_xlfn.NETWORKDAYS.INTL(I21,K21,'Cấu hình'!$C$17,'Cấu hình'!$E$6:$E$35))</f>
        <v>36</v>
      </c>
    </row>
    <row r="22" ht="21.75" customHeight="1">
      <c r="B22" s="80" t="str">
        <f>IF('Cấu hình'!$I$8="","",'Cấu hình'!$I$8)</f>
        <v>Phần thân – kết cấu</v>
      </c>
      <c r="C22" s="26"/>
      <c r="D22" s="27"/>
      <c r="E22" s="61">
        <f>IF('Cấu hình'!$I$8="","",COUNTIF('Danh mục công việc'!$C$7:$C$66,'Cấu hình'!$I$8))</f>
        <v>5</v>
      </c>
      <c r="F22" s="82">
        <f>IF('Cấu hình'!$I$8="","",SUMIFS('Danh mục công việc'!$H$7:$H$66,'Danh mục công việc'!$C$7:$C$66,'Cấu hình'!$I$8))</f>
        <v>11790000000</v>
      </c>
      <c r="G22" s="27"/>
      <c r="H22" s="69">
        <f>IF('Cấu hình'!$I$8="","",IF('Danh mục công việc'!$H$67=0,0,F22/'Danh mục công việc'!$H$67))</f>
        <v>0.3175672036</v>
      </c>
      <c r="I22" s="83">
        <f>IF(OR('Cấu hình'!$I$8="",N(E22)=0),"",MINIFS('Danh mục công việc'!$R$7:$R$66,'Danh mục công việc'!$C$7:$C$66,'Cấu hình'!$I$8))</f>
        <v>46393</v>
      </c>
      <c r="J22" s="27"/>
      <c r="K22" s="83">
        <f>IF(OR('Cấu hình'!$I$8="",N(E22)=0),"",MAXIFS('Danh mục công việc'!$S$7:$S$66,'Danh mục công việc'!$C$7:$C$66,'Cấu hình'!$I$8))</f>
        <v>46498</v>
      </c>
      <c r="L22" s="27"/>
      <c r="M22" s="61">
        <f>IF(I22="","",_xlfn.NETWORKDAYS.INTL(I22,K22,'Cấu hình'!$C$17,'Cấu hình'!$E$6:$E$35))</f>
        <v>71</v>
      </c>
    </row>
    <row r="23" ht="21.75" customHeight="1">
      <c r="B23" s="80" t="str">
        <f>IF('Cấu hình'!$I$9="","",'Cấu hình'!$I$9)</f>
        <v>Hoàn thiện thô (xây, MEP)</v>
      </c>
      <c r="C23" s="26"/>
      <c r="D23" s="27"/>
      <c r="E23" s="61">
        <f>IF('Cấu hình'!$I$9="","",COUNTIF('Danh mục công việc'!$C$7:$C$66,'Cấu hình'!$I$9))</f>
        <v>5</v>
      </c>
      <c r="F23" s="82">
        <f>IF('Cấu hình'!$I$9="","",SUMIFS('Danh mục công việc'!$H$7:$H$66,'Danh mục công việc'!$C$7:$C$66,'Cấu hình'!$I$9))</f>
        <v>8825000000</v>
      </c>
      <c r="G23" s="27"/>
      <c r="H23" s="69">
        <f>IF('Cấu hình'!$I$9="","",IF('Danh mục công việc'!$H$67=0,0,F23/'Danh mục công việc'!$H$67))</f>
        <v>0.2377040349</v>
      </c>
      <c r="I23" s="83">
        <f>IF(OR('Cấu hình'!$I$9="",N(E23)=0),"",MINIFS('Danh mục công việc'!$R$7:$R$66,'Danh mục công việc'!$C$7:$C$66,'Cấu hình'!$I$9))</f>
        <v>46449</v>
      </c>
      <c r="J23" s="27"/>
      <c r="K23" s="83">
        <f>IF(OR('Cấu hình'!$I$9="",N(E23)=0),"",MAXIFS('Danh mục công việc'!$S$7:$S$66,'Danh mục công việc'!$C$7:$C$66,'Cấu hình'!$I$9))</f>
        <v>46622</v>
      </c>
      <c r="L23" s="27"/>
      <c r="M23" s="61">
        <f>IF(I23="","",_xlfn.NETWORKDAYS.INTL(I23,K23,'Cấu hình'!$C$17,'Cấu hình'!$E$6:$E$35))</f>
        <v>123</v>
      </c>
    </row>
    <row r="24" ht="21.75" customHeight="1">
      <c r="B24" s="80" t="str">
        <f>IF('Cấu hình'!$I$10="","",'Cấu hình'!$I$10)</f>
        <v>Hoàn thiện</v>
      </c>
      <c r="C24" s="26"/>
      <c r="D24" s="27"/>
      <c r="E24" s="61">
        <f>IF('Cấu hình'!$I$10="","",COUNTIF('Danh mục công việc'!$C$7:$C$66,'Cấu hình'!$I$10))</f>
        <v>5</v>
      </c>
      <c r="F24" s="82">
        <f>IF('Cấu hình'!$I$10="","",SUMIFS('Danh mục công việc'!$H$7:$H$66,'Danh mục công việc'!$C$7:$C$66,'Cấu hình'!$I$10))</f>
        <v>9034000000</v>
      </c>
      <c r="G24" s="27"/>
      <c r="H24" s="69">
        <f>IF('Cấu hình'!$I$10="","",IF('Danh mục công việc'!$H$67=0,0,F24/'Danh mục công việc'!$H$67))</f>
        <v>0.2433335129</v>
      </c>
      <c r="I24" s="83">
        <f>IF(OR('Cấu hình'!$I$10="",N(E24)=0),"",MINIFS('Danh mục công việc'!$R$7:$R$66,'Danh mục công việc'!$C$7:$C$66,'Cấu hình'!$I$10))</f>
        <v>46528</v>
      </c>
      <c r="J24" s="27"/>
      <c r="K24" s="83">
        <f>IF(OR('Cấu hình'!$I$10="",N(E24)=0),"",MAXIFS('Danh mục công việc'!$S$7:$S$66,'Danh mục công việc'!$C$7:$C$66,'Cấu hình'!$I$10))</f>
        <v>46703</v>
      </c>
      <c r="L24" s="27"/>
      <c r="M24" s="61">
        <f>IF(I24="","",_xlfn.NETWORKDAYS.INTL(I24,K24,'Cấu hình'!$C$17,'Cấu hình'!$E$6:$E$35))</f>
        <v>126</v>
      </c>
    </row>
    <row r="25" ht="21.75" customHeight="1">
      <c r="B25" s="80" t="str">
        <f>IF('Cấu hình'!$I$11="","",'Cấu hình'!$I$11)</f>
        <v>Hạ tầng và bàn giao</v>
      </c>
      <c r="C25" s="26"/>
      <c r="D25" s="27"/>
      <c r="E25" s="61">
        <f>IF('Cấu hình'!$I$11="","",COUNTIF('Danh mục công việc'!$C$7:$C$66,'Cấu hình'!$I$11))</f>
        <v>3</v>
      </c>
      <c r="F25" s="82">
        <f>IF('Cấu hình'!$I$11="","",SUMIFS('Danh mục công việc'!$H$7:$H$66,'Danh mục công việc'!$C$7:$C$66,'Cấu hình'!$I$11))</f>
        <v>2280000000</v>
      </c>
      <c r="G25" s="27"/>
      <c r="H25" s="69">
        <f>IF('Cấu hình'!$I$11="","",IF('Danh mục công việc'!$H$67=0,0,F25/'Danh mục công việc'!$H$67))</f>
        <v>0.06141248721</v>
      </c>
      <c r="I25" s="83">
        <f>IF(OR('Cấu hình'!$I$11="",N(E25)=0),"",MINIFS('Danh mục công việc'!$R$7:$R$66,'Danh mục công việc'!$C$7:$C$66,'Cấu hình'!$I$11))</f>
        <v>46680</v>
      </c>
      <c r="J25" s="27"/>
      <c r="K25" s="83">
        <f>IF(OR('Cấu hình'!$I$11="",N(E25)=0),"",MAXIFS('Danh mục công việc'!$S$7:$S$66,'Danh mục công việc'!$C$7:$C$66,'Cấu hình'!$I$11))</f>
        <v>46728</v>
      </c>
      <c r="L25" s="27"/>
      <c r="M25" s="61">
        <f>IF(I25="","",_xlfn.NETWORKDAYS.INTL(I25,K25,'Cấu hình'!$C$17,'Cấu hình'!$E$6:$E$35))</f>
        <v>35</v>
      </c>
    </row>
    <row r="26" ht="21.75" customHeight="1">
      <c r="B26" s="80" t="str">
        <f>IF('Cấu hình'!$I$12="","",'Cấu hình'!$I$12)</f>
        <v/>
      </c>
      <c r="C26" s="26"/>
      <c r="D26" s="27"/>
      <c r="E26" s="61" t="str">
        <f>IF('Cấu hình'!$I$12="","",COUNTIF('Danh mục công việc'!$C$7:$C$66,'Cấu hình'!$I$12))</f>
        <v/>
      </c>
      <c r="F26" s="82" t="str">
        <f>IF('Cấu hình'!$I$12="","",SUMIFS('Danh mục công việc'!$H$7:$H$66,'Danh mục công việc'!$C$7:$C$66,'Cấu hình'!$I$12))</f>
        <v/>
      </c>
      <c r="G26" s="27"/>
      <c r="H26" s="69" t="str">
        <f>IF('Cấu hình'!$I$12="","",IF('Danh mục công việc'!$H$67=0,0,F26/'Danh mục công việc'!$H$67))</f>
        <v/>
      </c>
      <c r="I26" s="83" t="str">
        <f>IF(OR('Cấu hình'!$I$12="",N(E26)=0),"",MINIFS('Danh mục công việc'!$R$7:$R$66,'Danh mục công việc'!$C$7:$C$66,'Cấu hình'!$I$12))</f>
        <v/>
      </c>
      <c r="J26" s="27"/>
      <c r="K26" s="83" t="str">
        <f>IF(OR('Cấu hình'!$I$12="",N(E26)=0),"",MAXIFS('Danh mục công việc'!$S$7:$S$66,'Danh mục công việc'!$C$7:$C$66,'Cấu hình'!$I$12))</f>
        <v/>
      </c>
      <c r="L26" s="27"/>
      <c r="M26" s="61" t="str">
        <f>IF(I26="","",_xlfn.NETWORKDAYS.INTL(I26,K26,'Cấu hình'!$C$17,'Cấu hình'!$E$6:$E$35))</f>
        <v/>
      </c>
    </row>
    <row r="27" ht="21.75" customHeight="1">
      <c r="B27" s="80" t="str">
        <f>IF('Cấu hình'!$I$13="","",'Cấu hình'!$I$13)</f>
        <v/>
      </c>
      <c r="C27" s="26"/>
      <c r="D27" s="27"/>
      <c r="E27" s="61" t="str">
        <f>IF('Cấu hình'!$I$13="","",COUNTIF('Danh mục công việc'!$C$7:$C$66,'Cấu hình'!$I$13))</f>
        <v/>
      </c>
      <c r="F27" s="82" t="str">
        <f>IF('Cấu hình'!$I$13="","",SUMIFS('Danh mục công việc'!$H$7:$H$66,'Danh mục công việc'!$C$7:$C$66,'Cấu hình'!$I$13))</f>
        <v/>
      </c>
      <c r="G27" s="27"/>
      <c r="H27" s="69" t="str">
        <f>IF('Cấu hình'!$I$13="","",IF('Danh mục công việc'!$H$67=0,0,F27/'Danh mục công việc'!$H$67))</f>
        <v/>
      </c>
      <c r="I27" s="83" t="str">
        <f>IF(OR('Cấu hình'!$I$13="",N(E27)=0),"",MINIFS('Danh mục công việc'!$R$7:$R$66,'Danh mục công việc'!$C$7:$C$66,'Cấu hình'!$I$13))</f>
        <v/>
      </c>
      <c r="J27" s="27"/>
      <c r="K27" s="83" t="str">
        <f>IF(OR('Cấu hình'!$I$13="",N(E27)=0),"",MAXIFS('Danh mục công việc'!$S$7:$S$66,'Danh mục công việc'!$C$7:$C$66,'Cấu hình'!$I$13))</f>
        <v/>
      </c>
      <c r="L27" s="27"/>
      <c r="M27" s="61" t="str">
        <f>IF(I27="","",_xlfn.NETWORKDAYS.INTL(I27,K27,'Cấu hình'!$C$17,'Cấu hình'!$E$6:$E$35))</f>
        <v/>
      </c>
    </row>
    <row r="28" ht="21.75" customHeight="1">
      <c r="B28" s="80" t="str">
        <f>IF('Cấu hình'!$I$14="","",'Cấu hình'!$I$14)</f>
        <v/>
      </c>
      <c r="C28" s="26"/>
      <c r="D28" s="27"/>
      <c r="E28" s="61" t="str">
        <f>IF('Cấu hình'!$I$14="","",COUNTIF('Danh mục công việc'!$C$7:$C$66,'Cấu hình'!$I$14))</f>
        <v/>
      </c>
      <c r="F28" s="82" t="str">
        <f>IF('Cấu hình'!$I$14="","",SUMIFS('Danh mục công việc'!$H$7:$H$66,'Danh mục công việc'!$C$7:$C$66,'Cấu hình'!$I$14))</f>
        <v/>
      </c>
      <c r="G28" s="27"/>
      <c r="H28" s="69" t="str">
        <f>IF('Cấu hình'!$I$14="","",IF('Danh mục công việc'!$H$67=0,0,F28/'Danh mục công việc'!$H$67))</f>
        <v/>
      </c>
      <c r="I28" s="83" t="str">
        <f>IF(OR('Cấu hình'!$I$14="",N(E28)=0),"",MINIFS('Danh mục công việc'!$R$7:$R$66,'Danh mục công việc'!$C$7:$C$66,'Cấu hình'!$I$14))</f>
        <v/>
      </c>
      <c r="J28" s="27"/>
      <c r="K28" s="83" t="str">
        <f>IF(OR('Cấu hình'!$I$14="",N(E28)=0),"",MAXIFS('Danh mục công việc'!$S$7:$S$66,'Danh mục công việc'!$C$7:$C$66,'Cấu hình'!$I$14))</f>
        <v/>
      </c>
      <c r="L28" s="27"/>
      <c r="M28" s="61" t="str">
        <f>IF(I28="","",_xlfn.NETWORKDAYS.INTL(I28,K28,'Cấu hình'!$C$17,'Cấu hình'!$E$6:$E$35))</f>
        <v/>
      </c>
    </row>
    <row r="29" ht="21.75" customHeight="1">
      <c r="B29" s="80" t="str">
        <f>IF('Cấu hình'!$I$15="","",'Cấu hình'!$I$15)</f>
        <v/>
      </c>
      <c r="C29" s="26"/>
      <c r="D29" s="27"/>
      <c r="E29" s="61" t="str">
        <f>IF('Cấu hình'!$I$15="","",COUNTIF('Danh mục công việc'!$C$7:$C$66,'Cấu hình'!$I$15))</f>
        <v/>
      </c>
      <c r="F29" s="82" t="str">
        <f>IF('Cấu hình'!$I$15="","",SUMIFS('Danh mục công việc'!$H$7:$H$66,'Danh mục công việc'!$C$7:$C$66,'Cấu hình'!$I$15))</f>
        <v/>
      </c>
      <c r="G29" s="27"/>
      <c r="H29" s="69" t="str">
        <f>IF('Cấu hình'!$I$15="","",IF('Danh mục công việc'!$H$67=0,0,F29/'Danh mục công việc'!$H$67))</f>
        <v/>
      </c>
      <c r="I29" s="83" t="str">
        <f>IF(OR('Cấu hình'!$I$15="",N(E29)=0),"",MINIFS('Danh mục công việc'!$R$7:$R$66,'Danh mục công việc'!$C$7:$C$66,'Cấu hình'!$I$15))</f>
        <v/>
      </c>
      <c r="J29" s="27"/>
      <c r="K29" s="83" t="str">
        <f>IF(OR('Cấu hình'!$I$15="",N(E29)=0),"",MAXIFS('Danh mục công việc'!$S$7:$S$66,'Danh mục công việc'!$C$7:$C$66,'Cấu hình'!$I$15))</f>
        <v/>
      </c>
      <c r="L29" s="27"/>
      <c r="M29" s="61" t="str">
        <f>IF(I29="","",_xlfn.NETWORKDAYS.INTL(I29,K29,'Cấu hình'!$C$17,'Cấu hình'!$E$6:$E$35))</f>
        <v/>
      </c>
    </row>
    <row r="30" ht="24.0" customHeight="1">
      <c r="B30" s="84" t="s">
        <v>161</v>
      </c>
      <c r="C30" s="26"/>
      <c r="D30" s="27"/>
      <c r="E30" s="85">
        <f t="shared" ref="E30:F30" si="1">SUM(E20:E29)</f>
        <v>26</v>
      </c>
      <c r="F30" s="86">
        <f t="shared" si="1"/>
        <v>37126000000</v>
      </c>
      <c r="G30" s="27"/>
      <c r="H30" s="87">
        <f>SUM(H20:H29)</f>
        <v>1</v>
      </c>
      <c r="I30" s="88"/>
      <c r="J30" s="26"/>
      <c r="K30" s="26"/>
      <c r="L30" s="26"/>
      <c r="M30" s="27"/>
    </row>
    <row r="31" ht="15.75" customHeight="1"/>
    <row r="32" ht="24.0" customHeight="1">
      <c r="B32" s="58" t="s">
        <v>164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</row>
    <row r="33" ht="15.0" customHeight="1">
      <c r="B33" s="79" t="s">
        <v>68</v>
      </c>
      <c r="C33" s="78" t="s">
        <v>74</v>
      </c>
      <c r="D33" s="26"/>
      <c r="E33" s="26"/>
      <c r="F33" s="26"/>
      <c r="G33" s="27"/>
      <c r="H33" s="78" t="s">
        <v>79</v>
      </c>
      <c r="I33" s="27"/>
      <c r="J33" s="78" t="s">
        <v>82</v>
      </c>
      <c r="K33" s="27"/>
      <c r="L33" s="79" t="s">
        <v>92</v>
      </c>
      <c r="M33" s="79" t="s">
        <v>165</v>
      </c>
    </row>
    <row r="34" ht="21.75" customHeight="1">
      <c r="B34" s="81" t="str">
        <f t="array" ref="B34">IFERROR(INDEX('Danh mục công việc'!$B$7:$B$66,MATCH(1,'Danh mục công việc'!$AH$7:$AH$66,0)),"")</f>
        <v>A01</v>
      </c>
      <c r="C34" s="89" t="str">
        <f t="array" ref="C34">IFERROR(INDEX('Danh mục công việc'!$D$7:$D$66,MATCH(1,'Danh mục công việc'!$AH$7:$AH$66,0)),"")</f>
        <v>Giải phóng mặt bằng, dựng lán trại, hàng rào</v>
      </c>
      <c r="D34" s="26"/>
      <c r="E34" s="26"/>
      <c r="F34" s="26"/>
      <c r="G34" s="27"/>
      <c r="H34" s="83">
        <f t="array" ref="H34">IFERROR(INDEX('Danh mục công việc'!$R$7:$R$66,MATCH(1,'Danh mục công việc'!$AH$7:$AH$66,0)),"")</f>
        <v>46328</v>
      </c>
      <c r="I34" s="27"/>
      <c r="J34" s="83">
        <f t="array" ref="J34">IFERROR(INDEX('Danh mục công việc'!$S$7:$S$66,MATCH(1,'Danh mục công việc'!$AH$7:$AH$66,0)),"")</f>
        <v>46332</v>
      </c>
      <c r="K34" s="27"/>
      <c r="L34" s="61">
        <f t="array" ref="L34">IFERROR(INDEX('Danh mục công việc'!$M$7:$M$66,MATCH(1,'Danh mục công việc'!$AH$7:$AH$66,0)),"")</f>
        <v>5</v>
      </c>
      <c r="M34" s="61">
        <f t="array" ref="M34">IFERROR(INDEX('Danh mục công việc'!$X$7:$X$66,MATCH(1,'Danh mục công việc'!$AH$7:$AH$66,0)),"")</f>
        <v>15</v>
      </c>
    </row>
    <row r="35" ht="21.75" customHeight="1">
      <c r="B35" s="81" t="str">
        <f t="array" ref="B35">IFERROR(INDEX('Danh mục công việc'!$B$7:$B$66,MATCH(2,'Danh mục công việc'!$AH$7:$AH$66,0)),"")</f>
        <v>A02</v>
      </c>
      <c r="C35" s="89" t="str">
        <f t="array" ref="C35">IFERROR(INDEX('Danh mục công việc'!$D$7:$D$66,MATCH(2,'Danh mục công việc'!$AH$7:$AH$66,0)),"")</f>
        <v>Cấp điện nước tạm, đường công vụ</v>
      </c>
      <c r="D35" s="26"/>
      <c r="E35" s="26"/>
      <c r="F35" s="26"/>
      <c r="G35" s="27"/>
      <c r="H35" s="83">
        <f t="array" ref="H35">IFERROR(INDEX('Danh mục công việc'!$R$7:$R$66,MATCH(2,'Danh mục công việc'!$AH$7:$AH$66,0)),"")</f>
        <v>46335</v>
      </c>
      <c r="I35" s="27"/>
      <c r="J35" s="83">
        <f t="array" ref="J35">IFERROR(INDEX('Danh mục công việc'!$S$7:$S$66,MATCH(2,'Danh mục công việc'!$AH$7:$AH$66,0)),"")</f>
        <v>46339</v>
      </c>
      <c r="K35" s="27"/>
      <c r="L35" s="61">
        <f t="array" ref="L35">IFERROR(INDEX('Danh mục công việc'!$M$7:$M$66,MATCH(2,'Danh mục công việc'!$AH$7:$AH$66,0)),"")</f>
        <v>5</v>
      </c>
      <c r="M35" s="61">
        <f t="array" ref="M35">IFERROR(INDEX('Danh mục công việc'!$X$7:$X$66,MATCH(2,'Danh mục công việc'!$AH$7:$AH$66,0)),"")</f>
        <v>6</v>
      </c>
    </row>
    <row r="36" ht="21.75" customHeight="1">
      <c r="B36" s="81" t="str">
        <f t="array" ref="B36">IFERROR(INDEX('Danh mục công việc'!$B$7:$B$66,MATCH(3,'Danh mục công việc'!$AH$7:$AH$66,0)),"")</f>
        <v>B01</v>
      </c>
      <c r="C36" s="89" t="str">
        <f t="array" ref="C36">IFERROR(INDEX('Danh mục công việc'!$D$7:$D$66,MATCH(3,'Danh mục công việc'!$AH$7:$AH$66,0)),"")</f>
        <v>Đào đất hố móng, vận chuyển đất thải</v>
      </c>
      <c r="D36" s="26"/>
      <c r="E36" s="26"/>
      <c r="F36" s="26"/>
      <c r="G36" s="27"/>
      <c r="H36" s="83">
        <f t="array" ref="H36">IFERROR(INDEX('Danh mục công việc'!$R$7:$R$66,MATCH(3,'Danh mục công việc'!$AH$7:$AH$66,0)),"")</f>
        <v>46342</v>
      </c>
      <c r="I36" s="27"/>
      <c r="J36" s="83">
        <f t="array" ref="J36">IFERROR(INDEX('Danh mục công việc'!$S$7:$S$66,MATCH(3,'Danh mục công việc'!$AH$7:$AH$66,0)),"")</f>
        <v>46345</v>
      </c>
      <c r="K36" s="27"/>
      <c r="L36" s="61">
        <f t="array" ref="L36">IFERROR(INDEX('Danh mục công việc'!$M$7:$M$66,MATCH(3,'Danh mục công việc'!$AH$7:$AH$66,0)),"")</f>
        <v>4</v>
      </c>
      <c r="M36" s="61">
        <f t="array" ref="M36">IFERROR(INDEX('Danh mục công việc'!$X$7:$X$66,MATCH(3,'Danh mục công việc'!$AH$7:$AH$66,0)),"")</f>
        <v>6</v>
      </c>
    </row>
    <row r="37" ht="21.75" customHeight="1">
      <c r="B37" s="81" t="str">
        <f t="array" ref="B37">IFERROR(INDEX('Danh mục công việc'!$B$7:$B$66,MATCH(4,'Danh mục công việc'!$AH$7:$AH$66,0)),"")</f>
        <v>B02</v>
      </c>
      <c r="C37" s="89" t="str">
        <f t="array" ref="C37">IFERROR(INDEX('Danh mục công việc'!$D$7:$D$66,MATCH(4,'Danh mục công việc'!$AH$7:$AH$66,0)),"")</f>
        <v>Bê tông lót móng</v>
      </c>
      <c r="D37" s="26"/>
      <c r="E37" s="26"/>
      <c r="F37" s="26"/>
      <c r="G37" s="27"/>
      <c r="H37" s="83">
        <f t="array" ref="H37">IFERROR(INDEX('Danh mục công việc'!$R$7:$R$66,MATCH(4,'Danh mục công việc'!$AH$7:$AH$66,0)),"")</f>
        <v>46346</v>
      </c>
      <c r="I37" s="27"/>
      <c r="J37" s="83">
        <f t="array" ref="J37">IFERROR(INDEX('Danh mục công việc'!$S$7:$S$66,MATCH(4,'Danh mục công việc'!$AH$7:$AH$66,0)),"")</f>
        <v>46352</v>
      </c>
      <c r="K37" s="27"/>
      <c r="L37" s="61">
        <f t="array" ref="L37">IFERROR(INDEX('Danh mục công việc'!$M$7:$M$66,MATCH(4,'Danh mục công việc'!$AH$7:$AH$66,0)),"")</f>
        <v>5</v>
      </c>
      <c r="M37" s="61">
        <f t="array" ref="M37">IFERROR(INDEX('Danh mục công việc'!$X$7:$X$66,MATCH(4,'Danh mục công việc'!$AH$7:$AH$66,0)),"")</f>
        <v>10</v>
      </c>
    </row>
    <row r="38" ht="21.75" customHeight="1">
      <c r="B38" s="81" t="str">
        <f t="array" ref="B38">IFERROR(INDEX('Danh mục công việc'!$B$7:$B$66,MATCH(5,'Danh mục công việc'!$AH$7:$AH$66,0)),"")</f>
        <v>B03</v>
      </c>
      <c r="C38" s="89" t="str">
        <f t="array" ref="C38">IFERROR(INDEX('Danh mục công việc'!$D$7:$D$66,MATCH(5,'Danh mục công việc'!$AH$7:$AH$66,0)),"")</f>
        <v>Gia công, lắp dựng cốt thép móng</v>
      </c>
      <c r="D38" s="26"/>
      <c r="E38" s="26"/>
      <c r="F38" s="26"/>
      <c r="G38" s="27"/>
      <c r="H38" s="83">
        <f t="array" ref="H38">IFERROR(INDEX('Danh mục công việc'!$R$7:$R$66,MATCH(5,'Danh mục công việc'!$AH$7:$AH$66,0)),"")</f>
        <v>46353</v>
      </c>
      <c r="I38" s="27"/>
      <c r="J38" s="83">
        <f t="array" ref="J38">IFERROR(INDEX('Danh mục công việc'!$S$7:$S$66,MATCH(5,'Danh mục công việc'!$AH$7:$AH$66,0)),"")</f>
        <v>46366</v>
      </c>
      <c r="K38" s="27"/>
      <c r="L38" s="61">
        <f t="array" ref="L38">IFERROR(INDEX('Danh mục công việc'!$M$7:$M$66,MATCH(5,'Danh mục công việc'!$AH$7:$AH$66,0)),"")</f>
        <v>10</v>
      </c>
      <c r="M38" s="61">
        <f t="array" ref="M38">IFERROR(INDEX('Danh mục công việc'!$X$7:$X$66,MATCH(5,'Danh mục công việc'!$AH$7:$AH$66,0)),"")</f>
        <v>24</v>
      </c>
    </row>
    <row r="39" ht="21.75" customHeight="1">
      <c r="B39" s="81" t="str">
        <f t="array" ref="B39">IFERROR(INDEX('Danh mục công việc'!$B$7:$B$66,MATCH(6,'Danh mục công việc'!$AH$7:$AH$66,0)),"")</f>
        <v>B05</v>
      </c>
      <c r="C39" s="89" t="str">
        <f t="array" ref="C39">IFERROR(INDEX('Danh mục công việc'!$D$7:$D$66,MATCH(6,'Danh mục công việc'!$AH$7:$AH$66,0)),"")</f>
        <v>Đổ bê tông móng</v>
      </c>
      <c r="D39" s="26"/>
      <c r="E39" s="26"/>
      <c r="F39" s="26"/>
      <c r="G39" s="27"/>
      <c r="H39" s="83">
        <f t="array" ref="H39">IFERROR(INDEX('Danh mục công việc'!$R$7:$R$66,MATCH(6,'Danh mục công việc'!$AH$7:$AH$66,0)),"")</f>
        <v>46367</v>
      </c>
      <c r="I39" s="27"/>
      <c r="J39" s="83">
        <f t="array" ref="J39">IFERROR(INDEX('Danh mục công việc'!$S$7:$S$66,MATCH(6,'Danh mục công việc'!$AH$7:$AH$66,0)),"")</f>
        <v>46378</v>
      </c>
      <c r="K39" s="27"/>
      <c r="L39" s="61">
        <f t="array" ref="L39">IFERROR(INDEX('Danh mục công việc'!$M$7:$M$66,MATCH(6,'Danh mục công việc'!$AH$7:$AH$66,0)),"")</f>
        <v>8</v>
      </c>
      <c r="M39" s="61">
        <f t="array" ref="M39">IFERROR(INDEX('Danh mục công việc'!$X$7:$X$66,MATCH(6,'Danh mục công việc'!$AH$7:$AH$66,0)),"")</f>
        <v>15</v>
      </c>
    </row>
    <row r="40" ht="21.75" customHeight="1">
      <c r="B40" s="81" t="str">
        <f t="array" ref="B40">IFERROR(INDEX('Danh mục công việc'!$B$7:$B$66,MATCH(7,'Danh mục công việc'!$AH$7:$AH$66,0)),"")</f>
        <v>B06</v>
      </c>
      <c r="C40" s="89" t="str">
        <f t="array" ref="C40">IFERROR(INDEX('Danh mục công việc'!$D$7:$D$66,MATCH(7,'Danh mục công việc'!$AH$7:$AH$66,0)),"")</f>
        <v>Lấp đất, hoàn trả mặt bằng sau móng</v>
      </c>
      <c r="D40" s="26"/>
      <c r="E40" s="26"/>
      <c r="F40" s="26"/>
      <c r="G40" s="27"/>
      <c r="H40" s="83">
        <f t="array" ref="H40">IFERROR(INDEX('Danh mục công việc'!$R$7:$R$66,MATCH(7,'Danh mục công việc'!$AH$7:$AH$66,0)),"")</f>
        <v>46384</v>
      </c>
      <c r="I40" s="27"/>
      <c r="J40" s="83">
        <f t="array" ref="J40">IFERROR(INDEX('Danh mục công việc'!$S$7:$S$66,MATCH(7,'Danh mục công việc'!$AH$7:$AH$66,0)),"")</f>
        <v>46392</v>
      </c>
      <c r="K40" s="27"/>
      <c r="L40" s="61">
        <f t="array" ref="L40">IFERROR(INDEX('Danh mục công việc'!$M$7:$M$66,MATCH(7,'Danh mục công việc'!$AH$7:$AH$66,0)),"")</f>
        <v>6</v>
      </c>
      <c r="M40" s="61">
        <f t="array" ref="M40">IFERROR(INDEX('Danh mục công việc'!$X$7:$X$66,MATCH(7,'Danh mục công việc'!$AH$7:$AH$66,0)),"")</f>
        <v>6</v>
      </c>
    </row>
    <row r="41" ht="21.75" customHeight="1">
      <c r="B41" s="81" t="str">
        <f t="array" ref="B41">IFERROR(INDEX('Danh mục công việc'!$B$7:$B$66,MATCH(8,'Danh mục công việc'!$AH$7:$AH$66,0)),"")</f>
        <v>C01</v>
      </c>
      <c r="C41" s="89" t="str">
        <f t="array" ref="C41">IFERROR(INDEX('Danh mục công việc'!$D$7:$D$66,MATCH(8,'Danh mục công việc'!$AH$7:$AH$66,0)),"")</f>
        <v>Kết cấu thân tầng 1–2 (cốp pha, cốt thép, bê tông)</v>
      </c>
      <c r="D41" s="26"/>
      <c r="E41" s="26"/>
      <c r="F41" s="26"/>
      <c r="G41" s="27"/>
      <c r="H41" s="83">
        <f t="array" ref="H41">IFERROR(INDEX('Danh mục công việc'!$R$7:$R$66,MATCH(8,'Danh mục công việc'!$AH$7:$AH$66,0)),"")</f>
        <v>46393</v>
      </c>
      <c r="I41" s="27"/>
      <c r="J41" s="83">
        <f t="array" ref="J41">IFERROR(INDEX('Danh mục công việc'!$S$7:$S$66,MATCH(8,'Danh mục công việc'!$AH$7:$AH$66,0)),"")</f>
        <v>46413</v>
      </c>
      <c r="K41" s="27"/>
      <c r="L41" s="61">
        <f t="array" ref="L41">IFERROR(INDEX('Danh mục công việc'!$M$7:$M$66,MATCH(8,'Danh mục công việc'!$AH$7:$AH$66,0)),"")</f>
        <v>15</v>
      </c>
      <c r="M41" s="61">
        <f t="array" ref="M41">IFERROR(INDEX('Danh mục công việc'!$X$7:$X$66,MATCH(8,'Danh mục công việc'!$AH$7:$AH$66,0)),"")</f>
        <v>40</v>
      </c>
    </row>
    <row r="42" ht="21.75" customHeight="1">
      <c r="B42" s="81" t="str">
        <f t="array" ref="B42">IFERROR(INDEX('Danh mục công việc'!$B$7:$B$66,MATCH(9,'Danh mục công việc'!$AH$7:$AH$66,0)),"")</f>
        <v>C02</v>
      </c>
      <c r="C42" s="89" t="str">
        <f t="array" ref="C42">IFERROR(INDEX('Danh mục công việc'!$D$7:$D$66,MATCH(9,'Danh mục công việc'!$AH$7:$AH$66,0)),"")</f>
        <v>Kết cấu thân tầng 3–4</v>
      </c>
      <c r="D42" s="26"/>
      <c r="E42" s="26"/>
      <c r="F42" s="26"/>
      <c r="G42" s="27"/>
      <c r="H42" s="83">
        <f t="array" ref="H42">IFERROR(INDEX('Danh mục công việc'!$R$7:$R$66,MATCH(9,'Danh mục công việc'!$AH$7:$AH$66,0)),"")</f>
        <v>46414</v>
      </c>
      <c r="I42" s="27"/>
      <c r="J42" s="83">
        <f t="array" ref="J42">IFERROR(INDEX('Danh mục công việc'!$S$7:$S$66,MATCH(9,'Danh mục công việc'!$AH$7:$AH$66,0)),"")</f>
        <v>46441</v>
      </c>
      <c r="K42" s="27"/>
      <c r="L42" s="61">
        <f t="array" ref="L42">IFERROR(INDEX('Danh mục công việc'!$M$7:$M$66,MATCH(9,'Danh mục công việc'!$AH$7:$AH$66,0)),"")</f>
        <v>15</v>
      </c>
      <c r="M42" s="61">
        <f t="array" ref="M42">IFERROR(INDEX('Danh mục công việc'!$X$7:$X$66,MATCH(9,'Danh mục công việc'!$AH$7:$AH$66,0)),"")</f>
        <v>40</v>
      </c>
    </row>
    <row r="43" ht="21.75" customHeight="1">
      <c r="B43" s="81" t="str">
        <f t="array" ref="B43">IFERROR(INDEX('Danh mục công việc'!$B$7:$B$66,MATCH(10,'Danh mục công việc'!$AH$7:$AH$66,0)),"")</f>
        <v>D01</v>
      </c>
      <c r="C43" s="89" t="str">
        <f t="array" ref="C43">IFERROR(INDEX('Danh mục công việc'!$D$7:$D$66,MATCH(10,'Danh mục công việc'!$AH$7:$AH$66,0)),"")</f>
        <v>Xây tường tầng 1–4</v>
      </c>
      <c r="D43" s="26"/>
      <c r="E43" s="26"/>
      <c r="F43" s="26"/>
      <c r="G43" s="27"/>
      <c r="H43" s="83">
        <f t="array" ref="H43">IFERROR(INDEX('Danh mục công việc'!$R$7:$R$66,MATCH(10,'Danh mục công việc'!$AH$7:$AH$66,0)),"")</f>
        <v>46449</v>
      </c>
      <c r="I43" s="27"/>
      <c r="J43" s="83">
        <f t="array" ref="J43">IFERROR(INDEX('Danh mục công việc'!$S$7:$S$66,MATCH(10,'Danh mục công việc'!$AH$7:$AH$66,0)),"")</f>
        <v>46506</v>
      </c>
      <c r="K43" s="27"/>
      <c r="L43" s="61">
        <f t="array" ref="L43">IFERROR(INDEX('Danh mục công việc'!$M$7:$M$66,MATCH(10,'Danh mục công việc'!$AH$7:$AH$66,0)),"")</f>
        <v>42</v>
      </c>
      <c r="M43" s="61">
        <f t="array" ref="M43">IFERROR(INDEX('Danh mục công việc'!$X$7:$X$66,MATCH(10,'Danh mục công việc'!$AH$7:$AH$66,0)),"")</f>
        <v>24</v>
      </c>
    </row>
    <row r="44" ht="21.75" customHeight="1">
      <c r="B44" s="81" t="str">
        <f t="array" ref="B44">IFERROR(INDEX('Danh mục công việc'!$B$7:$B$66,MATCH(11,'Danh mục công việc'!$AH$7:$AH$66,0)),"")</f>
        <v>D02</v>
      </c>
      <c r="C44" s="89" t="str">
        <f t="array" ref="C44">IFERROR(INDEX('Danh mục công việc'!$D$7:$D$66,MATCH(11,'Danh mục công việc'!$AH$7:$AH$66,0)),"")</f>
        <v>Xây tường tầng 5–8</v>
      </c>
      <c r="D44" s="26"/>
      <c r="E44" s="26"/>
      <c r="F44" s="26"/>
      <c r="G44" s="27"/>
      <c r="H44" s="83">
        <f t="array" ref="H44">IFERROR(INDEX('Danh mục công việc'!$R$7:$R$66,MATCH(11,'Danh mục công việc'!$AH$7:$AH$66,0)),"")</f>
        <v>46513</v>
      </c>
      <c r="I44" s="27"/>
      <c r="J44" s="83">
        <f t="array" ref="J44">IFERROR(INDEX('Danh mục công việc'!$S$7:$S$66,MATCH(11,'Danh mục công việc'!$AH$7:$AH$66,0)),"")</f>
        <v>46566</v>
      </c>
      <c r="K44" s="27"/>
      <c r="L44" s="61">
        <f t="array" ref="L44">IFERROR(INDEX('Danh mục công việc'!$M$7:$M$66,MATCH(11,'Danh mục công việc'!$AH$7:$AH$66,0)),"")</f>
        <v>38</v>
      </c>
      <c r="M44" s="61">
        <f t="array" ref="M44">IFERROR(INDEX('Danh mục công việc'!$X$7:$X$66,MATCH(11,'Danh mục công việc'!$AH$7:$AH$66,0)),"")</f>
        <v>24</v>
      </c>
    </row>
    <row r="45" ht="21.75" customHeight="1">
      <c r="B45" s="81" t="str">
        <f t="array" ref="B45">IFERROR(INDEX('Danh mục công việc'!$B$7:$B$66,MATCH(12,'Danh mục công việc'!$AH$7:$AH$66,0)),"")</f>
        <v>D05</v>
      </c>
      <c r="C45" s="89" t="str">
        <f t="array" ref="C45">IFERROR(INDEX('Danh mục công việc'!$D$7:$D$66,MATCH(12,'Danh mục công việc'!$AH$7:$AH$66,0)),"")</f>
        <v>Trát tường trong và ngoài nhà</v>
      </c>
      <c r="D45" s="26"/>
      <c r="E45" s="26"/>
      <c r="F45" s="26"/>
      <c r="G45" s="27"/>
      <c r="H45" s="83">
        <f t="array" ref="H45">IFERROR(INDEX('Danh mục công việc'!$R$7:$R$66,MATCH(12,'Danh mục công việc'!$AH$7:$AH$66,0)),"")</f>
        <v>46553</v>
      </c>
      <c r="I45" s="27"/>
      <c r="J45" s="83">
        <f t="array" ref="J45">IFERROR(INDEX('Danh mục công việc'!$S$7:$S$66,MATCH(12,'Danh mục công việc'!$AH$7:$AH$66,0)),"")</f>
        <v>46622</v>
      </c>
      <c r="K45" s="27"/>
      <c r="L45" s="61">
        <f t="array" ref="L45">IFERROR(INDEX('Danh mục công việc'!$M$7:$M$66,MATCH(12,'Danh mục công việc'!$AH$7:$AH$66,0)),"")</f>
        <v>50</v>
      </c>
      <c r="M45" s="61">
        <f t="array" ref="M45">IFERROR(INDEX('Danh mục công việc'!$X$7:$X$66,MATCH(12,'Danh mục công việc'!$AH$7:$AH$66,0)),"")</f>
        <v>40</v>
      </c>
    </row>
    <row r="46" ht="21.75" customHeight="1">
      <c r="B46" s="81" t="str">
        <f t="array" ref="B46">IFERROR(INDEX('Danh mục công việc'!$B$7:$B$66,MATCH(13,'Danh mục công việc'!$AH$7:$AH$66,0)),"")</f>
        <v>E02</v>
      </c>
      <c r="C46" s="89" t="str">
        <f t="array" ref="C46">IFERROR(INDEX('Danh mục công việc'!$D$7:$D$66,MATCH(13,'Danh mục công việc'!$AH$7:$AH$66,0)),"")</f>
        <v>Bả, sơn tường và trần</v>
      </c>
      <c r="D46" s="26"/>
      <c r="E46" s="26"/>
      <c r="F46" s="26"/>
      <c r="G46" s="27"/>
      <c r="H46" s="83">
        <f t="array" ref="H46">IFERROR(INDEX('Danh mục công việc'!$R$7:$R$66,MATCH(13,'Danh mục công việc'!$AH$7:$AH$66,0)),"")</f>
        <v>46630</v>
      </c>
      <c r="I46" s="27"/>
      <c r="J46" s="83">
        <f t="array" ref="J46">IFERROR(INDEX('Danh mục công việc'!$S$7:$S$66,MATCH(13,'Danh mục công việc'!$AH$7:$AH$66,0)),"")</f>
        <v>46699</v>
      </c>
      <c r="K46" s="27"/>
      <c r="L46" s="61">
        <f t="array" ref="L46">IFERROR(INDEX('Danh mục công việc'!$M$7:$M$66,MATCH(13,'Danh mục công việc'!$AH$7:$AH$66,0)),"")</f>
        <v>50</v>
      </c>
      <c r="M46" s="61">
        <f t="array" ref="M46">IFERROR(INDEX('Danh mục công việc'!$X$7:$X$66,MATCH(13,'Danh mục công việc'!$AH$7:$AH$66,0)),"")</f>
        <v>20</v>
      </c>
    </row>
    <row r="47" ht="21.75" customHeight="1">
      <c r="B47" s="81" t="str">
        <f t="array" ref="B47">IFERROR(INDEX('Danh mục công việc'!$B$7:$B$66,MATCH(14,'Danh mục công việc'!$AH$7:$AH$66,0)),"")</f>
        <v>E03</v>
      </c>
      <c r="C47" s="89" t="str">
        <f t="array" ref="C47">IFERROR(INDEX('Danh mục công việc'!$D$7:$D$66,MATCH(14,'Danh mục công việc'!$AH$7:$AH$66,0)),"")</f>
        <v>Lắp cửa nhôm kính</v>
      </c>
      <c r="D47" s="26"/>
      <c r="E47" s="26"/>
      <c r="F47" s="26"/>
      <c r="G47" s="27"/>
      <c r="H47" s="83">
        <f t="array" ref="H47">IFERROR(INDEX('Danh mục công việc'!$R$7:$R$66,MATCH(14,'Danh mục công việc'!$AH$7:$AH$66,0)),"")</f>
        <v>46651</v>
      </c>
      <c r="I47" s="27"/>
      <c r="J47" s="83">
        <f t="array" ref="J47">IFERROR(INDEX('Danh mục công việc'!$S$7:$S$66,MATCH(14,'Danh mục công việc'!$AH$7:$AH$66,0)),"")</f>
        <v>46679</v>
      </c>
      <c r="K47" s="27"/>
      <c r="L47" s="61">
        <f t="array" ref="L47">IFERROR(INDEX('Danh mục công việc'!$M$7:$M$66,MATCH(14,'Danh mục công việc'!$AH$7:$AH$66,0)),"")</f>
        <v>21</v>
      </c>
      <c r="M47" s="61">
        <f t="array" ref="M47">IFERROR(INDEX('Danh mục công việc'!$X$7:$X$66,MATCH(14,'Danh mục công việc'!$AH$7:$AH$66,0)),"")</f>
        <v>16</v>
      </c>
    </row>
    <row r="48" ht="21.75" customHeight="1">
      <c r="B48" s="81" t="str">
        <f t="array" ref="B48">IFERROR(INDEX('Danh mục công việc'!$B$7:$B$66,MATCH(15,'Danh mục công việc'!$AH$7:$AH$66,0)),"")</f>
        <v>E05</v>
      </c>
      <c r="C48" s="89" t="str">
        <f t="array" ref="C48">IFERROR(INDEX('Danh mục công việc'!$D$7:$D$66,MATCH(15,'Danh mục công việc'!$AH$7:$AH$66,0)),"")</f>
        <v>Lắp thiết bị điện, thiết bị vệ sinh</v>
      </c>
      <c r="D48" s="26"/>
      <c r="E48" s="26"/>
      <c r="F48" s="26"/>
      <c r="G48" s="27"/>
      <c r="H48" s="83">
        <f t="array" ref="H48">IFERROR(INDEX('Danh mục công việc'!$R$7:$R$66,MATCH(15,'Danh mục công việc'!$AH$7:$AH$66,0)),"")</f>
        <v>46686</v>
      </c>
      <c r="I48" s="27"/>
      <c r="J48" s="83">
        <f t="array" ref="J48">IFERROR(INDEX('Danh mục công việc'!$S$7:$S$66,MATCH(15,'Danh mục công việc'!$AH$7:$AH$66,0)),"")</f>
        <v>46703</v>
      </c>
      <c r="K48" s="27"/>
      <c r="L48" s="61">
        <f t="array" ref="L48">IFERROR(INDEX('Danh mục công việc'!$M$7:$M$66,MATCH(15,'Danh mục công việc'!$AH$7:$AH$66,0)),"")</f>
        <v>14</v>
      </c>
      <c r="M48" s="61">
        <f t="array" ref="M48">IFERROR(INDEX('Danh mục công việc'!$X$7:$X$66,MATCH(15,'Danh mục công việc'!$AH$7:$AH$66,0)),"")</f>
        <v>10</v>
      </c>
    </row>
    <row r="49" ht="15.75" customHeight="1">
      <c r="B49" s="77" t="s">
        <v>177</v>
      </c>
    </row>
    <row r="50" ht="15.75" customHeight="1"/>
    <row r="51" ht="24.0" customHeight="1">
      <c r="B51" s="58" t="s">
        <v>178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5">
    <mergeCell ref="I19:J19"/>
    <mergeCell ref="I20:J20"/>
    <mergeCell ref="B16:M16"/>
    <mergeCell ref="B18:M18"/>
    <mergeCell ref="B19:D19"/>
    <mergeCell ref="F19:G19"/>
    <mergeCell ref="K19:L19"/>
    <mergeCell ref="F20:G20"/>
    <mergeCell ref="K20:L20"/>
    <mergeCell ref="E7:G7"/>
    <mergeCell ref="H7:J7"/>
    <mergeCell ref="B4:G4"/>
    <mergeCell ref="H4:M4"/>
    <mergeCell ref="B6:D6"/>
    <mergeCell ref="E6:G6"/>
    <mergeCell ref="H6:J6"/>
    <mergeCell ref="K6:M6"/>
    <mergeCell ref="K7:M7"/>
    <mergeCell ref="B2:M2"/>
    <mergeCell ref="B7:D7"/>
    <mergeCell ref="B8:D8"/>
    <mergeCell ref="E8:G8"/>
    <mergeCell ref="H8:J8"/>
    <mergeCell ref="K8:M8"/>
    <mergeCell ref="B10:G10"/>
    <mergeCell ref="H10:M10"/>
    <mergeCell ref="B11:D11"/>
    <mergeCell ref="E11:G11"/>
    <mergeCell ref="H11:K11"/>
    <mergeCell ref="L11:M11"/>
    <mergeCell ref="E12:G12"/>
    <mergeCell ref="H12:K12"/>
    <mergeCell ref="L12:M12"/>
    <mergeCell ref="H14:K14"/>
    <mergeCell ref="L14:M14"/>
    <mergeCell ref="H15:K15"/>
    <mergeCell ref="L15:M15"/>
    <mergeCell ref="B12:D12"/>
    <mergeCell ref="B13:D13"/>
    <mergeCell ref="E13:G13"/>
    <mergeCell ref="H13:K13"/>
    <mergeCell ref="L13:M13"/>
    <mergeCell ref="B14:D14"/>
    <mergeCell ref="E14:G14"/>
    <mergeCell ref="I22:J22"/>
    <mergeCell ref="K22:L22"/>
    <mergeCell ref="B24:D24"/>
    <mergeCell ref="F24:G24"/>
    <mergeCell ref="I24:J24"/>
    <mergeCell ref="K24:L24"/>
    <mergeCell ref="F25:G25"/>
    <mergeCell ref="I25:J25"/>
    <mergeCell ref="K25:L25"/>
    <mergeCell ref="B25:D25"/>
    <mergeCell ref="B26:D26"/>
    <mergeCell ref="F26:G26"/>
    <mergeCell ref="I26:J26"/>
    <mergeCell ref="K26:L26"/>
    <mergeCell ref="B27:D27"/>
    <mergeCell ref="B28:D28"/>
    <mergeCell ref="F22:G22"/>
    <mergeCell ref="F23:G23"/>
    <mergeCell ref="I23:J23"/>
    <mergeCell ref="K23:L23"/>
    <mergeCell ref="B20:D20"/>
    <mergeCell ref="B21:D21"/>
    <mergeCell ref="F21:G21"/>
    <mergeCell ref="I21:J21"/>
    <mergeCell ref="K21:L21"/>
    <mergeCell ref="B22:D22"/>
    <mergeCell ref="B23:D23"/>
    <mergeCell ref="I27:J27"/>
    <mergeCell ref="K27:L27"/>
    <mergeCell ref="F27:G27"/>
    <mergeCell ref="F28:G28"/>
    <mergeCell ref="I28:J28"/>
    <mergeCell ref="K28:L28"/>
    <mergeCell ref="B29:D29"/>
    <mergeCell ref="F29:G29"/>
    <mergeCell ref="I29:J29"/>
    <mergeCell ref="K29:L29"/>
    <mergeCell ref="B30:D30"/>
    <mergeCell ref="F30:G30"/>
    <mergeCell ref="I30:M30"/>
    <mergeCell ref="H46:I46"/>
    <mergeCell ref="J46:K46"/>
    <mergeCell ref="C47:G47"/>
    <mergeCell ref="H47:I47"/>
    <mergeCell ref="J47:K47"/>
    <mergeCell ref="C48:G48"/>
    <mergeCell ref="H48:I48"/>
    <mergeCell ref="J48:K48"/>
    <mergeCell ref="B49:M49"/>
    <mergeCell ref="B51:M51"/>
    <mergeCell ref="C44:G44"/>
    <mergeCell ref="H44:I44"/>
    <mergeCell ref="J44:K44"/>
    <mergeCell ref="C45:G45"/>
    <mergeCell ref="H45:I45"/>
    <mergeCell ref="J45:K45"/>
    <mergeCell ref="C46:G46"/>
    <mergeCell ref="B32:M32"/>
    <mergeCell ref="C33:G33"/>
    <mergeCell ref="H33:I33"/>
    <mergeCell ref="J33:K33"/>
    <mergeCell ref="C34:G34"/>
    <mergeCell ref="H34:I34"/>
    <mergeCell ref="J34:K34"/>
    <mergeCell ref="H37:I37"/>
    <mergeCell ref="J37:K37"/>
    <mergeCell ref="C35:G35"/>
    <mergeCell ref="H35:I35"/>
    <mergeCell ref="J35:K35"/>
    <mergeCell ref="C36:G36"/>
    <mergeCell ref="H36:I36"/>
    <mergeCell ref="J36:K36"/>
    <mergeCell ref="C37:G37"/>
    <mergeCell ref="H40:I40"/>
    <mergeCell ref="J40:K40"/>
    <mergeCell ref="C38:G38"/>
    <mergeCell ref="H38:I38"/>
    <mergeCell ref="J38:K38"/>
    <mergeCell ref="C39:G39"/>
    <mergeCell ref="H39:I39"/>
    <mergeCell ref="J39:K39"/>
    <mergeCell ref="C40:G40"/>
    <mergeCell ref="H43:I43"/>
    <mergeCell ref="J43:K43"/>
    <mergeCell ref="C41:G41"/>
    <mergeCell ref="H41:I41"/>
    <mergeCell ref="J41:K41"/>
    <mergeCell ref="C42:G42"/>
    <mergeCell ref="H42:I42"/>
    <mergeCell ref="J42:K42"/>
    <mergeCell ref="C43:G43"/>
  </mergeCells>
  <conditionalFormatting sqref="E14:G14">
    <cfRule type="cellIs" dxfId="0" priority="1" operator="equal">
      <formula>"Đạt tiến độ hợp đồng"</formula>
    </cfRule>
  </conditionalFormatting>
  <conditionalFormatting sqref="E14:G14">
    <cfRule type="cellIs" dxfId="1" priority="2" operator="equal">
      <formula>"Vượt thời hạn hợp đồng"</formula>
    </cfRule>
  </conditionalFormatting>
  <conditionalFormatting sqref="L13">
    <cfRule type="cellIs" dxfId="2" priority="3" operator="greaterThan">
      <formula>0</formula>
    </cfRule>
  </conditionalFormatting>
  <conditionalFormatting sqref="L14">
    <cfRule type="cellIs" dxfId="2" priority="4" operator="greaterThan">
      <formula>0</formula>
    </cfRule>
  </conditionalFormatting>
  <conditionalFormatting sqref="L15">
    <cfRule type="cellIs" dxfId="2" priority="5" operator="lessThan">
      <formula>0.999</formula>
    </cfRule>
  </conditionalFormatting>
  <printOptions/>
  <pageMargins bottom="1.0" footer="0.0" header="0.0" left="0.4" right="0.4" top="1.0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A6A6"/>
    <pageSetUpPr fitToPage="1"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4.0"/>
    <col customWidth="1" min="3" max="3" width="46.0"/>
    <col customWidth="1" min="4" max="4" width="3.0"/>
    <col customWidth="1" min="5" max="5" width="14.0"/>
    <col customWidth="1" min="6" max="6" width="40.0"/>
    <col customWidth="1" min="7" max="7" width="3.0"/>
    <col customWidth="1" min="8" max="8" width="9.0"/>
    <col customWidth="1" min="9" max="9" width="32.0"/>
    <col customWidth="1" min="10" max="26" width="8.57"/>
  </cols>
  <sheetData>
    <row r="2" ht="31.5" customHeight="1">
      <c r="B2" s="1" t="s">
        <v>0</v>
      </c>
    </row>
    <row r="3">
      <c r="B3" s="2" t="s">
        <v>1</v>
      </c>
    </row>
    <row r="4" ht="24.0" customHeight="1">
      <c r="E4" s="3" t="s">
        <v>2</v>
      </c>
      <c r="F4" s="4"/>
      <c r="H4" s="3" t="s">
        <v>3</v>
      </c>
      <c r="I4" s="4"/>
    </row>
    <row r="5" ht="24.0" customHeight="1">
      <c r="B5" s="3" t="s">
        <v>4</v>
      </c>
      <c r="C5" s="4"/>
      <c r="E5" s="5" t="s">
        <v>5</v>
      </c>
      <c r="F5" s="5" t="s">
        <v>6</v>
      </c>
      <c r="H5" s="5" t="s">
        <v>7</v>
      </c>
      <c r="I5" s="5" t="s">
        <v>8</v>
      </c>
    </row>
    <row r="6" ht="21.75" customHeight="1">
      <c r="B6" s="6" t="s">
        <v>9</v>
      </c>
      <c r="C6" s="7" t="s">
        <v>10</v>
      </c>
      <c r="E6" s="8">
        <v>46388.0</v>
      </c>
      <c r="F6" s="9" t="s">
        <v>11</v>
      </c>
      <c r="H6" s="10" t="s">
        <v>12</v>
      </c>
      <c r="I6" s="9" t="s">
        <v>13</v>
      </c>
    </row>
    <row r="7" ht="21.75" customHeight="1">
      <c r="B7" s="6" t="s">
        <v>14</v>
      </c>
      <c r="C7" s="7" t="s">
        <v>15</v>
      </c>
      <c r="E7" s="8">
        <v>46422.0</v>
      </c>
      <c r="F7" s="9" t="s">
        <v>16</v>
      </c>
      <c r="H7" s="10" t="s">
        <v>17</v>
      </c>
      <c r="I7" s="9" t="s">
        <v>18</v>
      </c>
    </row>
    <row r="8" ht="21.75" customHeight="1">
      <c r="B8" s="6" t="s">
        <v>19</v>
      </c>
      <c r="C8" s="7" t="s">
        <v>20</v>
      </c>
      <c r="E8" s="8">
        <v>46423.0</v>
      </c>
      <c r="F8" s="9" t="s">
        <v>16</v>
      </c>
      <c r="H8" s="10" t="s">
        <v>21</v>
      </c>
      <c r="I8" s="9" t="s">
        <v>22</v>
      </c>
    </row>
    <row r="9" ht="21.75" customHeight="1">
      <c r="B9" s="6" t="s">
        <v>23</v>
      </c>
      <c r="C9" s="7" t="s">
        <v>24</v>
      </c>
      <c r="E9" s="8">
        <v>46426.0</v>
      </c>
      <c r="F9" s="9" t="s">
        <v>16</v>
      </c>
      <c r="H9" s="10" t="s">
        <v>25</v>
      </c>
      <c r="I9" s="9" t="s">
        <v>26</v>
      </c>
    </row>
    <row r="10" ht="21.75" customHeight="1">
      <c r="B10" s="6" t="s">
        <v>27</v>
      </c>
      <c r="C10" s="7" t="s">
        <v>28</v>
      </c>
      <c r="E10" s="8">
        <v>46427.0</v>
      </c>
      <c r="F10" s="9" t="s">
        <v>16</v>
      </c>
      <c r="H10" s="10" t="s">
        <v>29</v>
      </c>
      <c r="I10" s="9" t="s">
        <v>30</v>
      </c>
    </row>
    <row r="11" ht="21.75" customHeight="1">
      <c r="B11" s="6" t="s">
        <v>31</v>
      </c>
      <c r="C11" s="7" t="s">
        <v>32</v>
      </c>
      <c r="E11" s="8">
        <v>46428.0</v>
      </c>
      <c r="F11" s="9" t="s">
        <v>16</v>
      </c>
      <c r="H11" s="10" t="s">
        <v>33</v>
      </c>
      <c r="I11" s="9" t="s">
        <v>34</v>
      </c>
    </row>
    <row r="12">
      <c r="E12" s="8">
        <v>46507.0</v>
      </c>
      <c r="F12" s="9" t="s">
        <v>35</v>
      </c>
      <c r="H12" s="10"/>
      <c r="I12" s="9"/>
    </row>
    <row r="13" ht="24.0" customHeight="1">
      <c r="B13" s="3" t="s">
        <v>36</v>
      </c>
      <c r="C13" s="4"/>
      <c r="E13" s="8"/>
      <c r="F13" s="9"/>
      <c r="H13" s="10"/>
      <c r="I13" s="9"/>
    </row>
    <row r="14" ht="21.75" customHeight="1">
      <c r="B14" s="6" t="s">
        <v>37</v>
      </c>
      <c r="C14" s="11">
        <v>46323.0</v>
      </c>
      <c r="E14" s="8"/>
      <c r="F14" s="9"/>
      <c r="H14" s="10"/>
      <c r="I14" s="9"/>
    </row>
    <row r="15" ht="21.75" customHeight="1">
      <c r="B15" s="6" t="s">
        <v>38</v>
      </c>
      <c r="C15" s="11">
        <v>46328.0</v>
      </c>
      <c r="E15" s="8"/>
      <c r="F15" s="9"/>
      <c r="H15" s="10"/>
      <c r="I15" s="9"/>
    </row>
    <row r="16" ht="21.75" customHeight="1">
      <c r="B16" s="6" t="s">
        <v>39</v>
      </c>
      <c r="C16" s="11">
        <v>46752.0</v>
      </c>
      <c r="E16" s="8"/>
      <c r="F16" s="9"/>
    </row>
    <row r="17" ht="21.75" customHeight="1">
      <c r="B17" s="6" t="s">
        <v>40</v>
      </c>
      <c r="C17" s="12">
        <v>1.0</v>
      </c>
      <c r="E17" s="8"/>
      <c r="F17" s="9"/>
    </row>
    <row r="18" ht="27.75" customHeight="1">
      <c r="B18" s="13" t="s">
        <v>41</v>
      </c>
      <c r="E18" s="8"/>
      <c r="F18" s="9"/>
    </row>
    <row r="19">
      <c r="E19" s="8"/>
      <c r="F19" s="9"/>
    </row>
    <row r="20" ht="24.0" customHeight="1">
      <c r="B20" s="3" t="s">
        <v>42</v>
      </c>
      <c r="C20" s="4"/>
      <c r="E20" s="8"/>
      <c r="F20" s="9"/>
    </row>
    <row r="21" ht="31.5" customHeight="1">
      <c r="B21" s="14" t="s">
        <v>43</v>
      </c>
      <c r="E21" s="8"/>
      <c r="F21" s="9"/>
    </row>
    <row r="22" ht="43.5" customHeight="1">
      <c r="B22" s="14" t="s">
        <v>44</v>
      </c>
      <c r="E22" s="8"/>
      <c r="F22" s="9"/>
    </row>
    <row r="23" ht="31.5" customHeight="1">
      <c r="B23" s="14" t="s">
        <v>45</v>
      </c>
      <c r="E23" s="8"/>
      <c r="F23" s="9"/>
    </row>
    <row r="24" ht="31.5" customHeight="1">
      <c r="B24" s="14" t="s">
        <v>46</v>
      </c>
      <c r="E24" s="8"/>
      <c r="F24" s="9"/>
    </row>
    <row r="25" ht="43.5" customHeight="1">
      <c r="B25" s="14" t="s">
        <v>47</v>
      </c>
      <c r="E25" s="8"/>
      <c r="F25" s="9"/>
    </row>
    <row r="26" ht="43.5" customHeight="1">
      <c r="B26" s="14" t="s">
        <v>48</v>
      </c>
      <c r="E26" s="8"/>
      <c r="F26" s="9"/>
    </row>
    <row r="27" ht="43.5" customHeight="1">
      <c r="B27" s="14" t="s">
        <v>49</v>
      </c>
      <c r="E27" s="8"/>
      <c r="F27" s="9"/>
    </row>
    <row r="28" ht="15.75" customHeight="1">
      <c r="E28" s="8"/>
      <c r="F28" s="9"/>
    </row>
    <row r="29" ht="15.75" customHeight="1">
      <c r="E29" s="8"/>
      <c r="F29" s="9"/>
    </row>
    <row r="30" ht="15.75" customHeight="1">
      <c r="E30" s="8"/>
      <c r="F30" s="9"/>
    </row>
    <row r="31" ht="15.75" customHeight="1">
      <c r="E31" s="8"/>
      <c r="F31" s="9"/>
    </row>
    <row r="32" ht="15.75" customHeight="1">
      <c r="E32" s="8"/>
      <c r="F32" s="9"/>
    </row>
    <row r="33" ht="15.75" customHeight="1">
      <c r="E33" s="8"/>
      <c r="F33" s="9"/>
    </row>
    <row r="34" ht="15.75" customHeight="1">
      <c r="E34" s="8"/>
      <c r="F34" s="9"/>
    </row>
    <row r="35" ht="15.75" customHeight="1">
      <c r="E35" s="8"/>
      <c r="F35" s="9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B18:C18"/>
    <mergeCell ref="B21:C21"/>
    <mergeCell ref="B22:C22"/>
    <mergeCell ref="B23:C23"/>
    <mergeCell ref="B24:C24"/>
    <mergeCell ref="B25:C25"/>
    <mergeCell ref="B26:C26"/>
    <mergeCell ref="B27:C27"/>
  </mergeCells>
  <dataValidations>
    <dataValidation type="date" operator="greaterThan" allowBlank="1" sqref="C14:C16 E6:E35">
      <formula1>36526.0</formula1>
    </dataValidation>
    <dataValidation type="list" allowBlank="1" sqref="C17">
      <formula1>"1,11"</formula1>
    </dataValidation>
  </dataValidations>
  <printOptions/>
  <pageMargins bottom="1.0" footer="0.0" header="0.0" left="0.4" right="0.4" top="1.0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A6A6"/>
    <pageSetUpPr fitToPage="1"/>
  </sheetPr>
  <sheetViews>
    <sheetView showGridLines="0" workbookViewId="0">
      <pane xSplit="4.0" ySplit="6.0" topLeftCell="E7" activePane="bottomRight" state="frozen"/>
      <selection activeCell="E1" sqref="E1" pane="topRight"/>
      <selection activeCell="A7" sqref="A7" pane="bottomLeft"/>
      <selection activeCell="E7" sqref="E7" pane="bottomRight"/>
    </sheetView>
  </sheetViews>
  <sheetFormatPr customHeight="1" defaultColWidth="14.43" defaultRowHeight="15.0"/>
  <cols>
    <col customWidth="1" min="1" max="1" width="5.0"/>
    <col customWidth="1" min="2" max="2" width="8.0"/>
    <col customWidth="1" min="3" max="3" width="24.0"/>
    <col customWidth="1" min="4" max="4" width="44.0"/>
    <col customWidth="1" min="5" max="5" width="8.0"/>
    <col customWidth="1" min="6" max="6" width="12.0"/>
    <col customWidth="1" min="7" max="7" width="15.0"/>
    <col customWidth="1" min="8" max="8" width="18.0"/>
    <col customWidth="1" min="9" max="9" width="11.0"/>
    <col customWidth="1" min="10" max="10" width="9.0"/>
    <col customWidth="1" min="11" max="11" width="10.0"/>
    <col customWidth="1" min="12" max="12" width="13.0"/>
    <col customWidth="1" min="13" max="13" width="10.0"/>
    <col customWidth="1" min="14" max="16" width="9.0"/>
    <col customWidth="1" min="17" max="21" width="13.0"/>
    <col customWidth="1" min="22" max="23" width="10.0"/>
    <col customWidth="1" min="24" max="24" width="11.0"/>
    <col customWidth="1" min="25" max="25" width="12.0"/>
    <col customWidth="1" min="26" max="26" width="20.0"/>
    <col customWidth="1" min="27" max="27" width="32.0"/>
    <col customWidth="1" min="28" max="28" width="2.0"/>
    <col customWidth="1" min="29" max="30" width="12.0"/>
    <col customWidth="1" min="31" max="31" width="16.0"/>
    <col customWidth="1" min="32" max="32" width="10.0"/>
    <col customWidth="1" min="33" max="33" width="14.0"/>
    <col customWidth="1" min="34" max="34" width="8.0"/>
  </cols>
  <sheetData>
    <row r="2" ht="31.5" customHeight="1">
      <c r="A2" s="1" t="s">
        <v>50</v>
      </c>
    </row>
    <row r="3">
      <c r="A3" s="16" t="str">
        <f>"Công trình: "&amp;IF('Cấu hình'!C6="","(chưa nhập)",'Cấu hình'!C6)</f>
        <v>Công trình: Tòa nhà văn phòng ABC – 8 tầng (dữ liệu mẫu)</v>
      </c>
    </row>
    <row r="4" ht="21.75" customHeight="1">
      <c r="P4" s="17" t="s">
        <v>52</v>
      </c>
      <c r="S4" s="19">
        <f>MAX(S7:S66)</f>
        <v>46728</v>
      </c>
    </row>
    <row r="5" ht="19.5" customHeight="1">
      <c r="A5" s="24" t="s">
        <v>56</v>
      </c>
      <c r="B5" s="26"/>
      <c r="C5" s="26"/>
      <c r="D5" s="27"/>
      <c r="E5" s="24" t="s">
        <v>57</v>
      </c>
      <c r="F5" s="26"/>
      <c r="G5" s="26"/>
      <c r="H5" s="27"/>
      <c r="I5" s="24" t="s">
        <v>59</v>
      </c>
      <c r="J5" s="26"/>
      <c r="K5" s="26"/>
      <c r="L5" s="26"/>
      <c r="M5" s="27"/>
      <c r="N5" s="24" t="s">
        <v>61</v>
      </c>
      <c r="O5" s="26"/>
      <c r="P5" s="26"/>
      <c r="Q5" s="27"/>
      <c r="R5" s="24" t="s">
        <v>62</v>
      </c>
      <c r="S5" s="26"/>
      <c r="T5" s="26"/>
      <c r="U5" s="26"/>
      <c r="V5" s="26"/>
      <c r="W5" s="27"/>
      <c r="X5" s="24" t="s">
        <v>64</v>
      </c>
      <c r="Y5" s="26"/>
      <c r="Z5" s="26"/>
      <c r="AA5" s="27"/>
      <c r="AC5" s="24" t="s">
        <v>65</v>
      </c>
      <c r="AD5" s="26"/>
      <c r="AE5" s="26"/>
      <c r="AF5" s="26"/>
      <c r="AG5" s="26"/>
      <c r="AH5" s="27"/>
    </row>
    <row r="6" ht="48.0" customHeight="1">
      <c r="A6" s="5" t="s">
        <v>67</v>
      </c>
      <c r="B6" s="5" t="s">
        <v>68</v>
      </c>
      <c r="C6" s="5" t="s">
        <v>69</v>
      </c>
      <c r="D6" s="5" t="s">
        <v>70</v>
      </c>
      <c r="E6" s="5" t="s">
        <v>71</v>
      </c>
      <c r="F6" s="5" t="s">
        <v>72</v>
      </c>
      <c r="G6" s="5" t="s">
        <v>73</v>
      </c>
      <c r="H6" s="5" t="s">
        <v>75</v>
      </c>
      <c r="I6" s="5" t="s">
        <v>76</v>
      </c>
      <c r="J6" s="5" t="s">
        <v>77</v>
      </c>
      <c r="K6" s="5" t="s">
        <v>78</v>
      </c>
      <c r="L6" s="5" t="s">
        <v>80</v>
      </c>
      <c r="M6" s="5" t="s">
        <v>81</v>
      </c>
      <c r="N6" s="5" t="s">
        <v>83</v>
      </c>
      <c r="O6" s="5" t="s">
        <v>85</v>
      </c>
      <c r="P6" s="5" t="s">
        <v>86</v>
      </c>
      <c r="Q6" s="5" t="s">
        <v>87</v>
      </c>
      <c r="R6" s="5" t="s">
        <v>89</v>
      </c>
      <c r="S6" s="5" t="s">
        <v>90</v>
      </c>
      <c r="T6" s="5" t="s">
        <v>91</v>
      </c>
      <c r="U6" s="5" t="s">
        <v>93</v>
      </c>
      <c r="V6" s="5" t="s">
        <v>94</v>
      </c>
      <c r="W6" s="5" t="s">
        <v>54</v>
      </c>
      <c r="X6" s="5" t="s">
        <v>97</v>
      </c>
      <c r="Y6" s="5" t="s">
        <v>98</v>
      </c>
      <c r="Z6" s="5" t="s">
        <v>100</v>
      </c>
      <c r="AA6" s="5" t="s">
        <v>101</v>
      </c>
      <c r="AC6" s="38" t="s">
        <v>102</v>
      </c>
      <c r="AD6" s="38" t="s">
        <v>105</v>
      </c>
      <c r="AE6" s="38" t="s">
        <v>107</v>
      </c>
      <c r="AF6" s="38" t="s">
        <v>109</v>
      </c>
      <c r="AG6" s="38" t="s">
        <v>111</v>
      </c>
      <c r="AH6" s="38" t="s">
        <v>113</v>
      </c>
    </row>
    <row r="7" ht="21.75" customHeight="1">
      <c r="A7" s="41">
        <f t="shared" ref="A7:A66" si="1">IF(D7="","",COUNTA($D$7:D7))</f>
        <v>1</v>
      </c>
      <c r="B7" s="10" t="s">
        <v>120</v>
      </c>
      <c r="C7" s="9" t="s">
        <v>13</v>
      </c>
      <c r="D7" s="9" t="s">
        <v>121</v>
      </c>
      <c r="E7" s="10" t="s">
        <v>122</v>
      </c>
      <c r="F7" s="44">
        <v>2500.0</v>
      </c>
      <c r="G7" s="46">
        <v>90000.0</v>
      </c>
      <c r="H7" s="47">
        <f t="shared" ref="H7:H66" si="2">IF(D7="","",F7*G7)</f>
        <v>225000000</v>
      </c>
      <c r="I7" s="44">
        <v>500.0</v>
      </c>
      <c r="J7" s="48">
        <v>1.0</v>
      </c>
      <c r="K7" s="48">
        <v>15.0</v>
      </c>
      <c r="L7" s="48"/>
      <c r="M7" s="49">
        <f t="shared" ref="M7:M66" si="3">IF(D7="","",IF(L7&lt;&gt;"",L7,IF(I7*J7&gt;0,MAX(1,ROUNDUP(F7/(I7*J7),0)),1)))</f>
        <v>5</v>
      </c>
      <c r="N7" s="10"/>
      <c r="O7" s="10"/>
      <c r="P7" s="48"/>
      <c r="Q7" s="8"/>
      <c r="R7" s="42">
        <f t="array" ref="R7">IF(D7="","",_xlfn.WORKDAY.INTL(MAX('Cấu hình'!$C$15,N(Q7),IF(N7="",0,IFERROR(_xlfn.WORKDAY.INTL(INDEX($S$6:S6,MATCH(N7,$B$6:B6,0)),1+P7,'Cấu hình'!$C$17,'Cấu hình'!$E$6:$E$35),0)),IF(O7="",0,IFERROR(_xlfn.WORKDAY.INTL(INDEX($S$6:S6,MATCH(O7,$B$6:B6,0)),1+P7,'Cấu hình'!$C$17,'Cấu hình'!$E$6:$E$35),0)))-1,1,'Cấu hình'!$C$17,'Cấu hình'!$E$6:$E$35))</f>
        <v>46328</v>
      </c>
      <c r="S7" s="42">
        <f>IF(D7="","",_xlfn.WORKDAY.INTL(R7,M7-1,'Cấu hình'!$C$17,'Cấu hình'!$E$6:$E$35))</f>
        <v>46332</v>
      </c>
      <c r="T7" s="42">
        <f t="shared" ref="T7:T66" si="4">IF(D7="","",MIN($S$4,IF(B7="",$S$4,MIN(IF(COUNTIF(N8:N$67,B7)&gt;0,MINIFS(AG8:AG$67,N8:N$67,B7),$S$4),IF(COUNTIF(O8:O$67,B7)&gt;0,MINIFS(AG8:AG$67,O8:O$67,B7),$S$4)))))</f>
        <v>46332</v>
      </c>
      <c r="U7" s="42">
        <f>IF(D7="","",_xlfn.WORKDAY.INTL(T7,-(M7-1),'Cấu hình'!$C$17,'Cấu hình'!$E$6:$E$35))</f>
        <v>46328</v>
      </c>
      <c r="V7" s="49">
        <f>IF(D7="","",_xlfn.NETWORKDAYS.INTL(S7,T7,'Cấu hình'!$C$17,'Cấu hình'!$E$6:$E$35)-1)</f>
        <v>0</v>
      </c>
      <c r="W7" s="67" t="str">
        <f t="shared" ref="W7:W66" si="5">IF(D7="","",IF(V7&lt;=0,"Găng",""))</f>
        <v>Găng</v>
      </c>
      <c r="X7" s="49">
        <f t="shared" ref="X7:X66" si="6">IF(D7="","",J7*K7)</f>
        <v>15</v>
      </c>
      <c r="Y7" s="47">
        <f t="shared" ref="Y7:Y66" si="7">IF(D7="","",M7*J7*K7)</f>
        <v>75</v>
      </c>
      <c r="Z7" s="64" t="str">
        <f t="shared" ref="Z7:Z66" si="8">IF(D7="","",IF(OR(AND(N7&lt;&gt;"",IFERROR(MATCH(N7,$B$6:B6,0),0)=0),AND(O7&lt;&gt;"",IFERROR(MATCH(O7,$B$6:B6,0),0)=0)),"Kiểm tra mã CV trước",""))</f>
        <v/>
      </c>
      <c r="AA7" s="9"/>
      <c r="AC7" s="72">
        <f t="shared" ref="AC7:AC66" si="9">IF(D7="",0,R7)</f>
        <v>46328</v>
      </c>
      <c r="AD7" s="72">
        <f t="shared" ref="AD7:AD66" si="10">IF(D7="",0,S7)</f>
        <v>46332</v>
      </c>
      <c r="AE7" s="74">
        <f t="shared" ref="AE7:AE66" si="11">IF(D7="",0,H7)</f>
        <v>225000000</v>
      </c>
      <c r="AF7" s="72">
        <f t="shared" ref="AF7:AF66" si="12">IF(D7="",0,X7)</f>
        <v>15</v>
      </c>
      <c r="AG7" s="72">
        <f>IF(D7="","",_xlfn.WORKDAY.INTL(U7,-(1+P7),'Cấu hình'!$C$17,'Cấu hình'!$E$6:$E$35))</f>
        <v>46325</v>
      </c>
      <c r="AH7" s="72">
        <f t="shared" ref="AH7:AH66" si="13">IF(W7="Găng",COUNTIF(W$7:W7,"Găng"),"")</f>
        <v>1</v>
      </c>
    </row>
    <row r="8" ht="21.75" customHeight="1">
      <c r="A8" s="41">
        <f t="shared" si="1"/>
        <v>2</v>
      </c>
      <c r="B8" s="10" t="s">
        <v>140</v>
      </c>
      <c r="C8" s="9" t="s">
        <v>13</v>
      </c>
      <c r="D8" s="9" t="s">
        <v>141</v>
      </c>
      <c r="E8" s="10" t="s">
        <v>142</v>
      </c>
      <c r="F8" s="44">
        <v>1.0</v>
      </c>
      <c r="G8" s="46">
        <v>8.5E7</v>
      </c>
      <c r="H8" s="47">
        <f t="shared" si="2"/>
        <v>85000000</v>
      </c>
      <c r="I8" s="44"/>
      <c r="J8" s="48">
        <v>1.0</v>
      </c>
      <c r="K8" s="48">
        <v>6.0</v>
      </c>
      <c r="L8" s="48">
        <v>5.0</v>
      </c>
      <c r="M8" s="49">
        <f t="shared" si="3"/>
        <v>5</v>
      </c>
      <c r="N8" s="10" t="s">
        <v>120</v>
      </c>
      <c r="O8" s="10"/>
      <c r="P8" s="48"/>
      <c r="Q8" s="8"/>
      <c r="R8" s="42">
        <f t="array" ref="R8">IF(D8="","",_xlfn.WORKDAY.INTL(MAX('Cấu hình'!$C$15,N(Q8),IF(N8="",0,IFERROR(_xlfn.WORKDAY.INTL(INDEX($S$6:S7,MATCH(N8,$B$6:B7,0)),1+P8,'Cấu hình'!$C$17,'Cấu hình'!$E$6:$E$35),0)),IF(O8="",0,IFERROR(_xlfn.WORKDAY.INTL(INDEX($S$6:S7,MATCH(O8,$B$6:B7,0)),1+P8,'Cấu hình'!$C$17,'Cấu hình'!$E$6:$E$35),0)))-1,1,'Cấu hình'!$C$17,'Cấu hình'!$E$6:$E$35))</f>
        <v>46335</v>
      </c>
      <c r="S8" s="42">
        <f>IF(D8="","",_xlfn.WORKDAY.INTL(R8,M8-1,'Cấu hình'!$C$17,'Cấu hình'!$E$6:$E$35))</f>
        <v>46339</v>
      </c>
      <c r="T8" s="42">
        <f t="shared" si="4"/>
        <v>46339</v>
      </c>
      <c r="U8" s="42">
        <f>IF(D8="","",_xlfn.WORKDAY.INTL(T8,-(M8-1),'Cấu hình'!$C$17,'Cấu hình'!$E$6:$E$35))</f>
        <v>46335</v>
      </c>
      <c r="V8" s="49">
        <f>IF(D8="","",_xlfn.NETWORKDAYS.INTL(S8,T8,'Cấu hình'!$C$17,'Cấu hình'!$E$6:$E$35)-1)</f>
        <v>0</v>
      </c>
      <c r="W8" s="67" t="str">
        <f t="shared" si="5"/>
        <v>Găng</v>
      </c>
      <c r="X8" s="49">
        <f t="shared" si="6"/>
        <v>6</v>
      </c>
      <c r="Y8" s="47">
        <f t="shared" si="7"/>
        <v>30</v>
      </c>
      <c r="Z8" s="64" t="str">
        <f t="shared" si="8"/>
        <v/>
      </c>
      <c r="AA8" s="9"/>
      <c r="AC8" s="72">
        <f t="shared" si="9"/>
        <v>46335</v>
      </c>
      <c r="AD8" s="72">
        <f t="shared" si="10"/>
        <v>46339</v>
      </c>
      <c r="AE8" s="74">
        <f t="shared" si="11"/>
        <v>85000000</v>
      </c>
      <c r="AF8" s="72">
        <f t="shared" si="12"/>
        <v>6</v>
      </c>
      <c r="AG8" s="72">
        <f>IF(D8="","",_xlfn.WORKDAY.INTL(U8,-(1+P8),'Cấu hình'!$C$17,'Cấu hình'!$E$6:$E$35))</f>
        <v>46332</v>
      </c>
      <c r="AH8" s="72">
        <f t="shared" si="13"/>
        <v>2</v>
      </c>
    </row>
    <row r="9" ht="21.75" customHeight="1">
      <c r="A9" s="41">
        <f t="shared" si="1"/>
        <v>3</v>
      </c>
      <c r="B9" s="10" t="s">
        <v>143</v>
      </c>
      <c r="C9" s="9" t="s">
        <v>18</v>
      </c>
      <c r="D9" s="9" t="s">
        <v>144</v>
      </c>
      <c r="E9" s="10" t="s">
        <v>145</v>
      </c>
      <c r="F9" s="44">
        <v>3200.0</v>
      </c>
      <c r="G9" s="46">
        <v>200000.0</v>
      </c>
      <c r="H9" s="47">
        <f t="shared" si="2"/>
        <v>640000000</v>
      </c>
      <c r="I9" s="44">
        <v>400.0</v>
      </c>
      <c r="J9" s="48">
        <v>2.0</v>
      </c>
      <c r="K9" s="48">
        <v>3.0</v>
      </c>
      <c r="L9" s="48"/>
      <c r="M9" s="49">
        <f t="shared" si="3"/>
        <v>4</v>
      </c>
      <c r="N9" s="10" t="s">
        <v>140</v>
      </c>
      <c r="O9" s="10"/>
      <c r="P9" s="48"/>
      <c r="Q9" s="8"/>
      <c r="R9" s="42">
        <f t="array" ref="R9">IF(D9="","",_xlfn.WORKDAY.INTL(MAX('Cấu hình'!$C$15,N(Q9),IF(N9="",0,IFERROR(_xlfn.WORKDAY.INTL(INDEX($S$6:S8,MATCH(N9,$B$6:B8,0)),1+P9,'Cấu hình'!$C$17,'Cấu hình'!$E$6:$E$35),0)),IF(O9="",0,IFERROR(_xlfn.WORKDAY.INTL(INDEX($S$6:S8,MATCH(O9,$B$6:B8,0)),1+P9,'Cấu hình'!$C$17,'Cấu hình'!$E$6:$E$35),0)))-1,1,'Cấu hình'!$C$17,'Cấu hình'!$E$6:$E$35))</f>
        <v>46342</v>
      </c>
      <c r="S9" s="42">
        <f>IF(D9="","",_xlfn.WORKDAY.INTL(R9,M9-1,'Cấu hình'!$C$17,'Cấu hình'!$E$6:$E$35))</f>
        <v>46345</v>
      </c>
      <c r="T9" s="42">
        <f t="shared" si="4"/>
        <v>46345</v>
      </c>
      <c r="U9" s="42">
        <f>IF(D9="","",_xlfn.WORKDAY.INTL(T9,-(M9-1),'Cấu hình'!$C$17,'Cấu hình'!$E$6:$E$35))</f>
        <v>46342</v>
      </c>
      <c r="V9" s="49">
        <f>IF(D9="","",_xlfn.NETWORKDAYS.INTL(S9,T9,'Cấu hình'!$C$17,'Cấu hình'!$E$6:$E$35)-1)</f>
        <v>0</v>
      </c>
      <c r="W9" s="67" t="str">
        <f t="shared" si="5"/>
        <v>Găng</v>
      </c>
      <c r="X9" s="49">
        <f t="shared" si="6"/>
        <v>6</v>
      </c>
      <c r="Y9" s="47">
        <f t="shared" si="7"/>
        <v>24</v>
      </c>
      <c r="Z9" s="64" t="str">
        <f t="shared" si="8"/>
        <v/>
      </c>
      <c r="AA9" s="9"/>
      <c r="AC9" s="72">
        <f t="shared" si="9"/>
        <v>46342</v>
      </c>
      <c r="AD9" s="72">
        <f t="shared" si="10"/>
        <v>46345</v>
      </c>
      <c r="AE9" s="74">
        <f t="shared" si="11"/>
        <v>640000000</v>
      </c>
      <c r="AF9" s="72">
        <f t="shared" si="12"/>
        <v>6</v>
      </c>
      <c r="AG9" s="72">
        <f>IF(D9="","",_xlfn.WORKDAY.INTL(U9,-(1+P9),'Cấu hình'!$C$17,'Cấu hình'!$E$6:$E$35))</f>
        <v>46339</v>
      </c>
      <c r="AH9" s="72">
        <f t="shared" si="13"/>
        <v>3</v>
      </c>
    </row>
    <row r="10" ht="21.75" customHeight="1">
      <c r="A10" s="41">
        <f t="shared" si="1"/>
        <v>4</v>
      </c>
      <c r="B10" s="10" t="s">
        <v>146</v>
      </c>
      <c r="C10" s="9" t="s">
        <v>18</v>
      </c>
      <c r="D10" s="9" t="s">
        <v>147</v>
      </c>
      <c r="E10" s="10" t="s">
        <v>145</v>
      </c>
      <c r="F10" s="44">
        <v>180.0</v>
      </c>
      <c r="G10" s="46">
        <v>1800000.0</v>
      </c>
      <c r="H10" s="47">
        <f t="shared" si="2"/>
        <v>324000000</v>
      </c>
      <c r="I10" s="44">
        <v>40.0</v>
      </c>
      <c r="J10" s="48">
        <v>1.0</v>
      </c>
      <c r="K10" s="48">
        <v>10.0</v>
      </c>
      <c r="L10" s="48"/>
      <c r="M10" s="49">
        <f t="shared" si="3"/>
        <v>5</v>
      </c>
      <c r="N10" s="10" t="s">
        <v>143</v>
      </c>
      <c r="O10" s="10"/>
      <c r="P10" s="48"/>
      <c r="Q10" s="8"/>
      <c r="R10" s="42">
        <f t="array" ref="R10">IF(D10="","",_xlfn.WORKDAY.INTL(MAX('Cấu hình'!$C$15,N(Q10),IF(N10="",0,IFERROR(_xlfn.WORKDAY.INTL(INDEX($S$6:S9,MATCH(N10,$B$6:B9,0)),1+P10,'Cấu hình'!$C$17,'Cấu hình'!$E$6:$E$35),0)),IF(O10="",0,IFERROR(_xlfn.WORKDAY.INTL(INDEX($S$6:S9,MATCH(O10,$B$6:B9,0)),1+P10,'Cấu hình'!$C$17,'Cấu hình'!$E$6:$E$35),0)))-1,1,'Cấu hình'!$C$17,'Cấu hình'!$E$6:$E$35))</f>
        <v>46346</v>
      </c>
      <c r="S10" s="42">
        <f>IF(D10="","",_xlfn.WORKDAY.INTL(R10,M10-1,'Cấu hình'!$C$17,'Cấu hình'!$E$6:$E$35))</f>
        <v>46352</v>
      </c>
      <c r="T10" s="42">
        <f t="shared" si="4"/>
        <v>46352</v>
      </c>
      <c r="U10" s="42">
        <f>IF(D10="","",_xlfn.WORKDAY.INTL(T10,-(M10-1),'Cấu hình'!$C$17,'Cấu hình'!$E$6:$E$35))</f>
        <v>46346</v>
      </c>
      <c r="V10" s="49">
        <f>IF(D10="","",_xlfn.NETWORKDAYS.INTL(S10,T10,'Cấu hình'!$C$17,'Cấu hình'!$E$6:$E$35)-1)</f>
        <v>0</v>
      </c>
      <c r="W10" s="67" t="str">
        <f t="shared" si="5"/>
        <v>Găng</v>
      </c>
      <c r="X10" s="49">
        <f t="shared" si="6"/>
        <v>10</v>
      </c>
      <c r="Y10" s="47">
        <f t="shared" si="7"/>
        <v>50</v>
      </c>
      <c r="Z10" s="64" t="str">
        <f t="shared" si="8"/>
        <v/>
      </c>
      <c r="AA10" s="9"/>
      <c r="AC10" s="72">
        <f t="shared" si="9"/>
        <v>46346</v>
      </c>
      <c r="AD10" s="72">
        <f t="shared" si="10"/>
        <v>46352</v>
      </c>
      <c r="AE10" s="74">
        <f t="shared" si="11"/>
        <v>324000000</v>
      </c>
      <c r="AF10" s="72">
        <f t="shared" si="12"/>
        <v>10</v>
      </c>
      <c r="AG10" s="72">
        <f>IF(D10="","",_xlfn.WORKDAY.INTL(U10,-(1+P10),'Cấu hình'!$C$17,'Cấu hình'!$E$6:$E$35))</f>
        <v>46345</v>
      </c>
      <c r="AH10" s="72">
        <f t="shared" si="13"/>
        <v>4</v>
      </c>
    </row>
    <row r="11" ht="21.75" customHeight="1">
      <c r="A11" s="41">
        <f t="shared" si="1"/>
        <v>5</v>
      </c>
      <c r="B11" s="10" t="s">
        <v>148</v>
      </c>
      <c r="C11" s="9" t="s">
        <v>18</v>
      </c>
      <c r="D11" s="9" t="s">
        <v>149</v>
      </c>
      <c r="E11" s="10" t="s">
        <v>150</v>
      </c>
      <c r="F11" s="44">
        <v>85.0</v>
      </c>
      <c r="G11" s="46">
        <v>1.85E7</v>
      </c>
      <c r="H11" s="47">
        <f t="shared" si="2"/>
        <v>1572500000</v>
      </c>
      <c r="I11" s="44">
        <v>3.0</v>
      </c>
      <c r="J11" s="48">
        <v>3.0</v>
      </c>
      <c r="K11" s="48">
        <v>8.0</v>
      </c>
      <c r="L11" s="48"/>
      <c r="M11" s="49">
        <f t="shared" si="3"/>
        <v>10</v>
      </c>
      <c r="N11" s="10" t="s">
        <v>146</v>
      </c>
      <c r="O11" s="10"/>
      <c r="P11" s="48"/>
      <c r="Q11" s="8"/>
      <c r="R11" s="42">
        <f t="array" ref="R11">IF(D11="","",_xlfn.WORKDAY.INTL(MAX('Cấu hình'!$C$15,N(Q11),IF(N11="",0,IFERROR(_xlfn.WORKDAY.INTL(INDEX($S$6:S10,MATCH(N11,$B$6:B10,0)),1+P11,'Cấu hình'!$C$17,'Cấu hình'!$E$6:$E$35),0)),IF(O11="",0,IFERROR(_xlfn.WORKDAY.INTL(INDEX($S$6:S10,MATCH(O11,$B$6:B10,0)),1+P11,'Cấu hình'!$C$17,'Cấu hình'!$E$6:$E$35),0)))-1,1,'Cấu hình'!$C$17,'Cấu hình'!$E$6:$E$35))</f>
        <v>46353</v>
      </c>
      <c r="S11" s="42">
        <f>IF(D11="","",_xlfn.WORKDAY.INTL(R11,M11-1,'Cấu hình'!$C$17,'Cấu hình'!$E$6:$E$35))</f>
        <v>46366</v>
      </c>
      <c r="T11" s="42">
        <f t="shared" si="4"/>
        <v>46366</v>
      </c>
      <c r="U11" s="42">
        <f>IF(D11="","",_xlfn.WORKDAY.INTL(T11,-(M11-1),'Cấu hình'!$C$17,'Cấu hình'!$E$6:$E$35))</f>
        <v>46353</v>
      </c>
      <c r="V11" s="49">
        <f>IF(D11="","",_xlfn.NETWORKDAYS.INTL(S11,T11,'Cấu hình'!$C$17,'Cấu hình'!$E$6:$E$35)-1)</f>
        <v>0</v>
      </c>
      <c r="W11" s="67" t="str">
        <f t="shared" si="5"/>
        <v>Găng</v>
      </c>
      <c r="X11" s="49">
        <f t="shared" si="6"/>
        <v>24</v>
      </c>
      <c r="Y11" s="47">
        <f t="shared" si="7"/>
        <v>240</v>
      </c>
      <c r="Z11" s="64" t="str">
        <f t="shared" si="8"/>
        <v/>
      </c>
      <c r="AA11" s="9"/>
      <c r="AC11" s="72">
        <f t="shared" si="9"/>
        <v>46353</v>
      </c>
      <c r="AD11" s="72">
        <f t="shared" si="10"/>
        <v>46366</v>
      </c>
      <c r="AE11" s="74">
        <f t="shared" si="11"/>
        <v>1572500000</v>
      </c>
      <c r="AF11" s="72">
        <f t="shared" si="12"/>
        <v>24</v>
      </c>
      <c r="AG11" s="72">
        <f>IF(D11="","",_xlfn.WORKDAY.INTL(U11,-(1+P11),'Cấu hình'!$C$17,'Cấu hình'!$E$6:$E$35))</f>
        <v>46352</v>
      </c>
      <c r="AH11" s="72">
        <f t="shared" si="13"/>
        <v>5</v>
      </c>
    </row>
    <row r="12" ht="21.75" customHeight="1">
      <c r="A12" s="41">
        <f t="shared" si="1"/>
        <v>6</v>
      </c>
      <c r="B12" s="10" t="s">
        <v>151</v>
      </c>
      <c r="C12" s="9" t="s">
        <v>18</v>
      </c>
      <c r="D12" s="9" t="s">
        <v>152</v>
      </c>
      <c r="E12" s="10" t="s">
        <v>122</v>
      </c>
      <c r="F12" s="44">
        <v>1200.0</v>
      </c>
      <c r="G12" s="46">
        <v>280000.0</v>
      </c>
      <c r="H12" s="47">
        <f t="shared" si="2"/>
        <v>336000000</v>
      </c>
      <c r="I12" s="44">
        <v>60.0</v>
      </c>
      <c r="J12" s="48">
        <v>3.0</v>
      </c>
      <c r="K12" s="48">
        <v>8.0</v>
      </c>
      <c r="L12" s="48"/>
      <c r="M12" s="49">
        <f t="shared" si="3"/>
        <v>7</v>
      </c>
      <c r="N12" s="10" t="s">
        <v>146</v>
      </c>
      <c r="O12" s="10"/>
      <c r="P12" s="48"/>
      <c r="Q12" s="8"/>
      <c r="R12" s="42">
        <f t="array" ref="R12">IF(D12="","",_xlfn.WORKDAY.INTL(MAX('Cấu hình'!$C$15,N(Q12),IF(N12="",0,IFERROR(_xlfn.WORKDAY.INTL(INDEX($S$6:S11,MATCH(N12,$B$6:B11,0)),1+P12,'Cấu hình'!$C$17,'Cấu hình'!$E$6:$E$35),0)),IF(O12="",0,IFERROR(_xlfn.WORKDAY.INTL(INDEX($S$6:S11,MATCH(O12,$B$6:B11,0)),1+P12,'Cấu hình'!$C$17,'Cấu hình'!$E$6:$E$35),0)))-1,1,'Cấu hình'!$C$17,'Cấu hình'!$E$6:$E$35))</f>
        <v>46353</v>
      </c>
      <c r="S12" s="42">
        <f>IF(D12="","",_xlfn.WORKDAY.INTL(R12,M12-1,'Cấu hình'!$C$17,'Cấu hình'!$E$6:$E$35))</f>
        <v>46363</v>
      </c>
      <c r="T12" s="42">
        <f t="shared" si="4"/>
        <v>46366</v>
      </c>
      <c r="U12" s="42">
        <f>IF(D12="","",_xlfn.WORKDAY.INTL(T12,-(M12-1),'Cấu hình'!$C$17,'Cấu hình'!$E$6:$E$35))</f>
        <v>46358</v>
      </c>
      <c r="V12" s="49">
        <f>IF(D12="","",_xlfn.NETWORKDAYS.INTL(S12,T12,'Cấu hình'!$C$17,'Cấu hình'!$E$6:$E$35)-1)</f>
        <v>3</v>
      </c>
      <c r="W12" s="67" t="str">
        <f t="shared" si="5"/>
        <v/>
      </c>
      <c r="X12" s="49">
        <f t="shared" si="6"/>
        <v>24</v>
      </c>
      <c r="Y12" s="47">
        <f t="shared" si="7"/>
        <v>168</v>
      </c>
      <c r="Z12" s="64" t="str">
        <f t="shared" si="8"/>
        <v/>
      </c>
      <c r="AA12" s="9"/>
      <c r="AC12" s="72">
        <f t="shared" si="9"/>
        <v>46353</v>
      </c>
      <c r="AD12" s="72">
        <f t="shared" si="10"/>
        <v>46363</v>
      </c>
      <c r="AE12" s="74">
        <f t="shared" si="11"/>
        <v>336000000</v>
      </c>
      <c r="AF12" s="72">
        <f t="shared" si="12"/>
        <v>24</v>
      </c>
      <c r="AG12" s="72">
        <f>IF(D12="","",_xlfn.WORKDAY.INTL(U12,-(1+P12),'Cấu hình'!$C$17,'Cấu hình'!$E$6:$E$35))</f>
        <v>46357</v>
      </c>
      <c r="AH12" s="72" t="str">
        <f t="shared" si="13"/>
        <v/>
      </c>
    </row>
    <row r="13" ht="21.75" customHeight="1">
      <c r="A13" s="41">
        <f t="shared" si="1"/>
        <v>7</v>
      </c>
      <c r="B13" s="10" t="s">
        <v>153</v>
      </c>
      <c r="C13" s="9" t="s">
        <v>18</v>
      </c>
      <c r="D13" s="9" t="s">
        <v>154</v>
      </c>
      <c r="E13" s="10" t="s">
        <v>145</v>
      </c>
      <c r="F13" s="44">
        <v>950.0</v>
      </c>
      <c r="G13" s="46">
        <v>1950000.0</v>
      </c>
      <c r="H13" s="47">
        <f t="shared" si="2"/>
        <v>1852500000</v>
      </c>
      <c r="I13" s="44">
        <v>120.0</v>
      </c>
      <c r="J13" s="48">
        <v>1.0</v>
      </c>
      <c r="K13" s="48">
        <v>15.0</v>
      </c>
      <c r="L13" s="48"/>
      <c r="M13" s="49">
        <f t="shared" si="3"/>
        <v>8</v>
      </c>
      <c r="N13" s="10" t="s">
        <v>148</v>
      </c>
      <c r="O13" s="10" t="s">
        <v>151</v>
      </c>
      <c r="P13" s="48"/>
      <c r="Q13" s="8"/>
      <c r="R13" s="42">
        <f t="array" ref="R13">IF(D13="","",_xlfn.WORKDAY.INTL(MAX('Cấu hình'!$C$15,N(Q13),IF(N13="",0,IFERROR(_xlfn.WORKDAY.INTL(INDEX($S$6:S12,MATCH(N13,$B$6:B12,0)),1+P13,'Cấu hình'!$C$17,'Cấu hình'!$E$6:$E$35),0)),IF(O13="",0,IFERROR(_xlfn.WORKDAY.INTL(INDEX($S$6:S12,MATCH(O13,$B$6:B12,0)),1+P13,'Cấu hình'!$C$17,'Cấu hình'!$E$6:$E$35),0)))-1,1,'Cấu hình'!$C$17,'Cấu hình'!$E$6:$E$35))</f>
        <v>46367</v>
      </c>
      <c r="S13" s="42">
        <f>IF(D13="","",_xlfn.WORKDAY.INTL(R13,M13-1,'Cấu hình'!$C$17,'Cấu hình'!$E$6:$E$35))</f>
        <v>46378</v>
      </c>
      <c r="T13" s="42">
        <f t="shared" si="4"/>
        <v>46378</v>
      </c>
      <c r="U13" s="42">
        <f>IF(D13="","",_xlfn.WORKDAY.INTL(T13,-(M13-1),'Cấu hình'!$C$17,'Cấu hình'!$E$6:$E$35))</f>
        <v>46367</v>
      </c>
      <c r="V13" s="49">
        <f>IF(D13="","",_xlfn.NETWORKDAYS.INTL(S13,T13,'Cấu hình'!$C$17,'Cấu hình'!$E$6:$E$35)-1)</f>
        <v>0</v>
      </c>
      <c r="W13" s="67" t="str">
        <f t="shared" si="5"/>
        <v>Găng</v>
      </c>
      <c r="X13" s="49">
        <f t="shared" si="6"/>
        <v>15</v>
      </c>
      <c r="Y13" s="47">
        <f t="shared" si="7"/>
        <v>120</v>
      </c>
      <c r="Z13" s="64" t="str">
        <f t="shared" si="8"/>
        <v/>
      </c>
      <c r="AA13" s="9"/>
      <c r="AC13" s="72">
        <f t="shared" si="9"/>
        <v>46367</v>
      </c>
      <c r="AD13" s="72">
        <f t="shared" si="10"/>
        <v>46378</v>
      </c>
      <c r="AE13" s="74">
        <f t="shared" si="11"/>
        <v>1852500000</v>
      </c>
      <c r="AF13" s="72">
        <f t="shared" si="12"/>
        <v>15</v>
      </c>
      <c r="AG13" s="72">
        <f>IF(D13="","",_xlfn.WORKDAY.INTL(U13,-(1+P13),'Cấu hình'!$C$17,'Cấu hình'!$E$6:$E$35))</f>
        <v>46366</v>
      </c>
      <c r="AH13" s="72">
        <f t="shared" si="13"/>
        <v>6</v>
      </c>
    </row>
    <row r="14" ht="21.75" customHeight="1">
      <c r="A14" s="41">
        <f t="shared" si="1"/>
        <v>8</v>
      </c>
      <c r="B14" s="10" t="s">
        <v>155</v>
      </c>
      <c r="C14" s="9" t="s">
        <v>18</v>
      </c>
      <c r="D14" s="9" t="s">
        <v>156</v>
      </c>
      <c r="E14" s="10" t="s">
        <v>145</v>
      </c>
      <c r="F14" s="44">
        <v>1800.0</v>
      </c>
      <c r="G14" s="46">
        <v>90000.0</v>
      </c>
      <c r="H14" s="47">
        <f t="shared" si="2"/>
        <v>162000000</v>
      </c>
      <c r="I14" s="44">
        <v>300.0</v>
      </c>
      <c r="J14" s="48">
        <v>1.0</v>
      </c>
      <c r="K14" s="48">
        <v>6.0</v>
      </c>
      <c r="L14" s="48"/>
      <c r="M14" s="49">
        <f t="shared" si="3"/>
        <v>6</v>
      </c>
      <c r="N14" s="10" t="s">
        <v>153</v>
      </c>
      <c r="O14" s="10"/>
      <c r="P14" s="48">
        <v>3.0</v>
      </c>
      <c r="Q14" s="8"/>
      <c r="R14" s="42">
        <f t="array" ref="R14">IF(D14="","",_xlfn.WORKDAY.INTL(MAX('Cấu hình'!$C$15,N(Q14),IF(N14="",0,IFERROR(_xlfn.WORKDAY.INTL(INDEX($S$6:S13,MATCH(N14,$B$6:B13,0)),1+P14,'Cấu hình'!$C$17,'Cấu hình'!$E$6:$E$35),0)),IF(O14="",0,IFERROR(_xlfn.WORKDAY.INTL(INDEX($S$6:S13,MATCH(O14,$B$6:B13,0)),1+P14,'Cấu hình'!$C$17,'Cấu hình'!$E$6:$E$35),0)))-1,1,'Cấu hình'!$C$17,'Cấu hình'!$E$6:$E$35))</f>
        <v>46384</v>
      </c>
      <c r="S14" s="42">
        <f>IF(D14="","",_xlfn.WORKDAY.INTL(R14,M14-1,'Cấu hình'!$C$17,'Cấu hình'!$E$6:$E$35))</f>
        <v>46392</v>
      </c>
      <c r="T14" s="42">
        <f t="shared" si="4"/>
        <v>46392</v>
      </c>
      <c r="U14" s="42">
        <f>IF(D14="","",_xlfn.WORKDAY.INTL(T14,-(M14-1),'Cấu hình'!$C$17,'Cấu hình'!$E$6:$E$35))</f>
        <v>46384</v>
      </c>
      <c r="V14" s="49">
        <f>IF(D14="","",_xlfn.NETWORKDAYS.INTL(S14,T14,'Cấu hình'!$C$17,'Cấu hình'!$E$6:$E$35)-1)</f>
        <v>0</v>
      </c>
      <c r="W14" s="67" t="str">
        <f t="shared" si="5"/>
        <v>Găng</v>
      </c>
      <c r="X14" s="49">
        <f t="shared" si="6"/>
        <v>6</v>
      </c>
      <c r="Y14" s="47">
        <f t="shared" si="7"/>
        <v>36</v>
      </c>
      <c r="Z14" s="64" t="str">
        <f t="shared" si="8"/>
        <v/>
      </c>
      <c r="AA14" s="9"/>
      <c r="AC14" s="72">
        <f t="shared" si="9"/>
        <v>46384</v>
      </c>
      <c r="AD14" s="72">
        <f t="shared" si="10"/>
        <v>46392</v>
      </c>
      <c r="AE14" s="74">
        <f t="shared" si="11"/>
        <v>162000000</v>
      </c>
      <c r="AF14" s="72">
        <f t="shared" si="12"/>
        <v>6</v>
      </c>
      <c r="AG14" s="72">
        <f>IF(D14="","",_xlfn.WORKDAY.INTL(U14,-(1+P14),'Cấu hình'!$C$17,'Cấu hình'!$E$6:$E$35))</f>
        <v>46378</v>
      </c>
      <c r="AH14" s="72">
        <f t="shared" si="13"/>
        <v>7</v>
      </c>
    </row>
    <row r="15" ht="21.75" customHeight="1">
      <c r="A15" s="41">
        <f t="shared" si="1"/>
        <v>9</v>
      </c>
      <c r="B15" s="10" t="s">
        <v>157</v>
      </c>
      <c r="C15" s="9" t="s">
        <v>22</v>
      </c>
      <c r="D15" s="9" t="s">
        <v>158</v>
      </c>
      <c r="E15" s="10" t="s">
        <v>145</v>
      </c>
      <c r="F15" s="44">
        <v>600.0</v>
      </c>
      <c r="G15" s="46">
        <v>4500000.0</v>
      </c>
      <c r="H15" s="47">
        <f t="shared" si="2"/>
        <v>2700000000</v>
      </c>
      <c r="I15" s="44">
        <v>20.0</v>
      </c>
      <c r="J15" s="48">
        <v>2.0</v>
      </c>
      <c r="K15" s="48">
        <v>20.0</v>
      </c>
      <c r="L15" s="48"/>
      <c r="M15" s="49">
        <f t="shared" si="3"/>
        <v>15</v>
      </c>
      <c r="N15" s="10" t="s">
        <v>155</v>
      </c>
      <c r="O15" s="10"/>
      <c r="P15" s="48"/>
      <c r="Q15" s="8"/>
      <c r="R15" s="42">
        <f t="array" ref="R15">IF(D15="","",_xlfn.WORKDAY.INTL(MAX('Cấu hình'!$C$15,N(Q15),IF(N15="",0,IFERROR(_xlfn.WORKDAY.INTL(INDEX($S$6:S14,MATCH(N15,$B$6:B14,0)),1+P15,'Cấu hình'!$C$17,'Cấu hình'!$E$6:$E$35),0)),IF(O15="",0,IFERROR(_xlfn.WORKDAY.INTL(INDEX($S$6:S14,MATCH(O15,$B$6:B14,0)),1+P15,'Cấu hình'!$C$17,'Cấu hình'!$E$6:$E$35),0)))-1,1,'Cấu hình'!$C$17,'Cấu hình'!$E$6:$E$35))</f>
        <v>46393</v>
      </c>
      <c r="S15" s="42">
        <f>IF(D15="","",_xlfn.WORKDAY.INTL(R15,M15-1,'Cấu hình'!$C$17,'Cấu hình'!$E$6:$E$35))</f>
        <v>46413</v>
      </c>
      <c r="T15" s="42">
        <f t="shared" si="4"/>
        <v>46413</v>
      </c>
      <c r="U15" s="42">
        <f>IF(D15="","",_xlfn.WORKDAY.INTL(T15,-(M15-1),'Cấu hình'!$C$17,'Cấu hình'!$E$6:$E$35))</f>
        <v>46393</v>
      </c>
      <c r="V15" s="49">
        <f>IF(D15="","",_xlfn.NETWORKDAYS.INTL(S15,T15,'Cấu hình'!$C$17,'Cấu hình'!$E$6:$E$35)-1)</f>
        <v>0</v>
      </c>
      <c r="W15" s="67" t="str">
        <f t="shared" si="5"/>
        <v>Găng</v>
      </c>
      <c r="X15" s="49">
        <f t="shared" si="6"/>
        <v>40</v>
      </c>
      <c r="Y15" s="47">
        <f t="shared" si="7"/>
        <v>600</v>
      </c>
      <c r="Z15" s="64" t="str">
        <f t="shared" si="8"/>
        <v/>
      </c>
      <c r="AA15" s="9"/>
      <c r="AC15" s="72">
        <f t="shared" si="9"/>
        <v>46393</v>
      </c>
      <c r="AD15" s="72">
        <f t="shared" si="10"/>
        <v>46413</v>
      </c>
      <c r="AE15" s="74">
        <f t="shared" si="11"/>
        <v>2700000000</v>
      </c>
      <c r="AF15" s="72">
        <f t="shared" si="12"/>
        <v>40</v>
      </c>
      <c r="AG15" s="72">
        <f>IF(D15="","",_xlfn.WORKDAY.INTL(U15,-(1+P15),'Cấu hình'!$C$17,'Cấu hình'!$E$6:$E$35))</f>
        <v>46392</v>
      </c>
      <c r="AH15" s="72">
        <f t="shared" si="13"/>
        <v>8</v>
      </c>
    </row>
    <row r="16" ht="21.75" customHeight="1">
      <c r="A16" s="41">
        <f t="shared" si="1"/>
        <v>10</v>
      </c>
      <c r="B16" s="10" t="s">
        <v>159</v>
      </c>
      <c r="C16" s="9" t="s">
        <v>22</v>
      </c>
      <c r="D16" s="9" t="s">
        <v>160</v>
      </c>
      <c r="E16" s="10" t="s">
        <v>145</v>
      </c>
      <c r="F16" s="44">
        <v>600.0</v>
      </c>
      <c r="G16" s="46">
        <v>4500000.0</v>
      </c>
      <c r="H16" s="47">
        <f t="shared" si="2"/>
        <v>2700000000</v>
      </c>
      <c r="I16" s="44">
        <v>20.0</v>
      </c>
      <c r="J16" s="48">
        <v>2.0</v>
      </c>
      <c r="K16" s="48">
        <v>20.0</v>
      </c>
      <c r="L16" s="48"/>
      <c r="M16" s="49">
        <f t="shared" si="3"/>
        <v>15</v>
      </c>
      <c r="N16" s="10" t="s">
        <v>157</v>
      </c>
      <c r="O16" s="10"/>
      <c r="P16" s="48"/>
      <c r="Q16" s="8"/>
      <c r="R16" s="42">
        <f t="array" ref="R16">IF(D16="","",_xlfn.WORKDAY.INTL(MAX('Cấu hình'!$C$15,N(Q16),IF(N16="",0,IFERROR(_xlfn.WORKDAY.INTL(INDEX($S$6:S15,MATCH(N16,$B$6:B15,0)),1+P16,'Cấu hình'!$C$17,'Cấu hình'!$E$6:$E$35),0)),IF(O16="",0,IFERROR(_xlfn.WORKDAY.INTL(INDEX($S$6:S15,MATCH(O16,$B$6:B15,0)),1+P16,'Cấu hình'!$C$17,'Cấu hình'!$E$6:$E$35),0)))-1,1,'Cấu hình'!$C$17,'Cấu hình'!$E$6:$E$35))</f>
        <v>46414</v>
      </c>
      <c r="S16" s="42">
        <f>IF(D16="","",_xlfn.WORKDAY.INTL(R16,M16-1,'Cấu hình'!$C$17,'Cấu hình'!$E$6:$E$35))</f>
        <v>46441</v>
      </c>
      <c r="T16" s="42">
        <f t="shared" si="4"/>
        <v>46441</v>
      </c>
      <c r="U16" s="42">
        <f>IF(D16="","",_xlfn.WORKDAY.INTL(T16,-(M16-1),'Cấu hình'!$C$17,'Cấu hình'!$E$6:$E$35))</f>
        <v>46414</v>
      </c>
      <c r="V16" s="49">
        <f>IF(D16="","",_xlfn.NETWORKDAYS.INTL(S16,T16,'Cấu hình'!$C$17,'Cấu hình'!$E$6:$E$35)-1)</f>
        <v>0</v>
      </c>
      <c r="W16" s="67" t="str">
        <f t="shared" si="5"/>
        <v>Găng</v>
      </c>
      <c r="X16" s="49">
        <f t="shared" si="6"/>
        <v>40</v>
      </c>
      <c r="Y16" s="47">
        <f t="shared" si="7"/>
        <v>600</v>
      </c>
      <c r="Z16" s="64" t="str">
        <f t="shared" si="8"/>
        <v/>
      </c>
      <c r="AA16" s="9"/>
      <c r="AC16" s="72">
        <f t="shared" si="9"/>
        <v>46414</v>
      </c>
      <c r="AD16" s="72">
        <f t="shared" si="10"/>
        <v>46441</v>
      </c>
      <c r="AE16" s="74">
        <f t="shared" si="11"/>
        <v>2700000000</v>
      </c>
      <c r="AF16" s="72">
        <f t="shared" si="12"/>
        <v>40</v>
      </c>
      <c r="AG16" s="72">
        <f>IF(D16="","",_xlfn.WORKDAY.INTL(U16,-(1+P16),'Cấu hình'!$C$17,'Cấu hình'!$E$6:$E$35))</f>
        <v>46413</v>
      </c>
      <c r="AH16" s="72">
        <f t="shared" si="13"/>
        <v>9</v>
      </c>
    </row>
    <row r="17" ht="21.75" customHeight="1">
      <c r="A17" s="41">
        <f t="shared" si="1"/>
        <v>11</v>
      </c>
      <c r="B17" s="10" t="s">
        <v>162</v>
      </c>
      <c r="C17" s="9" t="s">
        <v>22</v>
      </c>
      <c r="D17" s="9" t="s">
        <v>163</v>
      </c>
      <c r="E17" s="10" t="s">
        <v>145</v>
      </c>
      <c r="F17" s="44">
        <v>600.0</v>
      </c>
      <c r="G17" s="46">
        <v>4500000.0</v>
      </c>
      <c r="H17" s="47">
        <f t="shared" si="2"/>
        <v>2700000000</v>
      </c>
      <c r="I17" s="44">
        <v>20.0</v>
      </c>
      <c r="J17" s="48">
        <v>2.0</v>
      </c>
      <c r="K17" s="48">
        <v>20.0</v>
      </c>
      <c r="L17" s="48"/>
      <c r="M17" s="49">
        <f t="shared" si="3"/>
        <v>15</v>
      </c>
      <c r="N17" s="10" t="s">
        <v>159</v>
      </c>
      <c r="O17" s="10"/>
      <c r="P17" s="48"/>
      <c r="Q17" s="8"/>
      <c r="R17" s="42">
        <f t="array" ref="R17">IF(D17="","",_xlfn.WORKDAY.INTL(MAX('Cấu hình'!$C$15,N(Q17),IF(N17="",0,IFERROR(_xlfn.WORKDAY.INTL(INDEX($S$6:S16,MATCH(N17,$B$6:B16,0)),1+P17,'Cấu hình'!$C$17,'Cấu hình'!$E$6:$E$35),0)),IF(O17="",0,IFERROR(_xlfn.WORKDAY.INTL(INDEX($S$6:S16,MATCH(O17,$B$6:B16,0)),1+P17,'Cấu hình'!$C$17,'Cấu hình'!$E$6:$E$35),0)))-1,1,'Cấu hình'!$C$17,'Cấu hình'!$E$6:$E$35))</f>
        <v>46442</v>
      </c>
      <c r="S17" s="42">
        <f>IF(D17="","",_xlfn.WORKDAY.INTL(R17,M17-1,'Cấu hình'!$C$17,'Cấu hình'!$E$6:$E$35))</f>
        <v>46462</v>
      </c>
      <c r="T17" s="42">
        <f t="shared" si="4"/>
        <v>46485</v>
      </c>
      <c r="U17" s="42">
        <f>IF(D17="","",_xlfn.WORKDAY.INTL(T17,-(M17-1),'Cấu hình'!$C$17,'Cấu hình'!$E$6:$E$35))</f>
        <v>46465</v>
      </c>
      <c r="V17" s="49">
        <f>IF(D17="","",_xlfn.NETWORKDAYS.INTL(S17,T17,'Cấu hình'!$C$17,'Cấu hình'!$E$6:$E$35)-1)</f>
        <v>17</v>
      </c>
      <c r="W17" s="67" t="str">
        <f t="shared" si="5"/>
        <v/>
      </c>
      <c r="X17" s="49">
        <f t="shared" si="6"/>
        <v>40</v>
      </c>
      <c r="Y17" s="47">
        <f t="shared" si="7"/>
        <v>600</v>
      </c>
      <c r="Z17" s="64" t="str">
        <f t="shared" si="8"/>
        <v/>
      </c>
      <c r="AA17" s="9"/>
      <c r="AC17" s="72">
        <f t="shared" si="9"/>
        <v>46442</v>
      </c>
      <c r="AD17" s="72">
        <f t="shared" si="10"/>
        <v>46462</v>
      </c>
      <c r="AE17" s="74">
        <f t="shared" si="11"/>
        <v>2700000000</v>
      </c>
      <c r="AF17" s="72">
        <f t="shared" si="12"/>
        <v>40</v>
      </c>
      <c r="AG17" s="72">
        <f>IF(D17="","",_xlfn.WORKDAY.INTL(U17,-(1+P17),'Cấu hình'!$C$17,'Cấu hình'!$E$6:$E$35))</f>
        <v>46464</v>
      </c>
      <c r="AH17" s="72" t="str">
        <f t="shared" si="13"/>
        <v/>
      </c>
    </row>
    <row r="18" ht="21.75" customHeight="1">
      <c r="A18" s="41">
        <f t="shared" si="1"/>
        <v>12</v>
      </c>
      <c r="B18" s="10" t="s">
        <v>166</v>
      </c>
      <c r="C18" s="9" t="s">
        <v>22</v>
      </c>
      <c r="D18" s="9" t="s">
        <v>167</v>
      </c>
      <c r="E18" s="10" t="s">
        <v>145</v>
      </c>
      <c r="F18" s="44">
        <v>600.0</v>
      </c>
      <c r="G18" s="46">
        <v>4500000.0</v>
      </c>
      <c r="H18" s="47">
        <f t="shared" si="2"/>
        <v>2700000000</v>
      </c>
      <c r="I18" s="44">
        <v>20.0</v>
      </c>
      <c r="J18" s="48">
        <v>2.0</v>
      </c>
      <c r="K18" s="48">
        <v>20.0</v>
      </c>
      <c r="L18" s="48"/>
      <c r="M18" s="49">
        <f t="shared" si="3"/>
        <v>15</v>
      </c>
      <c r="N18" s="10" t="s">
        <v>162</v>
      </c>
      <c r="O18" s="10"/>
      <c r="P18" s="48"/>
      <c r="Q18" s="8"/>
      <c r="R18" s="42">
        <f t="array" ref="R18">IF(D18="","",_xlfn.WORKDAY.INTL(MAX('Cấu hình'!$C$15,N(Q18),IF(N18="",0,IFERROR(_xlfn.WORKDAY.INTL(INDEX($S$6:S17,MATCH(N18,$B$6:B17,0)),1+P18,'Cấu hình'!$C$17,'Cấu hình'!$E$6:$E$35),0)),IF(O18="",0,IFERROR(_xlfn.WORKDAY.INTL(INDEX($S$6:S17,MATCH(O18,$B$6:B17,0)),1+P18,'Cấu hình'!$C$17,'Cấu hình'!$E$6:$E$35),0)))-1,1,'Cấu hình'!$C$17,'Cấu hình'!$E$6:$E$35))</f>
        <v>46463</v>
      </c>
      <c r="S18" s="42">
        <f>IF(D18="","",_xlfn.WORKDAY.INTL(R18,M18-1,'Cấu hình'!$C$17,'Cấu hình'!$E$6:$E$35))</f>
        <v>46483</v>
      </c>
      <c r="T18" s="42">
        <f t="shared" si="4"/>
        <v>46506</v>
      </c>
      <c r="U18" s="42">
        <f>IF(D18="","",_xlfn.WORKDAY.INTL(T18,-(M18-1),'Cấu hình'!$C$17,'Cấu hình'!$E$6:$E$35))</f>
        <v>46486</v>
      </c>
      <c r="V18" s="49">
        <f>IF(D18="","",_xlfn.NETWORKDAYS.INTL(S18,T18,'Cấu hình'!$C$17,'Cấu hình'!$E$6:$E$35)-1)</f>
        <v>17</v>
      </c>
      <c r="W18" s="67" t="str">
        <f t="shared" si="5"/>
        <v/>
      </c>
      <c r="X18" s="49">
        <f t="shared" si="6"/>
        <v>40</v>
      </c>
      <c r="Y18" s="47">
        <f t="shared" si="7"/>
        <v>600</v>
      </c>
      <c r="Z18" s="64" t="str">
        <f t="shared" si="8"/>
        <v/>
      </c>
      <c r="AA18" s="9"/>
      <c r="AC18" s="72">
        <f t="shared" si="9"/>
        <v>46463</v>
      </c>
      <c r="AD18" s="72">
        <f t="shared" si="10"/>
        <v>46483</v>
      </c>
      <c r="AE18" s="74">
        <f t="shared" si="11"/>
        <v>2700000000</v>
      </c>
      <c r="AF18" s="72">
        <f t="shared" si="12"/>
        <v>40</v>
      </c>
      <c r="AG18" s="72">
        <f>IF(D18="","",_xlfn.WORKDAY.INTL(U18,-(1+P18),'Cấu hình'!$C$17,'Cấu hình'!$E$6:$E$35))</f>
        <v>46485</v>
      </c>
      <c r="AH18" s="72" t="str">
        <f t="shared" si="13"/>
        <v/>
      </c>
    </row>
    <row r="19" ht="21.75" customHeight="1">
      <c r="A19" s="41">
        <f t="shared" si="1"/>
        <v>13</v>
      </c>
      <c r="B19" s="10" t="s">
        <v>168</v>
      </c>
      <c r="C19" s="9" t="s">
        <v>22</v>
      </c>
      <c r="D19" s="9" t="s">
        <v>169</v>
      </c>
      <c r="E19" s="10" t="s">
        <v>145</v>
      </c>
      <c r="F19" s="44">
        <v>220.0</v>
      </c>
      <c r="G19" s="46">
        <v>4500000.0</v>
      </c>
      <c r="H19" s="47">
        <f t="shared" si="2"/>
        <v>990000000</v>
      </c>
      <c r="I19" s="44">
        <v>20.0</v>
      </c>
      <c r="J19" s="48">
        <v>1.0</v>
      </c>
      <c r="K19" s="48">
        <v>20.0</v>
      </c>
      <c r="L19" s="48"/>
      <c r="M19" s="49">
        <f t="shared" si="3"/>
        <v>11</v>
      </c>
      <c r="N19" s="10" t="s">
        <v>166</v>
      </c>
      <c r="O19" s="10"/>
      <c r="P19" s="48"/>
      <c r="Q19" s="8"/>
      <c r="R19" s="42">
        <f t="array" ref="R19">IF(D19="","",_xlfn.WORKDAY.INTL(MAX('Cấu hình'!$C$15,N(Q19),IF(N19="",0,IFERROR(_xlfn.WORKDAY.INTL(INDEX($S$6:S18,MATCH(N19,$B$6:B18,0)),1+P19,'Cấu hình'!$C$17,'Cấu hình'!$E$6:$E$35),0)),IF(O19="",0,IFERROR(_xlfn.WORKDAY.INTL(INDEX($S$6:S18,MATCH(O19,$B$6:B18,0)),1+P19,'Cấu hình'!$C$17,'Cấu hình'!$E$6:$E$35),0)))-1,1,'Cấu hình'!$C$17,'Cấu hình'!$E$6:$E$35))</f>
        <v>46484</v>
      </c>
      <c r="S19" s="42">
        <f>IF(D19="","",_xlfn.WORKDAY.INTL(R19,M19-1,'Cấu hình'!$C$17,'Cấu hình'!$E$6:$E$35))</f>
        <v>46498</v>
      </c>
      <c r="T19" s="42">
        <f t="shared" si="4"/>
        <v>46626</v>
      </c>
      <c r="U19" s="42">
        <f>IF(D19="","",_xlfn.WORKDAY.INTL(T19,-(M19-1),'Cấu hình'!$C$17,'Cấu hình'!$E$6:$E$35))</f>
        <v>46612</v>
      </c>
      <c r="V19" s="49">
        <f>IF(D19="","",_xlfn.NETWORKDAYS.INTL(S19,T19,'Cấu hình'!$C$17,'Cấu hình'!$E$6:$E$35)-1)</f>
        <v>91</v>
      </c>
      <c r="W19" s="67" t="str">
        <f t="shared" si="5"/>
        <v/>
      </c>
      <c r="X19" s="49">
        <f t="shared" si="6"/>
        <v>20</v>
      </c>
      <c r="Y19" s="47">
        <f t="shared" si="7"/>
        <v>220</v>
      </c>
      <c r="Z19" s="64" t="str">
        <f t="shared" si="8"/>
        <v/>
      </c>
      <c r="AA19" s="9"/>
      <c r="AC19" s="72">
        <f t="shared" si="9"/>
        <v>46484</v>
      </c>
      <c r="AD19" s="72">
        <f t="shared" si="10"/>
        <v>46498</v>
      </c>
      <c r="AE19" s="74">
        <f t="shared" si="11"/>
        <v>990000000</v>
      </c>
      <c r="AF19" s="72">
        <f t="shared" si="12"/>
        <v>20</v>
      </c>
      <c r="AG19" s="72">
        <f>IF(D19="","",_xlfn.WORKDAY.INTL(U19,-(1+P19),'Cấu hình'!$C$17,'Cấu hình'!$E$6:$E$35))</f>
        <v>46611</v>
      </c>
      <c r="AH19" s="72" t="str">
        <f t="shared" si="13"/>
        <v/>
      </c>
    </row>
    <row r="20" ht="21.75" customHeight="1">
      <c r="A20" s="41">
        <f t="shared" si="1"/>
        <v>14</v>
      </c>
      <c r="B20" s="10" t="s">
        <v>170</v>
      </c>
      <c r="C20" s="9" t="s">
        <v>26</v>
      </c>
      <c r="D20" s="9" t="s">
        <v>171</v>
      </c>
      <c r="E20" s="10" t="s">
        <v>122</v>
      </c>
      <c r="F20" s="44">
        <v>5000.0</v>
      </c>
      <c r="G20" s="46">
        <v>190000.0</v>
      </c>
      <c r="H20" s="47">
        <f t="shared" si="2"/>
        <v>950000000</v>
      </c>
      <c r="I20" s="44">
        <v>40.0</v>
      </c>
      <c r="J20" s="48">
        <v>3.0</v>
      </c>
      <c r="K20" s="48">
        <v>8.0</v>
      </c>
      <c r="L20" s="48"/>
      <c r="M20" s="49">
        <f t="shared" si="3"/>
        <v>42</v>
      </c>
      <c r="N20" s="10" t="s">
        <v>159</v>
      </c>
      <c r="O20" s="10"/>
      <c r="P20" s="48">
        <v>5.0</v>
      </c>
      <c r="Q20" s="8"/>
      <c r="R20" s="42">
        <f t="array" ref="R20">IF(D20="","",_xlfn.WORKDAY.INTL(MAX('Cấu hình'!$C$15,N(Q20),IF(N20="",0,IFERROR(_xlfn.WORKDAY.INTL(INDEX($S$6:S19,MATCH(N20,$B$6:B19,0)),1+P20,'Cấu hình'!$C$17,'Cấu hình'!$E$6:$E$35),0)),IF(O20="",0,IFERROR(_xlfn.WORKDAY.INTL(INDEX($S$6:S19,MATCH(O20,$B$6:B19,0)),1+P20,'Cấu hình'!$C$17,'Cấu hình'!$E$6:$E$35),0)))-1,1,'Cấu hình'!$C$17,'Cấu hình'!$E$6:$E$35))</f>
        <v>46449</v>
      </c>
      <c r="S20" s="42">
        <f>IF(D20="","",_xlfn.WORKDAY.INTL(R20,M20-1,'Cấu hình'!$C$17,'Cấu hình'!$E$6:$E$35))</f>
        <v>46506</v>
      </c>
      <c r="T20" s="42">
        <f t="shared" si="4"/>
        <v>46506</v>
      </c>
      <c r="U20" s="42">
        <f>IF(D20="","",_xlfn.WORKDAY.INTL(T20,-(M20-1),'Cấu hình'!$C$17,'Cấu hình'!$E$6:$E$35))</f>
        <v>46449</v>
      </c>
      <c r="V20" s="49">
        <f>IF(D20="","",_xlfn.NETWORKDAYS.INTL(S20,T20,'Cấu hình'!$C$17,'Cấu hình'!$E$6:$E$35)-1)</f>
        <v>0</v>
      </c>
      <c r="W20" s="67" t="str">
        <f t="shared" si="5"/>
        <v>Găng</v>
      </c>
      <c r="X20" s="49">
        <f t="shared" si="6"/>
        <v>24</v>
      </c>
      <c r="Y20" s="47">
        <f t="shared" si="7"/>
        <v>1008</v>
      </c>
      <c r="Z20" s="64" t="str">
        <f t="shared" si="8"/>
        <v/>
      </c>
      <c r="AA20" s="9"/>
      <c r="AC20" s="72">
        <f t="shared" si="9"/>
        <v>46449</v>
      </c>
      <c r="AD20" s="72">
        <f t="shared" si="10"/>
        <v>46506</v>
      </c>
      <c r="AE20" s="74">
        <f t="shared" si="11"/>
        <v>950000000</v>
      </c>
      <c r="AF20" s="72">
        <f t="shared" si="12"/>
        <v>24</v>
      </c>
      <c r="AG20" s="72">
        <f>IF(D20="","",_xlfn.WORKDAY.INTL(U20,-(1+P20),'Cấu hình'!$C$17,'Cấu hình'!$E$6:$E$35))</f>
        <v>46441</v>
      </c>
      <c r="AH20" s="72">
        <f t="shared" si="13"/>
        <v>10</v>
      </c>
    </row>
    <row r="21" ht="21.75" customHeight="1">
      <c r="A21" s="41">
        <f t="shared" si="1"/>
        <v>15</v>
      </c>
      <c r="B21" s="10" t="s">
        <v>172</v>
      </c>
      <c r="C21" s="9" t="s">
        <v>26</v>
      </c>
      <c r="D21" s="9" t="s">
        <v>173</v>
      </c>
      <c r="E21" s="10" t="s">
        <v>122</v>
      </c>
      <c r="F21" s="44">
        <v>4500.0</v>
      </c>
      <c r="G21" s="46">
        <v>190000.0</v>
      </c>
      <c r="H21" s="47">
        <f t="shared" si="2"/>
        <v>855000000</v>
      </c>
      <c r="I21" s="44">
        <v>40.0</v>
      </c>
      <c r="J21" s="48">
        <v>3.0</v>
      </c>
      <c r="K21" s="48">
        <v>8.0</v>
      </c>
      <c r="L21" s="48"/>
      <c r="M21" s="49">
        <f t="shared" si="3"/>
        <v>38</v>
      </c>
      <c r="N21" s="10" t="s">
        <v>166</v>
      </c>
      <c r="O21" s="10" t="s">
        <v>170</v>
      </c>
      <c r="P21" s="48">
        <v>3.0</v>
      </c>
      <c r="Q21" s="8"/>
      <c r="R21" s="42">
        <f t="array" ref="R21">IF(D21="","",_xlfn.WORKDAY.INTL(MAX('Cấu hình'!$C$15,N(Q21),IF(N21="",0,IFERROR(_xlfn.WORKDAY.INTL(INDEX($S$6:S20,MATCH(N21,$B$6:B20,0)),1+P21,'Cấu hình'!$C$17,'Cấu hình'!$E$6:$E$35),0)),IF(O21="",0,IFERROR(_xlfn.WORKDAY.INTL(INDEX($S$6:S20,MATCH(O21,$B$6:B20,0)),1+P21,'Cấu hình'!$C$17,'Cấu hình'!$E$6:$E$35),0)))-1,1,'Cấu hình'!$C$17,'Cấu hình'!$E$6:$E$35))</f>
        <v>46513</v>
      </c>
      <c r="S21" s="42">
        <f>IF(D21="","",_xlfn.WORKDAY.INTL(R21,M21-1,'Cấu hình'!$C$17,'Cấu hình'!$E$6:$E$35))</f>
        <v>46566</v>
      </c>
      <c r="T21" s="42">
        <f t="shared" si="4"/>
        <v>46566</v>
      </c>
      <c r="U21" s="42">
        <f>IF(D21="","",_xlfn.WORKDAY.INTL(T21,-(M21-1),'Cấu hình'!$C$17,'Cấu hình'!$E$6:$E$35))</f>
        <v>46513</v>
      </c>
      <c r="V21" s="49">
        <f>IF(D21="","",_xlfn.NETWORKDAYS.INTL(S21,T21,'Cấu hình'!$C$17,'Cấu hình'!$E$6:$E$35)-1)</f>
        <v>0</v>
      </c>
      <c r="W21" s="67" t="str">
        <f t="shared" si="5"/>
        <v>Găng</v>
      </c>
      <c r="X21" s="49">
        <f t="shared" si="6"/>
        <v>24</v>
      </c>
      <c r="Y21" s="47">
        <f t="shared" si="7"/>
        <v>912</v>
      </c>
      <c r="Z21" s="64" t="str">
        <f t="shared" si="8"/>
        <v/>
      </c>
      <c r="AA21" s="9"/>
      <c r="AC21" s="72">
        <f t="shared" si="9"/>
        <v>46513</v>
      </c>
      <c r="AD21" s="72">
        <f t="shared" si="10"/>
        <v>46566</v>
      </c>
      <c r="AE21" s="74">
        <f t="shared" si="11"/>
        <v>855000000</v>
      </c>
      <c r="AF21" s="72">
        <f t="shared" si="12"/>
        <v>24</v>
      </c>
      <c r="AG21" s="72">
        <f>IF(D21="","",_xlfn.WORKDAY.INTL(U21,-(1+P21),'Cấu hình'!$C$17,'Cấu hình'!$E$6:$E$35))</f>
        <v>46506</v>
      </c>
      <c r="AH21" s="72">
        <f t="shared" si="13"/>
        <v>11</v>
      </c>
    </row>
    <row r="22" ht="21.75" customHeight="1">
      <c r="A22" s="41">
        <f t="shared" si="1"/>
        <v>16</v>
      </c>
      <c r="B22" s="10" t="s">
        <v>174</v>
      </c>
      <c r="C22" s="9" t="s">
        <v>26</v>
      </c>
      <c r="D22" s="9" t="s">
        <v>175</v>
      </c>
      <c r="E22" s="10" t="s">
        <v>176</v>
      </c>
      <c r="F22" s="44">
        <v>8.0</v>
      </c>
      <c r="G22" s="46">
        <v>4.0E8</v>
      </c>
      <c r="H22" s="47">
        <f t="shared" si="2"/>
        <v>3200000000</v>
      </c>
      <c r="I22" s="44">
        <v>0.25</v>
      </c>
      <c r="J22" s="48">
        <v>2.0</v>
      </c>
      <c r="K22" s="48">
        <v>6.0</v>
      </c>
      <c r="L22" s="48"/>
      <c r="M22" s="49">
        <f t="shared" si="3"/>
        <v>16</v>
      </c>
      <c r="N22" s="10" t="s">
        <v>170</v>
      </c>
      <c r="O22" s="10"/>
      <c r="P22" s="48"/>
      <c r="Q22" s="8"/>
      <c r="R22" s="42">
        <f t="array" ref="R22">IF(D22="","",_xlfn.WORKDAY.INTL(MAX('Cấu hình'!$C$15,N(Q22),IF(N22="",0,IFERROR(_xlfn.WORKDAY.INTL(INDEX($S$6:S21,MATCH(N22,$B$6:B21,0)),1+P22,'Cấu hình'!$C$17,'Cấu hình'!$E$6:$E$35),0)),IF(O22="",0,IFERROR(_xlfn.WORKDAY.INTL(INDEX($S$6:S21,MATCH(O22,$B$6:B21,0)),1+P22,'Cấu hình'!$C$17,'Cấu hình'!$E$6:$E$35),0)))-1,1,'Cấu hình'!$C$17,'Cấu hình'!$E$6:$E$35))</f>
        <v>46510</v>
      </c>
      <c r="S22" s="42">
        <f>IF(D22="","",_xlfn.WORKDAY.INTL(R22,M22-1,'Cấu hình'!$C$17,'Cấu hình'!$E$6:$E$35))</f>
        <v>46531</v>
      </c>
      <c r="T22" s="42">
        <f t="shared" si="4"/>
        <v>46622</v>
      </c>
      <c r="U22" s="42">
        <f>IF(D22="","",_xlfn.WORKDAY.INTL(T22,-(M22-1),'Cấu hình'!$C$17,'Cấu hình'!$E$6:$E$35))</f>
        <v>46601</v>
      </c>
      <c r="V22" s="49">
        <f>IF(D22="","",_xlfn.NETWORKDAYS.INTL(S22,T22,'Cấu hình'!$C$17,'Cấu hình'!$E$6:$E$35)-1)</f>
        <v>65</v>
      </c>
      <c r="W22" s="67" t="str">
        <f t="shared" si="5"/>
        <v/>
      </c>
      <c r="X22" s="49">
        <f t="shared" si="6"/>
        <v>12</v>
      </c>
      <c r="Y22" s="47">
        <f t="shared" si="7"/>
        <v>192</v>
      </c>
      <c r="Z22" s="64" t="str">
        <f t="shared" si="8"/>
        <v/>
      </c>
      <c r="AA22" s="9"/>
      <c r="AC22" s="72">
        <f t="shared" si="9"/>
        <v>46510</v>
      </c>
      <c r="AD22" s="72">
        <f t="shared" si="10"/>
        <v>46531</v>
      </c>
      <c r="AE22" s="74">
        <f t="shared" si="11"/>
        <v>3200000000</v>
      </c>
      <c r="AF22" s="72">
        <f t="shared" si="12"/>
        <v>12</v>
      </c>
      <c r="AG22" s="72">
        <f>IF(D22="","",_xlfn.WORKDAY.INTL(U22,-(1+P22),'Cấu hình'!$C$17,'Cấu hình'!$E$6:$E$35))</f>
        <v>46598</v>
      </c>
      <c r="AH22" s="72" t="str">
        <f t="shared" si="13"/>
        <v/>
      </c>
    </row>
    <row r="23" ht="21.75" customHeight="1">
      <c r="A23" s="41">
        <f t="shared" si="1"/>
        <v>17</v>
      </c>
      <c r="B23" s="10" t="s">
        <v>202</v>
      </c>
      <c r="C23" s="9" t="s">
        <v>26</v>
      </c>
      <c r="D23" s="9" t="s">
        <v>203</v>
      </c>
      <c r="E23" s="10" t="s">
        <v>176</v>
      </c>
      <c r="F23" s="44">
        <v>8.0</v>
      </c>
      <c r="G23" s="46">
        <v>3.5E8</v>
      </c>
      <c r="H23" s="47">
        <f t="shared" si="2"/>
        <v>2800000000</v>
      </c>
      <c r="I23" s="44">
        <v>0.2</v>
      </c>
      <c r="J23" s="48">
        <v>2.0</v>
      </c>
      <c r="K23" s="48">
        <v>6.0</v>
      </c>
      <c r="L23" s="48"/>
      <c r="M23" s="49">
        <f t="shared" si="3"/>
        <v>20</v>
      </c>
      <c r="N23" s="10" t="s">
        <v>170</v>
      </c>
      <c r="O23" s="10"/>
      <c r="P23" s="48"/>
      <c r="Q23" s="8"/>
      <c r="R23" s="42">
        <f t="array" ref="R23">IF(D23="","",_xlfn.WORKDAY.INTL(MAX('Cấu hình'!$C$15,N(Q23),IF(N23="",0,IFERROR(_xlfn.WORKDAY.INTL(INDEX($S$6:S22,MATCH(N23,$B$6:B22,0)),1+P23,'Cấu hình'!$C$17,'Cấu hình'!$E$6:$E$35),0)),IF(O23="",0,IFERROR(_xlfn.WORKDAY.INTL(INDEX($S$6:S22,MATCH(O23,$B$6:B22,0)),1+P23,'Cấu hình'!$C$17,'Cấu hình'!$E$6:$E$35),0)))-1,1,'Cấu hình'!$C$17,'Cấu hình'!$E$6:$E$35))</f>
        <v>46510</v>
      </c>
      <c r="S23" s="42">
        <f>IF(D23="","",_xlfn.WORKDAY.INTL(R23,M23-1,'Cấu hình'!$C$17,'Cấu hình'!$E$6:$E$35))</f>
        <v>46535</v>
      </c>
      <c r="T23" s="42">
        <f t="shared" si="4"/>
        <v>46672</v>
      </c>
      <c r="U23" s="42">
        <f>IF(D23="","",_xlfn.WORKDAY.INTL(T23,-(M23-1),'Cấu hình'!$C$17,'Cấu hình'!$E$6:$E$35))</f>
        <v>46645</v>
      </c>
      <c r="V23" s="49">
        <f>IF(D23="","",_xlfn.NETWORKDAYS.INTL(S23,T23,'Cấu hình'!$C$17,'Cấu hình'!$E$6:$E$35)-1)</f>
        <v>97</v>
      </c>
      <c r="W23" s="67" t="str">
        <f t="shared" si="5"/>
        <v/>
      </c>
      <c r="X23" s="49">
        <f t="shared" si="6"/>
        <v>12</v>
      </c>
      <c r="Y23" s="47">
        <f t="shared" si="7"/>
        <v>240</v>
      </c>
      <c r="Z23" s="64" t="str">
        <f t="shared" si="8"/>
        <v/>
      </c>
      <c r="AA23" s="9"/>
      <c r="AC23" s="72">
        <f t="shared" si="9"/>
        <v>46510</v>
      </c>
      <c r="AD23" s="72">
        <f t="shared" si="10"/>
        <v>46535</v>
      </c>
      <c r="AE23" s="74">
        <f t="shared" si="11"/>
        <v>2800000000</v>
      </c>
      <c r="AF23" s="72">
        <f t="shared" si="12"/>
        <v>12</v>
      </c>
      <c r="AG23" s="72">
        <f>IF(D23="","",_xlfn.WORKDAY.INTL(U23,-(1+P23),'Cấu hình'!$C$17,'Cấu hình'!$E$6:$E$35))</f>
        <v>46644</v>
      </c>
      <c r="AH23" s="72" t="str">
        <f t="shared" si="13"/>
        <v/>
      </c>
    </row>
    <row r="24" ht="21.75" customHeight="1">
      <c r="A24" s="41">
        <f t="shared" si="1"/>
        <v>18</v>
      </c>
      <c r="B24" s="10" t="s">
        <v>211</v>
      </c>
      <c r="C24" s="9" t="s">
        <v>26</v>
      </c>
      <c r="D24" s="9" t="s">
        <v>212</v>
      </c>
      <c r="E24" s="10" t="s">
        <v>122</v>
      </c>
      <c r="F24" s="44">
        <v>12000.0</v>
      </c>
      <c r="G24" s="46">
        <v>85000.0</v>
      </c>
      <c r="H24" s="47">
        <f t="shared" si="2"/>
        <v>1020000000</v>
      </c>
      <c r="I24" s="44">
        <v>30.0</v>
      </c>
      <c r="J24" s="48">
        <v>8.0</v>
      </c>
      <c r="K24" s="48">
        <v>5.0</v>
      </c>
      <c r="L24" s="48"/>
      <c r="M24" s="49">
        <f t="shared" si="3"/>
        <v>50</v>
      </c>
      <c r="N24" s="10" t="s">
        <v>172</v>
      </c>
      <c r="O24" s="10"/>
      <c r="P24" s="48">
        <v>-10.0</v>
      </c>
      <c r="Q24" s="8"/>
      <c r="R24" s="42">
        <f t="array" ref="R24">IF(D24="","",_xlfn.WORKDAY.INTL(MAX('Cấu hình'!$C$15,N(Q24),IF(N24="",0,IFERROR(_xlfn.WORKDAY.INTL(INDEX($S$6:S23,MATCH(N24,$B$6:B23,0)),1+P24,'Cấu hình'!$C$17,'Cấu hình'!$E$6:$E$35),0)),IF(O24="",0,IFERROR(_xlfn.WORKDAY.INTL(INDEX($S$6:S23,MATCH(O24,$B$6:B23,0)),1+P24,'Cấu hình'!$C$17,'Cấu hình'!$E$6:$E$35),0)))-1,1,'Cấu hình'!$C$17,'Cấu hình'!$E$6:$E$35))</f>
        <v>46553</v>
      </c>
      <c r="S24" s="42">
        <f>IF(D24="","",_xlfn.WORKDAY.INTL(R24,M24-1,'Cấu hình'!$C$17,'Cấu hình'!$E$6:$E$35))</f>
        <v>46622</v>
      </c>
      <c r="T24" s="42">
        <f t="shared" si="4"/>
        <v>46622</v>
      </c>
      <c r="U24" s="42">
        <f>IF(D24="","",_xlfn.WORKDAY.INTL(T24,-(M24-1),'Cấu hình'!$C$17,'Cấu hình'!$E$6:$E$35))</f>
        <v>46553</v>
      </c>
      <c r="V24" s="49">
        <f>IF(D24="","",_xlfn.NETWORKDAYS.INTL(S24,T24,'Cấu hình'!$C$17,'Cấu hình'!$E$6:$E$35)-1)</f>
        <v>0</v>
      </c>
      <c r="W24" s="67" t="str">
        <f t="shared" si="5"/>
        <v>Găng</v>
      </c>
      <c r="X24" s="49">
        <f t="shared" si="6"/>
        <v>40</v>
      </c>
      <c r="Y24" s="47">
        <f t="shared" si="7"/>
        <v>2000</v>
      </c>
      <c r="Z24" s="64" t="str">
        <f t="shared" si="8"/>
        <v/>
      </c>
      <c r="AA24" s="9"/>
      <c r="AC24" s="72">
        <f t="shared" si="9"/>
        <v>46553</v>
      </c>
      <c r="AD24" s="72">
        <f t="shared" si="10"/>
        <v>46622</v>
      </c>
      <c r="AE24" s="74">
        <f t="shared" si="11"/>
        <v>1020000000</v>
      </c>
      <c r="AF24" s="72">
        <f t="shared" si="12"/>
        <v>40</v>
      </c>
      <c r="AG24" s="72">
        <f>IF(D24="","",_xlfn.WORKDAY.INTL(U24,-(1+P24),'Cấu hình'!$C$17,'Cấu hình'!$E$6:$E$35))</f>
        <v>46566</v>
      </c>
      <c r="AH24" s="72">
        <f t="shared" si="13"/>
        <v>12</v>
      </c>
    </row>
    <row r="25" ht="21.75" customHeight="1">
      <c r="A25" s="41">
        <f t="shared" si="1"/>
        <v>19</v>
      </c>
      <c r="B25" s="10" t="s">
        <v>201</v>
      </c>
      <c r="C25" s="9" t="s">
        <v>30</v>
      </c>
      <c r="D25" s="9" t="s">
        <v>216</v>
      </c>
      <c r="E25" s="10" t="s">
        <v>122</v>
      </c>
      <c r="F25" s="44">
        <v>9000.0</v>
      </c>
      <c r="G25" s="46">
        <v>210000.0</v>
      </c>
      <c r="H25" s="47">
        <f t="shared" si="2"/>
        <v>1890000000</v>
      </c>
      <c r="I25" s="44">
        <v>25.0</v>
      </c>
      <c r="J25" s="48">
        <v>6.0</v>
      </c>
      <c r="K25" s="48">
        <v>4.0</v>
      </c>
      <c r="L25" s="48"/>
      <c r="M25" s="49">
        <f t="shared" si="3"/>
        <v>60</v>
      </c>
      <c r="N25" s="10" t="s">
        <v>211</v>
      </c>
      <c r="O25" s="10" t="s">
        <v>202</v>
      </c>
      <c r="P25" s="48">
        <v>-20.0</v>
      </c>
      <c r="Q25" s="8"/>
      <c r="R25" s="42">
        <f t="array" ref="R25">IF(D25="","",_xlfn.WORKDAY.INTL(MAX('Cấu hình'!$C$15,N(Q25),IF(N25="",0,IFERROR(_xlfn.WORKDAY.INTL(INDEX($S$6:S24,MATCH(N25,$B$6:B24,0)),1+P25,'Cấu hình'!$C$17,'Cấu hình'!$E$6:$E$35),0)),IF(O25="",0,IFERROR(_xlfn.WORKDAY.INTL(INDEX($S$6:S24,MATCH(O25,$B$6:B24,0)),1+P25,'Cấu hình'!$C$17,'Cấu hình'!$E$6:$E$35),0)))-1,1,'Cấu hình'!$C$17,'Cấu hình'!$E$6:$E$35))</f>
        <v>46595</v>
      </c>
      <c r="S25" s="42">
        <f>IF(D25="","",_xlfn.WORKDAY.INTL(R25,M25-1,'Cấu hình'!$C$17,'Cấu hình'!$E$6:$E$35))</f>
        <v>46678</v>
      </c>
      <c r="T25" s="42">
        <f t="shared" si="4"/>
        <v>46728</v>
      </c>
      <c r="U25" s="42">
        <f>IF(D25="","",_xlfn.WORKDAY.INTL(T25,-(M25-1),'Cấu hình'!$C$17,'Cấu hình'!$E$6:$E$35))</f>
        <v>46645</v>
      </c>
      <c r="V25" s="49">
        <f>IF(D25="","",_xlfn.NETWORKDAYS.INTL(S25,T25,'Cấu hình'!$C$17,'Cấu hình'!$E$6:$E$35)-1)</f>
        <v>36</v>
      </c>
      <c r="W25" s="67" t="str">
        <f t="shared" si="5"/>
        <v/>
      </c>
      <c r="X25" s="49">
        <f t="shared" si="6"/>
        <v>24</v>
      </c>
      <c r="Y25" s="47">
        <f t="shared" si="7"/>
        <v>1440</v>
      </c>
      <c r="Z25" s="64" t="str">
        <f t="shared" si="8"/>
        <v/>
      </c>
      <c r="AA25" s="9"/>
      <c r="AC25" s="72">
        <f t="shared" si="9"/>
        <v>46595</v>
      </c>
      <c r="AD25" s="72">
        <f t="shared" si="10"/>
        <v>46678</v>
      </c>
      <c r="AE25" s="74">
        <f t="shared" si="11"/>
        <v>1890000000</v>
      </c>
      <c r="AF25" s="72">
        <f t="shared" si="12"/>
        <v>24</v>
      </c>
      <c r="AG25" s="72">
        <f>IF(D25="","",_xlfn.WORKDAY.INTL(U25,-(1+P25),'Cấu hình'!$C$17,'Cấu hình'!$E$6:$E$35))</f>
        <v>46672</v>
      </c>
      <c r="AH25" s="72" t="str">
        <f t="shared" si="13"/>
        <v/>
      </c>
    </row>
    <row r="26" ht="21.75" customHeight="1">
      <c r="A26" s="41">
        <f t="shared" si="1"/>
        <v>20</v>
      </c>
      <c r="B26" s="10" t="s">
        <v>206</v>
      </c>
      <c r="C26" s="9" t="s">
        <v>30</v>
      </c>
      <c r="D26" s="9" t="s">
        <v>217</v>
      </c>
      <c r="E26" s="10" t="s">
        <v>122</v>
      </c>
      <c r="F26" s="44">
        <v>20000.0</v>
      </c>
      <c r="G26" s="46">
        <v>60000.0</v>
      </c>
      <c r="H26" s="47">
        <f t="shared" si="2"/>
        <v>1200000000</v>
      </c>
      <c r="I26" s="44">
        <v>80.0</v>
      </c>
      <c r="J26" s="48">
        <v>5.0</v>
      </c>
      <c r="K26" s="48">
        <v>4.0</v>
      </c>
      <c r="L26" s="48"/>
      <c r="M26" s="49">
        <f t="shared" si="3"/>
        <v>50</v>
      </c>
      <c r="N26" s="10" t="s">
        <v>211</v>
      </c>
      <c r="O26" s="10" t="s">
        <v>174</v>
      </c>
      <c r="P26" s="48">
        <v>5.0</v>
      </c>
      <c r="Q26" s="8"/>
      <c r="R26" s="42">
        <f t="array" ref="R26">IF(D26="","",_xlfn.WORKDAY.INTL(MAX('Cấu hình'!$C$15,N(Q26),IF(N26="",0,IFERROR(_xlfn.WORKDAY.INTL(INDEX($S$6:S25,MATCH(N26,$B$6:B25,0)),1+P26,'Cấu hình'!$C$17,'Cấu hình'!$E$6:$E$35),0)),IF(O26="",0,IFERROR(_xlfn.WORKDAY.INTL(INDEX($S$6:S25,MATCH(O26,$B$6:B25,0)),1+P26,'Cấu hình'!$C$17,'Cấu hình'!$E$6:$E$35),0)))-1,1,'Cấu hình'!$C$17,'Cấu hình'!$E$6:$E$35))</f>
        <v>46630</v>
      </c>
      <c r="S26" s="42">
        <f>IF(D26="","",_xlfn.WORKDAY.INTL(R26,M26-1,'Cấu hình'!$C$17,'Cấu hình'!$E$6:$E$35))</f>
        <v>46699</v>
      </c>
      <c r="T26" s="42">
        <f t="shared" si="4"/>
        <v>46699</v>
      </c>
      <c r="U26" s="42">
        <f>IF(D26="","",_xlfn.WORKDAY.INTL(T26,-(M26-1),'Cấu hình'!$C$17,'Cấu hình'!$E$6:$E$35))</f>
        <v>46630</v>
      </c>
      <c r="V26" s="49">
        <f>IF(D26="","",_xlfn.NETWORKDAYS.INTL(S26,T26,'Cấu hình'!$C$17,'Cấu hình'!$E$6:$E$35)-1)</f>
        <v>0</v>
      </c>
      <c r="W26" s="67" t="str">
        <f t="shared" si="5"/>
        <v>Găng</v>
      </c>
      <c r="X26" s="49">
        <f t="shared" si="6"/>
        <v>20</v>
      </c>
      <c r="Y26" s="47">
        <f t="shared" si="7"/>
        <v>1000</v>
      </c>
      <c r="Z26" s="64" t="str">
        <f t="shared" si="8"/>
        <v/>
      </c>
      <c r="AA26" s="9"/>
      <c r="AC26" s="72">
        <f t="shared" si="9"/>
        <v>46630</v>
      </c>
      <c r="AD26" s="72">
        <f t="shared" si="10"/>
        <v>46699</v>
      </c>
      <c r="AE26" s="74">
        <f t="shared" si="11"/>
        <v>1200000000</v>
      </c>
      <c r="AF26" s="72">
        <f t="shared" si="12"/>
        <v>20</v>
      </c>
      <c r="AG26" s="72">
        <f>IF(D26="","",_xlfn.WORKDAY.INTL(U26,-(1+P26),'Cấu hình'!$C$17,'Cấu hình'!$E$6:$E$35))</f>
        <v>46622</v>
      </c>
      <c r="AH26" s="72">
        <f t="shared" si="13"/>
        <v>13</v>
      </c>
    </row>
    <row r="27" ht="21.75" customHeight="1">
      <c r="A27" s="41">
        <f t="shared" si="1"/>
        <v>21</v>
      </c>
      <c r="B27" s="10" t="s">
        <v>208</v>
      </c>
      <c r="C27" s="9" t="s">
        <v>30</v>
      </c>
      <c r="D27" s="9" t="s">
        <v>218</v>
      </c>
      <c r="E27" s="10" t="s">
        <v>195</v>
      </c>
      <c r="F27" s="44">
        <v>420.0</v>
      </c>
      <c r="G27" s="46">
        <v>3200000.0</v>
      </c>
      <c r="H27" s="47">
        <f t="shared" si="2"/>
        <v>1344000000</v>
      </c>
      <c r="I27" s="44">
        <v>5.0</v>
      </c>
      <c r="J27" s="48">
        <v>4.0</v>
      </c>
      <c r="K27" s="48">
        <v>4.0</v>
      </c>
      <c r="L27" s="48"/>
      <c r="M27" s="49">
        <f t="shared" si="3"/>
        <v>21</v>
      </c>
      <c r="N27" s="10" t="s">
        <v>211</v>
      </c>
      <c r="O27" s="10"/>
      <c r="P27" s="48">
        <v>20.0</v>
      </c>
      <c r="Q27" s="8"/>
      <c r="R27" s="42">
        <f t="array" ref="R27">IF(D27="","",_xlfn.WORKDAY.INTL(MAX('Cấu hình'!$C$15,N(Q27),IF(N27="",0,IFERROR(_xlfn.WORKDAY.INTL(INDEX($S$6:S26,MATCH(N27,$B$6:B26,0)),1+P27,'Cấu hình'!$C$17,'Cấu hình'!$E$6:$E$35),0)),IF(O27="",0,IFERROR(_xlfn.WORKDAY.INTL(INDEX($S$6:S26,MATCH(O27,$B$6:B26,0)),1+P27,'Cấu hình'!$C$17,'Cấu hình'!$E$6:$E$35),0)))-1,1,'Cấu hình'!$C$17,'Cấu hình'!$E$6:$E$35))</f>
        <v>46651</v>
      </c>
      <c r="S27" s="42">
        <f>IF(D27="","",_xlfn.WORKDAY.INTL(R27,M27-1,'Cấu hình'!$C$17,'Cấu hình'!$E$6:$E$35))</f>
        <v>46679</v>
      </c>
      <c r="T27" s="42">
        <f t="shared" si="4"/>
        <v>46679</v>
      </c>
      <c r="U27" s="42">
        <f>IF(D27="","",_xlfn.WORKDAY.INTL(T27,-(M27-1),'Cấu hình'!$C$17,'Cấu hình'!$E$6:$E$35))</f>
        <v>46651</v>
      </c>
      <c r="V27" s="49">
        <f>IF(D27="","",_xlfn.NETWORKDAYS.INTL(S27,T27,'Cấu hình'!$C$17,'Cấu hình'!$E$6:$E$35)-1)</f>
        <v>0</v>
      </c>
      <c r="W27" s="67" t="str">
        <f t="shared" si="5"/>
        <v>Găng</v>
      </c>
      <c r="X27" s="49">
        <f t="shared" si="6"/>
        <v>16</v>
      </c>
      <c r="Y27" s="47">
        <f t="shared" si="7"/>
        <v>336</v>
      </c>
      <c r="Z27" s="64" t="str">
        <f t="shared" si="8"/>
        <v/>
      </c>
      <c r="AA27" s="9"/>
      <c r="AC27" s="72">
        <f t="shared" si="9"/>
        <v>46651</v>
      </c>
      <c r="AD27" s="72">
        <f t="shared" si="10"/>
        <v>46679</v>
      </c>
      <c r="AE27" s="74">
        <f t="shared" si="11"/>
        <v>1344000000</v>
      </c>
      <c r="AF27" s="72">
        <f t="shared" si="12"/>
        <v>16</v>
      </c>
      <c r="AG27" s="72">
        <f>IF(D27="","",_xlfn.WORKDAY.INTL(U27,-(1+P27),'Cấu hình'!$C$17,'Cấu hình'!$E$6:$E$35))</f>
        <v>46622</v>
      </c>
      <c r="AH27" s="72">
        <f t="shared" si="13"/>
        <v>14</v>
      </c>
    </row>
    <row r="28" ht="21.75" customHeight="1">
      <c r="A28" s="41">
        <f t="shared" si="1"/>
        <v>22</v>
      </c>
      <c r="B28" s="10" t="s">
        <v>214</v>
      </c>
      <c r="C28" s="9" t="s">
        <v>30</v>
      </c>
      <c r="D28" s="9" t="s">
        <v>219</v>
      </c>
      <c r="E28" s="10" t="s">
        <v>195</v>
      </c>
      <c r="F28" s="44">
        <v>2.0</v>
      </c>
      <c r="G28" s="46">
        <v>1.1E9</v>
      </c>
      <c r="H28" s="47">
        <f t="shared" si="2"/>
        <v>2200000000</v>
      </c>
      <c r="I28" s="44"/>
      <c r="J28" s="48">
        <v>1.0</v>
      </c>
      <c r="K28" s="48">
        <v>8.0</v>
      </c>
      <c r="L28" s="48">
        <v>45.0</v>
      </c>
      <c r="M28" s="49">
        <f t="shared" si="3"/>
        <v>45</v>
      </c>
      <c r="N28" s="10" t="s">
        <v>168</v>
      </c>
      <c r="O28" s="10"/>
      <c r="P28" s="48">
        <v>20.0</v>
      </c>
      <c r="Q28" s="8"/>
      <c r="R28" s="42">
        <f t="array" ref="R28">IF(D28="","",_xlfn.WORKDAY.INTL(MAX('Cấu hình'!$C$15,N(Q28),IF(N28="",0,IFERROR(_xlfn.WORKDAY.INTL(INDEX($S$6:S27,MATCH(N28,$B$6:B27,0)),1+P28,'Cấu hình'!$C$17,'Cấu hình'!$E$6:$E$35),0)),IF(O28="",0,IFERROR(_xlfn.WORKDAY.INTL(INDEX($S$6:S27,MATCH(O28,$B$6:B27,0)),1+P28,'Cấu hình'!$C$17,'Cấu hình'!$E$6:$E$35),0)))-1,1,'Cấu hình'!$C$17,'Cấu hình'!$E$6:$E$35))</f>
        <v>46528</v>
      </c>
      <c r="S28" s="42">
        <f>IF(D28="","",_xlfn.WORKDAY.INTL(R28,M28-1,'Cấu hình'!$C$17,'Cấu hình'!$E$6:$E$35))</f>
        <v>46590</v>
      </c>
      <c r="T28" s="42">
        <f t="shared" si="4"/>
        <v>46717</v>
      </c>
      <c r="U28" s="42">
        <f>IF(D28="","",_xlfn.WORKDAY.INTL(T28,-(M28-1),'Cấu hình'!$C$17,'Cấu hình'!$E$6:$E$35))</f>
        <v>46657</v>
      </c>
      <c r="V28" s="49">
        <f>IF(D28="","",_xlfn.NETWORKDAYS.INTL(S28,T28,'Cấu hình'!$C$17,'Cấu hình'!$E$6:$E$35)-1)</f>
        <v>91</v>
      </c>
      <c r="W28" s="67" t="str">
        <f t="shared" si="5"/>
        <v/>
      </c>
      <c r="X28" s="49">
        <f t="shared" si="6"/>
        <v>8</v>
      </c>
      <c r="Y28" s="47">
        <f t="shared" si="7"/>
        <v>360</v>
      </c>
      <c r="Z28" s="64" t="str">
        <f t="shared" si="8"/>
        <v/>
      </c>
      <c r="AA28" s="9"/>
      <c r="AC28" s="72">
        <f t="shared" si="9"/>
        <v>46528</v>
      </c>
      <c r="AD28" s="72">
        <f t="shared" si="10"/>
        <v>46590</v>
      </c>
      <c r="AE28" s="74">
        <f t="shared" si="11"/>
        <v>2200000000</v>
      </c>
      <c r="AF28" s="72">
        <f t="shared" si="12"/>
        <v>8</v>
      </c>
      <c r="AG28" s="72">
        <f>IF(D28="","",_xlfn.WORKDAY.INTL(U28,-(1+P28),'Cấu hình'!$C$17,'Cấu hình'!$E$6:$E$35))</f>
        <v>46626</v>
      </c>
      <c r="AH28" s="72" t="str">
        <f t="shared" si="13"/>
        <v/>
      </c>
    </row>
    <row r="29" ht="21.75" customHeight="1">
      <c r="A29" s="41">
        <f t="shared" si="1"/>
        <v>23</v>
      </c>
      <c r="B29" s="10" t="s">
        <v>210</v>
      </c>
      <c r="C29" s="9" t="s">
        <v>30</v>
      </c>
      <c r="D29" s="9" t="s">
        <v>220</v>
      </c>
      <c r="E29" s="10" t="s">
        <v>176</v>
      </c>
      <c r="F29" s="44">
        <v>8.0</v>
      </c>
      <c r="G29" s="46">
        <v>3.0E8</v>
      </c>
      <c r="H29" s="47">
        <f t="shared" si="2"/>
        <v>2400000000</v>
      </c>
      <c r="I29" s="44">
        <v>0.3</v>
      </c>
      <c r="J29" s="48">
        <v>2.0</v>
      </c>
      <c r="K29" s="48">
        <v>5.0</v>
      </c>
      <c r="L29" s="48"/>
      <c r="M29" s="49">
        <f t="shared" si="3"/>
        <v>14</v>
      </c>
      <c r="N29" s="10" t="s">
        <v>206</v>
      </c>
      <c r="O29" s="10"/>
      <c r="P29" s="48">
        <v>-10.0</v>
      </c>
      <c r="Q29" s="8"/>
      <c r="R29" s="42">
        <f t="array" ref="R29">IF(D29="","",_xlfn.WORKDAY.INTL(MAX('Cấu hình'!$C$15,N(Q29),IF(N29="",0,IFERROR(_xlfn.WORKDAY.INTL(INDEX($S$6:S28,MATCH(N29,$B$6:B28,0)),1+P29,'Cấu hình'!$C$17,'Cấu hình'!$E$6:$E$35),0)),IF(O29="",0,IFERROR(_xlfn.WORKDAY.INTL(INDEX($S$6:S28,MATCH(O29,$B$6:B28,0)),1+P29,'Cấu hình'!$C$17,'Cấu hình'!$E$6:$E$35),0)))-1,1,'Cấu hình'!$C$17,'Cấu hình'!$E$6:$E$35))</f>
        <v>46686</v>
      </c>
      <c r="S29" s="42">
        <f>IF(D29="","",_xlfn.WORKDAY.INTL(R29,M29-1,'Cấu hình'!$C$17,'Cấu hình'!$E$6:$E$35))</f>
        <v>46703</v>
      </c>
      <c r="T29" s="42">
        <f t="shared" si="4"/>
        <v>46703</v>
      </c>
      <c r="U29" s="42">
        <f>IF(D29="","",_xlfn.WORKDAY.INTL(T29,-(M29-1),'Cấu hình'!$C$17,'Cấu hình'!$E$6:$E$35))</f>
        <v>46686</v>
      </c>
      <c r="V29" s="49">
        <f>IF(D29="","",_xlfn.NETWORKDAYS.INTL(S29,T29,'Cấu hình'!$C$17,'Cấu hình'!$E$6:$E$35)-1)</f>
        <v>0</v>
      </c>
      <c r="W29" s="67" t="str">
        <f t="shared" si="5"/>
        <v>Găng</v>
      </c>
      <c r="X29" s="49">
        <f t="shared" si="6"/>
        <v>10</v>
      </c>
      <c r="Y29" s="47">
        <f t="shared" si="7"/>
        <v>140</v>
      </c>
      <c r="Z29" s="64" t="str">
        <f t="shared" si="8"/>
        <v/>
      </c>
      <c r="AA29" s="9"/>
      <c r="AC29" s="72">
        <f t="shared" si="9"/>
        <v>46686</v>
      </c>
      <c r="AD29" s="72">
        <f t="shared" si="10"/>
        <v>46703</v>
      </c>
      <c r="AE29" s="74">
        <f t="shared" si="11"/>
        <v>2400000000</v>
      </c>
      <c r="AF29" s="72">
        <f t="shared" si="12"/>
        <v>10</v>
      </c>
      <c r="AG29" s="72">
        <f>IF(D29="","",_xlfn.WORKDAY.INTL(U29,-(1+P29),'Cấu hình'!$C$17,'Cấu hình'!$E$6:$E$35))</f>
        <v>46699</v>
      </c>
      <c r="AH29" s="72">
        <f t="shared" si="13"/>
        <v>15</v>
      </c>
    </row>
    <row r="30" ht="21.75" customHeight="1">
      <c r="A30" s="41">
        <f t="shared" si="1"/>
        <v>24</v>
      </c>
      <c r="B30" s="10" t="s">
        <v>221</v>
      </c>
      <c r="C30" s="9" t="s">
        <v>34</v>
      </c>
      <c r="D30" s="9" t="s">
        <v>222</v>
      </c>
      <c r="E30" s="10" t="s">
        <v>122</v>
      </c>
      <c r="F30" s="44">
        <v>3500.0</v>
      </c>
      <c r="G30" s="46">
        <v>600000.0</v>
      </c>
      <c r="H30" s="47">
        <f t="shared" si="2"/>
        <v>2100000000</v>
      </c>
      <c r="I30" s="44">
        <v>100.0</v>
      </c>
      <c r="J30" s="48">
        <v>2.0</v>
      </c>
      <c r="K30" s="48">
        <v>8.0</v>
      </c>
      <c r="L30" s="48"/>
      <c r="M30" s="49">
        <f t="shared" si="3"/>
        <v>18</v>
      </c>
      <c r="N30" s="10" t="s">
        <v>208</v>
      </c>
      <c r="O30" s="10"/>
      <c r="P30" s="48"/>
      <c r="Q30" s="8"/>
      <c r="R30" s="42">
        <f t="array" ref="R30">IF(D30="","",_xlfn.WORKDAY.INTL(MAX('Cấu hình'!$C$15,N(Q30),IF(N30="",0,IFERROR(_xlfn.WORKDAY.INTL(INDEX($S$6:S29,MATCH(N30,$B$6:B29,0)),1+P30,'Cấu hình'!$C$17,'Cấu hình'!$E$6:$E$35),0)),IF(O30="",0,IFERROR(_xlfn.WORKDAY.INTL(INDEX($S$6:S29,MATCH(O30,$B$6:B29,0)),1+P30,'Cấu hình'!$C$17,'Cấu hình'!$E$6:$E$35),0)))-1,1,'Cấu hình'!$C$17,'Cấu hình'!$E$6:$E$35))</f>
        <v>46680</v>
      </c>
      <c r="S30" s="42">
        <f>IF(D30="","",_xlfn.WORKDAY.INTL(R30,M30-1,'Cấu hình'!$C$17,'Cấu hình'!$E$6:$E$35))</f>
        <v>46703</v>
      </c>
      <c r="T30" s="42">
        <f t="shared" si="4"/>
        <v>46703</v>
      </c>
      <c r="U30" s="42">
        <f>IF(D30="","",_xlfn.WORKDAY.INTL(T30,-(M30-1),'Cấu hình'!$C$17,'Cấu hình'!$E$6:$E$35))</f>
        <v>46680</v>
      </c>
      <c r="V30" s="49">
        <f>IF(D30="","",_xlfn.NETWORKDAYS.INTL(S30,T30,'Cấu hình'!$C$17,'Cấu hình'!$E$6:$E$35)-1)</f>
        <v>0</v>
      </c>
      <c r="W30" s="67" t="str">
        <f t="shared" si="5"/>
        <v>Găng</v>
      </c>
      <c r="X30" s="49">
        <f t="shared" si="6"/>
        <v>16</v>
      </c>
      <c r="Y30" s="47">
        <f t="shared" si="7"/>
        <v>288</v>
      </c>
      <c r="Z30" s="64" t="str">
        <f t="shared" si="8"/>
        <v/>
      </c>
      <c r="AA30" s="9"/>
      <c r="AC30" s="72">
        <f t="shared" si="9"/>
        <v>46680</v>
      </c>
      <c r="AD30" s="72">
        <f t="shared" si="10"/>
        <v>46703</v>
      </c>
      <c r="AE30" s="74">
        <f t="shared" si="11"/>
        <v>2100000000</v>
      </c>
      <c r="AF30" s="72">
        <f t="shared" si="12"/>
        <v>16</v>
      </c>
      <c r="AG30" s="72">
        <f>IF(D30="","",_xlfn.WORKDAY.INTL(U30,-(1+P30),'Cấu hình'!$C$17,'Cấu hình'!$E$6:$E$35))</f>
        <v>46679</v>
      </c>
      <c r="AH30" s="72">
        <f t="shared" si="13"/>
        <v>16</v>
      </c>
    </row>
    <row r="31" ht="21.75" customHeight="1">
      <c r="A31" s="41">
        <f t="shared" si="1"/>
        <v>25</v>
      </c>
      <c r="B31" s="10" t="s">
        <v>223</v>
      </c>
      <c r="C31" s="9" t="s">
        <v>34</v>
      </c>
      <c r="D31" s="9" t="s">
        <v>224</v>
      </c>
      <c r="E31" s="10" t="s">
        <v>122</v>
      </c>
      <c r="F31" s="44">
        <v>12000.0</v>
      </c>
      <c r="G31" s="46">
        <v>15000.0</v>
      </c>
      <c r="H31" s="47">
        <f t="shared" si="2"/>
        <v>180000000</v>
      </c>
      <c r="I31" s="44">
        <v>600.0</v>
      </c>
      <c r="J31" s="48">
        <v>2.0</v>
      </c>
      <c r="K31" s="48">
        <v>10.0</v>
      </c>
      <c r="L31" s="48"/>
      <c r="M31" s="49">
        <f t="shared" si="3"/>
        <v>10</v>
      </c>
      <c r="N31" s="10" t="s">
        <v>210</v>
      </c>
      <c r="O31" s="10" t="s">
        <v>221</v>
      </c>
      <c r="P31" s="48"/>
      <c r="Q31" s="8"/>
      <c r="R31" s="42">
        <f t="array" ref="R31">IF(D31="","",_xlfn.WORKDAY.INTL(MAX('Cấu hình'!$C$15,N(Q31),IF(N31="",0,IFERROR(_xlfn.WORKDAY.INTL(INDEX($S$6:S30,MATCH(N31,$B$6:B30,0)),1+P31,'Cấu hình'!$C$17,'Cấu hình'!$E$6:$E$35),0)),IF(O31="",0,IFERROR(_xlfn.WORKDAY.INTL(INDEX($S$6:S30,MATCH(O31,$B$6:B30,0)),1+P31,'Cấu hình'!$C$17,'Cấu hình'!$E$6:$E$35),0)))-1,1,'Cấu hình'!$C$17,'Cấu hình'!$E$6:$E$35))</f>
        <v>46706</v>
      </c>
      <c r="S31" s="42">
        <f>IF(D31="","",_xlfn.WORKDAY.INTL(R31,M31-1,'Cấu hình'!$C$17,'Cấu hình'!$E$6:$E$35))</f>
        <v>46717</v>
      </c>
      <c r="T31" s="42">
        <f t="shared" si="4"/>
        <v>46717</v>
      </c>
      <c r="U31" s="42">
        <f>IF(D31="","",_xlfn.WORKDAY.INTL(T31,-(M31-1),'Cấu hình'!$C$17,'Cấu hình'!$E$6:$E$35))</f>
        <v>46706</v>
      </c>
      <c r="V31" s="49">
        <f>IF(D31="","",_xlfn.NETWORKDAYS.INTL(S31,T31,'Cấu hình'!$C$17,'Cấu hình'!$E$6:$E$35)-1)</f>
        <v>0</v>
      </c>
      <c r="W31" s="67" t="str">
        <f t="shared" si="5"/>
        <v>Găng</v>
      </c>
      <c r="X31" s="49">
        <f t="shared" si="6"/>
        <v>20</v>
      </c>
      <c r="Y31" s="47">
        <f t="shared" si="7"/>
        <v>200</v>
      </c>
      <c r="Z31" s="64" t="str">
        <f t="shared" si="8"/>
        <v/>
      </c>
      <c r="AA31" s="9"/>
      <c r="AC31" s="72">
        <f t="shared" si="9"/>
        <v>46706</v>
      </c>
      <c r="AD31" s="72">
        <f t="shared" si="10"/>
        <v>46717</v>
      </c>
      <c r="AE31" s="74">
        <f t="shared" si="11"/>
        <v>180000000</v>
      </c>
      <c r="AF31" s="72">
        <f t="shared" si="12"/>
        <v>20</v>
      </c>
      <c r="AG31" s="72">
        <f>IF(D31="","",_xlfn.WORKDAY.INTL(U31,-(1+P31),'Cấu hình'!$C$17,'Cấu hình'!$E$6:$E$35))</f>
        <v>46703</v>
      </c>
      <c r="AH31" s="72">
        <f t="shared" si="13"/>
        <v>17</v>
      </c>
    </row>
    <row r="32" ht="21.75" customHeight="1">
      <c r="A32" s="41">
        <f t="shared" si="1"/>
        <v>26</v>
      </c>
      <c r="B32" s="10" t="s">
        <v>225</v>
      </c>
      <c r="C32" s="9" t="s">
        <v>34</v>
      </c>
      <c r="D32" s="9" t="s">
        <v>226</v>
      </c>
      <c r="E32" s="10" t="s">
        <v>142</v>
      </c>
      <c r="F32" s="44">
        <v>1.0</v>
      </c>
      <c r="G32" s="46">
        <v>0.0</v>
      </c>
      <c r="H32" s="47">
        <f t="shared" si="2"/>
        <v>0</v>
      </c>
      <c r="I32" s="44"/>
      <c r="J32" s="48">
        <v>1.0</v>
      </c>
      <c r="K32" s="48">
        <v>6.0</v>
      </c>
      <c r="L32" s="48">
        <v>7.0</v>
      </c>
      <c r="M32" s="49">
        <f t="shared" si="3"/>
        <v>7</v>
      </c>
      <c r="N32" s="10" t="s">
        <v>223</v>
      </c>
      <c r="O32" s="10" t="s">
        <v>214</v>
      </c>
      <c r="P32" s="48"/>
      <c r="Q32" s="8"/>
      <c r="R32" s="42">
        <f t="array" ref="R32">IF(D32="","",_xlfn.WORKDAY.INTL(MAX('Cấu hình'!$C$15,N(Q32),IF(N32="",0,IFERROR(_xlfn.WORKDAY.INTL(INDEX($S$6:S31,MATCH(N32,$B$6:B31,0)),1+P32,'Cấu hình'!$C$17,'Cấu hình'!$E$6:$E$35),0)),IF(O32="",0,IFERROR(_xlfn.WORKDAY.INTL(INDEX($S$6:S31,MATCH(O32,$B$6:B31,0)),1+P32,'Cấu hình'!$C$17,'Cấu hình'!$E$6:$E$35),0)))-1,1,'Cấu hình'!$C$17,'Cấu hình'!$E$6:$E$35))</f>
        <v>46720</v>
      </c>
      <c r="S32" s="42">
        <f>IF(D32="","",_xlfn.WORKDAY.INTL(R32,M32-1,'Cấu hình'!$C$17,'Cấu hình'!$E$6:$E$35))</f>
        <v>46728</v>
      </c>
      <c r="T32" s="42">
        <f t="shared" si="4"/>
        <v>46728</v>
      </c>
      <c r="U32" s="42">
        <f>IF(D32="","",_xlfn.WORKDAY.INTL(T32,-(M32-1),'Cấu hình'!$C$17,'Cấu hình'!$E$6:$E$35))</f>
        <v>46720</v>
      </c>
      <c r="V32" s="49">
        <f>IF(D32="","",_xlfn.NETWORKDAYS.INTL(S32,T32,'Cấu hình'!$C$17,'Cấu hình'!$E$6:$E$35)-1)</f>
        <v>0</v>
      </c>
      <c r="W32" s="67" t="str">
        <f t="shared" si="5"/>
        <v>Găng</v>
      </c>
      <c r="X32" s="49">
        <f t="shared" si="6"/>
        <v>6</v>
      </c>
      <c r="Y32" s="47">
        <f t="shared" si="7"/>
        <v>42</v>
      </c>
      <c r="Z32" s="64" t="str">
        <f t="shared" si="8"/>
        <v/>
      </c>
      <c r="AA32" s="9"/>
      <c r="AC32" s="72">
        <f t="shared" si="9"/>
        <v>46720</v>
      </c>
      <c r="AD32" s="72">
        <f t="shared" si="10"/>
        <v>46728</v>
      </c>
      <c r="AE32" s="74">
        <f t="shared" si="11"/>
        <v>0</v>
      </c>
      <c r="AF32" s="72">
        <f t="shared" si="12"/>
        <v>6</v>
      </c>
      <c r="AG32" s="72">
        <f>IF(D32="","",_xlfn.WORKDAY.INTL(U32,-(1+P32),'Cấu hình'!$C$17,'Cấu hình'!$E$6:$E$35))</f>
        <v>46717</v>
      </c>
      <c r="AH32" s="72">
        <f t="shared" si="13"/>
        <v>18</v>
      </c>
    </row>
    <row r="33" ht="21.75" customHeight="1">
      <c r="A33" s="41" t="str">
        <f t="shared" si="1"/>
        <v/>
      </c>
      <c r="B33" s="10"/>
      <c r="C33" s="9"/>
      <c r="D33" s="9"/>
      <c r="E33" s="10"/>
      <c r="F33" s="44"/>
      <c r="G33" s="46"/>
      <c r="H33" s="47" t="str">
        <f t="shared" si="2"/>
        <v/>
      </c>
      <c r="I33" s="44"/>
      <c r="J33" s="48"/>
      <c r="K33" s="48"/>
      <c r="L33" s="48"/>
      <c r="M33" s="49" t="str">
        <f t="shared" si="3"/>
        <v/>
      </c>
      <c r="N33" s="10"/>
      <c r="O33" s="10"/>
      <c r="P33" s="48"/>
      <c r="Q33" s="8"/>
      <c r="R33" s="42" t="str">
        <f t="array" ref="R33">IF(D33="","",_xlfn.WORKDAY.INTL(MAX('Cấu hình'!$C$15,N(Q33),IF(N33="",0,IFERROR(_xlfn.WORKDAY.INTL(INDEX($S$6:S32,MATCH(N33,$B$6:B32,0)),1+P33,'Cấu hình'!$C$17,'Cấu hình'!$E$6:$E$35),0)),IF(O33="",0,IFERROR(_xlfn.WORKDAY.INTL(INDEX($S$6:S32,MATCH(O33,$B$6:B32,0)),1+P33,'Cấu hình'!$C$17,'Cấu hình'!$E$6:$E$35),0)))-1,1,'Cấu hình'!$C$17,'Cấu hình'!$E$6:$E$35))</f>
        <v/>
      </c>
      <c r="S33" s="42" t="str">
        <f>IF(D33="","",_xlfn.WORKDAY.INTL(R33,M33-1,'Cấu hình'!$C$17,'Cấu hình'!$E$6:$E$35))</f>
        <v/>
      </c>
      <c r="T33" s="42" t="str">
        <f t="shared" si="4"/>
        <v/>
      </c>
      <c r="U33" s="42" t="str">
        <f>IF(D33="","",_xlfn.WORKDAY.INTL(T33,-(M33-1),'Cấu hình'!$C$17,'Cấu hình'!$E$6:$E$35))</f>
        <v/>
      </c>
      <c r="V33" s="49" t="str">
        <f>IF(D33="","",_xlfn.NETWORKDAYS.INTL(S33,T33,'Cấu hình'!$C$17,'Cấu hình'!$E$6:$E$35)-1)</f>
        <v/>
      </c>
      <c r="W33" s="67" t="str">
        <f t="shared" si="5"/>
        <v/>
      </c>
      <c r="X33" s="49" t="str">
        <f t="shared" si="6"/>
        <v/>
      </c>
      <c r="Y33" s="47" t="str">
        <f t="shared" si="7"/>
        <v/>
      </c>
      <c r="Z33" s="64" t="str">
        <f t="shared" si="8"/>
        <v/>
      </c>
      <c r="AA33" s="9"/>
      <c r="AC33" s="72">
        <f t="shared" si="9"/>
        <v>0</v>
      </c>
      <c r="AD33" s="72">
        <f t="shared" si="10"/>
        <v>0</v>
      </c>
      <c r="AE33" s="74">
        <f t="shared" si="11"/>
        <v>0</v>
      </c>
      <c r="AF33" s="72">
        <f t="shared" si="12"/>
        <v>0</v>
      </c>
      <c r="AG33" s="72" t="str">
        <f>IF(D33="","",_xlfn.WORKDAY.INTL(U33,-(1+P33),'Cấu hình'!$C$17,'Cấu hình'!$E$6:$E$35))</f>
        <v/>
      </c>
      <c r="AH33" s="72" t="str">
        <f t="shared" si="13"/>
        <v/>
      </c>
    </row>
    <row r="34" ht="21.75" customHeight="1">
      <c r="A34" s="41" t="str">
        <f t="shared" si="1"/>
        <v/>
      </c>
      <c r="B34" s="10"/>
      <c r="C34" s="9"/>
      <c r="D34" s="9"/>
      <c r="E34" s="10"/>
      <c r="F34" s="44"/>
      <c r="G34" s="46"/>
      <c r="H34" s="47" t="str">
        <f t="shared" si="2"/>
        <v/>
      </c>
      <c r="I34" s="44"/>
      <c r="J34" s="48"/>
      <c r="K34" s="48"/>
      <c r="L34" s="48"/>
      <c r="M34" s="49" t="str">
        <f t="shared" si="3"/>
        <v/>
      </c>
      <c r="N34" s="10"/>
      <c r="O34" s="10"/>
      <c r="P34" s="48"/>
      <c r="Q34" s="8"/>
      <c r="R34" s="42" t="str">
        <f t="array" ref="R34">IF(D34="","",_xlfn.WORKDAY.INTL(MAX('Cấu hình'!$C$15,N(Q34),IF(N34="",0,IFERROR(_xlfn.WORKDAY.INTL(INDEX($S$6:S33,MATCH(N34,$B$6:B33,0)),1+P34,'Cấu hình'!$C$17,'Cấu hình'!$E$6:$E$35),0)),IF(O34="",0,IFERROR(_xlfn.WORKDAY.INTL(INDEX($S$6:S33,MATCH(O34,$B$6:B33,0)),1+P34,'Cấu hình'!$C$17,'Cấu hình'!$E$6:$E$35),0)))-1,1,'Cấu hình'!$C$17,'Cấu hình'!$E$6:$E$35))</f>
        <v/>
      </c>
      <c r="S34" s="42" t="str">
        <f>IF(D34="","",_xlfn.WORKDAY.INTL(R34,M34-1,'Cấu hình'!$C$17,'Cấu hình'!$E$6:$E$35))</f>
        <v/>
      </c>
      <c r="T34" s="42" t="str">
        <f t="shared" si="4"/>
        <v/>
      </c>
      <c r="U34" s="42" t="str">
        <f>IF(D34="","",_xlfn.WORKDAY.INTL(T34,-(M34-1),'Cấu hình'!$C$17,'Cấu hình'!$E$6:$E$35))</f>
        <v/>
      </c>
      <c r="V34" s="49" t="str">
        <f>IF(D34="","",_xlfn.NETWORKDAYS.INTL(S34,T34,'Cấu hình'!$C$17,'Cấu hình'!$E$6:$E$35)-1)</f>
        <v/>
      </c>
      <c r="W34" s="67" t="str">
        <f t="shared" si="5"/>
        <v/>
      </c>
      <c r="X34" s="49" t="str">
        <f t="shared" si="6"/>
        <v/>
      </c>
      <c r="Y34" s="47" t="str">
        <f t="shared" si="7"/>
        <v/>
      </c>
      <c r="Z34" s="64" t="str">
        <f t="shared" si="8"/>
        <v/>
      </c>
      <c r="AA34" s="9"/>
      <c r="AC34" s="72">
        <f t="shared" si="9"/>
        <v>0</v>
      </c>
      <c r="AD34" s="72">
        <f t="shared" si="10"/>
        <v>0</v>
      </c>
      <c r="AE34" s="74">
        <f t="shared" si="11"/>
        <v>0</v>
      </c>
      <c r="AF34" s="72">
        <f t="shared" si="12"/>
        <v>0</v>
      </c>
      <c r="AG34" s="72" t="str">
        <f>IF(D34="","",_xlfn.WORKDAY.INTL(U34,-(1+P34),'Cấu hình'!$C$17,'Cấu hình'!$E$6:$E$35))</f>
        <v/>
      </c>
      <c r="AH34" s="72" t="str">
        <f t="shared" si="13"/>
        <v/>
      </c>
    </row>
    <row r="35" ht="21.75" customHeight="1">
      <c r="A35" s="41" t="str">
        <f t="shared" si="1"/>
        <v/>
      </c>
      <c r="B35" s="10"/>
      <c r="C35" s="9"/>
      <c r="D35" s="9"/>
      <c r="E35" s="10"/>
      <c r="F35" s="44"/>
      <c r="G35" s="46"/>
      <c r="H35" s="47" t="str">
        <f t="shared" si="2"/>
        <v/>
      </c>
      <c r="I35" s="44"/>
      <c r="J35" s="48"/>
      <c r="K35" s="48"/>
      <c r="L35" s="48"/>
      <c r="M35" s="49" t="str">
        <f t="shared" si="3"/>
        <v/>
      </c>
      <c r="N35" s="10"/>
      <c r="O35" s="10"/>
      <c r="P35" s="48"/>
      <c r="Q35" s="8"/>
      <c r="R35" s="42" t="str">
        <f t="array" ref="R35">IF(D35="","",_xlfn.WORKDAY.INTL(MAX('Cấu hình'!$C$15,N(Q35),IF(N35="",0,IFERROR(_xlfn.WORKDAY.INTL(INDEX($S$6:S34,MATCH(N35,$B$6:B34,0)),1+P35,'Cấu hình'!$C$17,'Cấu hình'!$E$6:$E$35),0)),IF(O35="",0,IFERROR(_xlfn.WORKDAY.INTL(INDEX($S$6:S34,MATCH(O35,$B$6:B34,0)),1+P35,'Cấu hình'!$C$17,'Cấu hình'!$E$6:$E$35),0)))-1,1,'Cấu hình'!$C$17,'Cấu hình'!$E$6:$E$35))</f>
        <v/>
      </c>
      <c r="S35" s="42" t="str">
        <f>IF(D35="","",_xlfn.WORKDAY.INTL(R35,M35-1,'Cấu hình'!$C$17,'Cấu hình'!$E$6:$E$35))</f>
        <v/>
      </c>
      <c r="T35" s="42" t="str">
        <f t="shared" si="4"/>
        <v/>
      </c>
      <c r="U35" s="42" t="str">
        <f>IF(D35="","",_xlfn.WORKDAY.INTL(T35,-(M35-1),'Cấu hình'!$C$17,'Cấu hình'!$E$6:$E$35))</f>
        <v/>
      </c>
      <c r="V35" s="49" t="str">
        <f>IF(D35="","",_xlfn.NETWORKDAYS.INTL(S35,T35,'Cấu hình'!$C$17,'Cấu hình'!$E$6:$E$35)-1)</f>
        <v/>
      </c>
      <c r="W35" s="67" t="str">
        <f t="shared" si="5"/>
        <v/>
      </c>
      <c r="X35" s="49" t="str">
        <f t="shared" si="6"/>
        <v/>
      </c>
      <c r="Y35" s="47" t="str">
        <f t="shared" si="7"/>
        <v/>
      </c>
      <c r="Z35" s="64" t="str">
        <f t="shared" si="8"/>
        <v/>
      </c>
      <c r="AA35" s="9"/>
      <c r="AC35" s="72">
        <f t="shared" si="9"/>
        <v>0</v>
      </c>
      <c r="AD35" s="72">
        <f t="shared" si="10"/>
        <v>0</v>
      </c>
      <c r="AE35" s="74">
        <f t="shared" si="11"/>
        <v>0</v>
      </c>
      <c r="AF35" s="72">
        <f t="shared" si="12"/>
        <v>0</v>
      </c>
      <c r="AG35" s="72" t="str">
        <f>IF(D35="","",_xlfn.WORKDAY.INTL(U35,-(1+P35),'Cấu hình'!$C$17,'Cấu hình'!$E$6:$E$35))</f>
        <v/>
      </c>
      <c r="AH35" s="72" t="str">
        <f t="shared" si="13"/>
        <v/>
      </c>
    </row>
    <row r="36" ht="21.75" customHeight="1">
      <c r="A36" s="41" t="str">
        <f t="shared" si="1"/>
        <v/>
      </c>
      <c r="B36" s="10"/>
      <c r="C36" s="9"/>
      <c r="D36" s="9"/>
      <c r="E36" s="10"/>
      <c r="F36" s="44"/>
      <c r="G36" s="46"/>
      <c r="H36" s="47" t="str">
        <f t="shared" si="2"/>
        <v/>
      </c>
      <c r="I36" s="44"/>
      <c r="J36" s="48"/>
      <c r="K36" s="48"/>
      <c r="L36" s="48"/>
      <c r="M36" s="49" t="str">
        <f t="shared" si="3"/>
        <v/>
      </c>
      <c r="N36" s="10"/>
      <c r="O36" s="10"/>
      <c r="P36" s="48"/>
      <c r="Q36" s="8"/>
      <c r="R36" s="42" t="str">
        <f t="array" ref="R36">IF(D36="","",_xlfn.WORKDAY.INTL(MAX('Cấu hình'!$C$15,N(Q36),IF(N36="",0,IFERROR(_xlfn.WORKDAY.INTL(INDEX($S$6:S35,MATCH(N36,$B$6:B35,0)),1+P36,'Cấu hình'!$C$17,'Cấu hình'!$E$6:$E$35),0)),IF(O36="",0,IFERROR(_xlfn.WORKDAY.INTL(INDEX($S$6:S35,MATCH(O36,$B$6:B35,0)),1+P36,'Cấu hình'!$C$17,'Cấu hình'!$E$6:$E$35),0)))-1,1,'Cấu hình'!$C$17,'Cấu hình'!$E$6:$E$35))</f>
        <v/>
      </c>
      <c r="S36" s="42" t="str">
        <f>IF(D36="","",_xlfn.WORKDAY.INTL(R36,M36-1,'Cấu hình'!$C$17,'Cấu hình'!$E$6:$E$35))</f>
        <v/>
      </c>
      <c r="T36" s="42" t="str">
        <f t="shared" si="4"/>
        <v/>
      </c>
      <c r="U36" s="42" t="str">
        <f>IF(D36="","",_xlfn.WORKDAY.INTL(T36,-(M36-1),'Cấu hình'!$C$17,'Cấu hình'!$E$6:$E$35))</f>
        <v/>
      </c>
      <c r="V36" s="49" t="str">
        <f>IF(D36="","",_xlfn.NETWORKDAYS.INTL(S36,T36,'Cấu hình'!$C$17,'Cấu hình'!$E$6:$E$35)-1)</f>
        <v/>
      </c>
      <c r="W36" s="67" t="str">
        <f t="shared" si="5"/>
        <v/>
      </c>
      <c r="X36" s="49" t="str">
        <f t="shared" si="6"/>
        <v/>
      </c>
      <c r="Y36" s="47" t="str">
        <f t="shared" si="7"/>
        <v/>
      </c>
      <c r="Z36" s="64" t="str">
        <f t="shared" si="8"/>
        <v/>
      </c>
      <c r="AA36" s="9"/>
      <c r="AC36" s="72">
        <f t="shared" si="9"/>
        <v>0</v>
      </c>
      <c r="AD36" s="72">
        <f t="shared" si="10"/>
        <v>0</v>
      </c>
      <c r="AE36" s="74">
        <f t="shared" si="11"/>
        <v>0</v>
      </c>
      <c r="AF36" s="72">
        <f t="shared" si="12"/>
        <v>0</v>
      </c>
      <c r="AG36" s="72" t="str">
        <f>IF(D36="","",_xlfn.WORKDAY.INTL(U36,-(1+P36),'Cấu hình'!$C$17,'Cấu hình'!$E$6:$E$35))</f>
        <v/>
      </c>
      <c r="AH36" s="72" t="str">
        <f t="shared" si="13"/>
        <v/>
      </c>
    </row>
    <row r="37" ht="21.75" customHeight="1">
      <c r="A37" s="41" t="str">
        <f t="shared" si="1"/>
        <v/>
      </c>
      <c r="B37" s="10"/>
      <c r="C37" s="9"/>
      <c r="D37" s="9"/>
      <c r="E37" s="10"/>
      <c r="F37" s="44"/>
      <c r="G37" s="46"/>
      <c r="H37" s="47" t="str">
        <f t="shared" si="2"/>
        <v/>
      </c>
      <c r="I37" s="44"/>
      <c r="J37" s="48"/>
      <c r="K37" s="48"/>
      <c r="L37" s="48"/>
      <c r="M37" s="49" t="str">
        <f t="shared" si="3"/>
        <v/>
      </c>
      <c r="N37" s="10"/>
      <c r="O37" s="10"/>
      <c r="P37" s="48"/>
      <c r="Q37" s="8"/>
      <c r="R37" s="42" t="str">
        <f t="array" ref="R37">IF(D37="","",_xlfn.WORKDAY.INTL(MAX('Cấu hình'!$C$15,N(Q37),IF(N37="",0,IFERROR(_xlfn.WORKDAY.INTL(INDEX($S$6:S36,MATCH(N37,$B$6:B36,0)),1+P37,'Cấu hình'!$C$17,'Cấu hình'!$E$6:$E$35),0)),IF(O37="",0,IFERROR(_xlfn.WORKDAY.INTL(INDEX($S$6:S36,MATCH(O37,$B$6:B36,0)),1+P37,'Cấu hình'!$C$17,'Cấu hình'!$E$6:$E$35),0)))-1,1,'Cấu hình'!$C$17,'Cấu hình'!$E$6:$E$35))</f>
        <v/>
      </c>
      <c r="S37" s="42" t="str">
        <f>IF(D37="","",_xlfn.WORKDAY.INTL(R37,M37-1,'Cấu hình'!$C$17,'Cấu hình'!$E$6:$E$35))</f>
        <v/>
      </c>
      <c r="T37" s="42" t="str">
        <f t="shared" si="4"/>
        <v/>
      </c>
      <c r="U37" s="42" t="str">
        <f>IF(D37="","",_xlfn.WORKDAY.INTL(T37,-(M37-1),'Cấu hình'!$C$17,'Cấu hình'!$E$6:$E$35))</f>
        <v/>
      </c>
      <c r="V37" s="49" t="str">
        <f>IF(D37="","",_xlfn.NETWORKDAYS.INTL(S37,T37,'Cấu hình'!$C$17,'Cấu hình'!$E$6:$E$35)-1)</f>
        <v/>
      </c>
      <c r="W37" s="67" t="str">
        <f t="shared" si="5"/>
        <v/>
      </c>
      <c r="X37" s="49" t="str">
        <f t="shared" si="6"/>
        <v/>
      </c>
      <c r="Y37" s="47" t="str">
        <f t="shared" si="7"/>
        <v/>
      </c>
      <c r="Z37" s="64" t="str">
        <f t="shared" si="8"/>
        <v/>
      </c>
      <c r="AA37" s="9"/>
      <c r="AC37" s="72">
        <f t="shared" si="9"/>
        <v>0</v>
      </c>
      <c r="AD37" s="72">
        <f t="shared" si="10"/>
        <v>0</v>
      </c>
      <c r="AE37" s="74">
        <f t="shared" si="11"/>
        <v>0</v>
      </c>
      <c r="AF37" s="72">
        <f t="shared" si="12"/>
        <v>0</v>
      </c>
      <c r="AG37" s="72" t="str">
        <f>IF(D37="","",_xlfn.WORKDAY.INTL(U37,-(1+P37),'Cấu hình'!$C$17,'Cấu hình'!$E$6:$E$35))</f>
        <v/>
      </c>
      <c r="AH37" s="72" t="str">
        <f t="shared" si="13"/>
        <v/>
      </c>
    </row>
    <row r="38" ht="21.75" customHeight="1">
      <c r="A38" s="41" t="str">
        <f t="shared" si="1"/>
        <v/>
      </c>
      <c r="B38" s="10"/>
      <c r="C38" s="9"/>
      <c r="D38" s="9"/>
      <c r="E38" s="10"/>
      <c r="F38" s="44"/>
      <c r="G38" s="46"/>
      <c r="H38" s="47" t="str">
        <f t="shared" si="2"/>
        <v/>
      </c>
      <c r="I38" s="44"/>
      <c r="J38" s="48"/>
      <c r="K38" s="48"/>
      <c r="L38" s="48"/>
      <c r="M38" s="49" t="str">
        <f t="shared" si="3"/>
        <v/>
      </c>
      <c r="N38" s="10"/>
      <c r="O38" s="10"/>
      <c r="P38" s="48"/>
      <c r="Q38" s="8"/>
      <c r="R38" s="42" t="str">
        <f t="array" ref="R38">IF(D38="","",_xlfn.WORKDAY.INTL(MAX('Cấu hình'!$C$15,N(Q38),IF(N38="",0,IFERROR(_xlfn.WORKDAY.INTL(INDEX($S$6:S37,MATCH(N38,$B$6:B37,0)),1+P38,'Cấu hình'!$C$17,'Cấu hình'!$E$6:$E$35),0)),IF(O38="",0,IFERROR(_xlfn.WORKDAY.INTL(INDEX($S$6:S37,MATCH(O38,$B$6:B37,0)),1+P38,'Cấu hình'!$C$17,'Cấu hình'!$E$6:$E$35),0)))-1,1,'Cấu hình'!$C$17,'Cấu hình'!$E$6:$E$35))</f>
        <v/>
      </c>
      <c r="S38" s="42" t="str">
        <f>IF(D38="","",_xlfn.WORKDAY.INTL(R38,M38-1,'Cấu hình'!$C$17,'Cấu hình'!$E$6:$E$35))</f>
        <v/>
      </c>
      <c r="T38" s="42" t="str">
        <f t="shared" si="4"/>
        <v/>
      </c>
      <c r="U38" s="42" t="str">
        <f>IF(D38="","",_xlfn.WORKDAY.INTL(T38,-(M38-1),'Cấu hình'!$C$17,'Cấu hình'!$E$6:$E$35))</f>
        <v/>
      </c>
      <c r="V38" s="49" t="str">
        <f>IF(D38="","",_xlfn.NETWORKDAYS.INTL(S38,T38,'Cấu hình'!$C$17,'Cấu hình'!$E$6:$E$35)-1)</f>
        <v/>
      </c>
      <c r="W38" s="67" t="str">
        <f t="shared" si="5"/>
        <v/>
      </c>
      <c r="X38" s="49" t="str">
        <f t="shared" si="6"/>
        <v/>
      </c>
      <c r="Y38" s="47" t="str">
        <f t="shared" si="7"/>
        <v/>
      </c>
      <c r="Z38" s="64" t="str">
        <f t="shared" si="8"/>
        <v/>
      </c>
      <c r="AA38" s="9"/>
      <c r="AC38" s="72">
        <f t="shared" si="9"/>
        <v>0</v>
      </c>
      <c r="AD38" s="72">
        <f t="shared" si="10"/>
        <v>0</v>
      </c>
      <c r="AE38" s="74">
        <f t="shared" si="11"/>
        <v>0</v>
      </c>
      <c r="AF38" s="72">
        <f t="shared" si="12"/>
        <v>0</v>
      </c>
      <c r="AG38" s="72" t="str">
        <f>IF(D38="","",_xlfn.WORKDAY.INTL(U38,-(1+P38),'Cấu hình'!$C$17,'Cấu hình'!$E$6:$E$35))</f>
        <v/>
      </c>
      <c r="AH38" s="72" t="str">
        <f t="shared" si="13"/>
        <v/>
      </c>
    </row>
    <row r="39" ht="21.75" customHeight="1">
      <c r="A39" s="41" t="str">
        <f t="shared" si="1"/>
        <v/>
      </c>
      <c r="B39" s="10"/>
      <c r="C39" s="9"/>
      <c r="D39" s="9"/>
      <c r="E39" s="10"/>
      <c r="F39" s="44"/>
      <c r="G39" s="46"/>
      <c r="H39" s="47" t="str">
        <f t="shared" si="2"/>
        <v/>
      </c>
      <c r="I39" s="44"/>
      <c r="J39" s="48"/>
      <c r="K39" s="48"/>
      <c r="L39" s="48"/>
      <c r="M39" s="49" t="str">
        <f t="shared" si="3"/>
        <v/>
      </c>
      <c r="N39" s="10"/>
      <c r="O39" s="10"/>
      <c r="P39" s="48"/>
      <c r="Q39" s="8"/>
      <c r="R39" s="42" t="str">
        <f t="array" ref="R39">IF(D39="","",_xlfn.WORKDAY.INTL(MAX('Cấu hình'!$C$15,N(Q39),IF(N39="",0,IFERROR(_xlfn.WORKDAY.INTL(INDEX($S$6:S38,MATCH(N39,$B$6:B38,0)),1+P39,'Cấu hình'!$C$17,'Cấu hình'!$E$6:$E$35),0)),IF(O39="",0,IFERROR(_xlfn.WORKDAY.INTL(INDEX($S$6:S38,MATCH(O39,$B$6:B38,0)),1+P39,'Cấu hình'!$C$17,'Cấu hình'!$E$6:$E$35),0)))-1,1,'Cấu hình'!$C$17,'Cấu hình'!$E$6:$E$35))</f>
        <v/>
      </c>
      <c r="S39" s="42" t="str">
        <f>IF(D39="","",_xlfn.WORKDAY.INTL(R39,M39-1,'Cấu hình'!$C$17,'Cấu hình'!$E$6:$E$35))</f>
        <v/>
      </c>
      <c r="T39" s="42" t="str">
        <f t="shared" si="4"/>
        <v/>
      </c>
      <c r="U39" s="42" t="str">
        <f>IF(D39="","",_xlfn.WORKDAY.INTL(T39,-(M39-1),'Cấu hình'!$C$17,'Cấu hình'!$E$6:$E$35))</f>
        <v/>
      </c>
      <c r="V39" s="49" t="str">
        <f>IF(D39="","",_xlfn.NETWORKDAYS.INTL(S39,T39,'Cấu hình'!$C$17,'Cấu hình'!$E$6:$E$35)-1)</f>
        <v/>
      </c>
      <c r="W39" s="67" t="str">
        <f t="shared" si="5"/>
        <v/>
      </c>
      <c r="X39" s="49" t="str">
        <f t="shared" si="6"/>
        <v/>
      </c>
      <c r="Y39" s="47" t="str">
        <f t="shared" si="7"/>
        <v/>
      </c>
      <c r="Z39" s="64" t="str">
        <f t="shared" si="8"/>
        <v/>
      </c>
      <c r="AA39" s="9"/>
      <c r="AC39" s="72">
        <f t="shared" si="9"/>
        <v>0</v>
      </c>
      <c r="AD39" s="72">
        <f t="shared" si="10"/>
        <v>0</v>
      </c>
      <c r="AE39" s="74">
        <f t="shared" si="11"/>
        <v>0</v>
      </c>
      <c r="AF39" s="72">
        <f t="shared" si="12"/>
        <v>0</v>
      </c>
      <c r="AG39" s="72" t="str">
        <f>IF(D39="","",_xlfn.WORKDAY.INTL(U39,-(1+P39),'Cấu hình'!$C$17,'Cấu hình'!$E$6:$E$35))</f>
        <v/>
      </c>
      <c r="AH39" s="72" t="str">
        <f t="shared" si="13"/>
        <v/>
      </c>
    </row>
    <row r="40" ht="21.75" customHeight="1">
      <c r="A40" s="41" t="str">
        <f t="shared" si="1"/>
        <v/>
      </c>
      <c r="B40" s="10"/>
      <c r="C40" s="9"/>
      <c r="D40" s="9"/>
      <c r="E40" s="10"/>
      <c r="F40" s="44"/>
      <c r="G40" s="46"/>
      <c r="H40" s="47" t="str">
        <f t="shared" si="2"/>
        <v/>
      </c>
      <c r="I40" s="44"/>
      <c r="J40" s="48"/>
      <c r="K40" s="48"/>
      <c r="L40" s="48"/>
      <c r="M40" s="49" t="str">
        <f t="shared" si="3"/>
        <v/>
      </c>
      <c r="N40" s="10"/>
      <c r="O40" s="10"/>
      <c r="P40" s="48"/>
      <c r="Q40" s="8"/>
      <c r="R40" s="42" t="str">
        <f t="array" ref="R40">IF(D40="","",_xlfn.WORKDAY.INTL(MAX('Cấu hình'!$C$15,N(Q40),IF(N40="",0,IFERROR(_xlfn.WORKDAY.INTL(INDEX($S$6:S39,MATCH(N40,$B$6:B39,0)),1+P40,'Cấu hình'!$C$17,'Cấu hình'!$E$6:$E$35),0)),IF(O40="",0,IFERROR(_xlfn.WORKDAY.INTL(INDEX($S$6:S39,MATCH(O40,$B$6:B39,0)),1+P40,'Cấu hình'!$C$17,'Cấu hình'!$E$6:$E$35),0)))-1,1,'Cấu hình'!$C$17,'Cấu hình'!$E$6:$E$35))</f>
        <v/>
      </c>
      <c r="S40" s="42" t="str">
        <f>IF(D40="","",_xlfn.WORKDAY.INTL(R40,M40-1,'Cấu hình'!$C$17,'Cấu hình'!$E$6:$E$35))</f>
        <v/>
      </c>
      <c r="T40" s="42" t="str">
        <f t="shared" si="4"/>
        <v/>
      </c>
      <c r="U40" s="42" t="str">
        <f>IF(D40="","",_xlfn.WORKDAY.INTL(T40,-(M40-1),'Cấu hình'!$C$17,'Cấu hình'!$E$6:$E$35))</f>
        <v/>
      </c>
      <c r="V40" s="49" t="str">
        <f>IF(D40="","",_xlfn.NETWORKDAYS.INTL(S40,T40,'Cấu hình'!$C$17,'Cấu hình'!$E$6:$E$35)-1)</f>
        <v/>
      </c>
      <c r="W40" s="67" t="str">
        <f t="shared" si="5"/>
        <v/>
      </c>
      <c r="X40" s="49" t="str">
        <f t="shared" si="6"/>
        <v/>
      </c>
      <c r="Y40" s="47" t="str">
        <f t="shared" si="7"/>
        <v/>
      </c>
      <c r="Z40" s="64" t="str">
        <f t="shared" si="8"/>
        <v/>
      </c>
      <c r="AA40" s="9"/>
      <c r="AC40" s="72">
        <f t="shared" si="9"/>
        <v>0</v>
      </c>
      <c r="AD40" s="72">
        <f t="shared" si="10"/>
        <v>0</v>
      </c>
      <c r="AE40" s="74">
        <f t="shared" si="11"/>
        <v>0</v>
      </c>
      <c r="AF40" s="72">
        <f t="shared" si="12"/>
        <v>0</v>
      </c>
      <c r="AG40" s="72" t="str">
        <f>IF(D40="","",_xlfn.WORKDAY.INTL(U40,-(1+P40),'Cấu hình'!$C$17,'Cấu hình'!$E$6:$E$35))</f>
        <v/>
      </c>
      <c r="AH40" s="72" t="str">
        <f t="shared" si="13"/>
        <v/>
      </c>
    </row>
    <row r="41" ht="21.75" customHeight="1">
      <c r="A41" s="41" t="str">
        <f t="shared" si="1"/>
        <v/>
      </c>
      <c r="B41" s="10"/>
      <c r="C41" s="9"/>
      <c r="D41" s="9"/>
      <c r="E41" s="10"/>
      <c r="F41" s="44"/>
      <c r="G41" s="46"/>
      <c r="H41" s="47" t="str">
        <f t="shared" si="2"/>
        <v/>
      </c>
      <c r="I41" s="44"/>
      <c r="J41" s="48"/>
      <c r="K41" s="48"/>
      <c r="L41" s="48"/>
      <c r="M41" s="49" t="str">
        <f t="shared" si="3"/>
        <v/>
      </c>
      <c r="N41" s="10"/>
      <c r="O41" s="10"/>
      <c r="P41" s="48"/>
      <c r="Q41" s="8"/>
      <c r="R41" s="42" t="str">
        <f t="array" ref="R41">IF(D41="","",_xlfn.WORKDAY.INTL(MAX('Cấu hình'!$C$15,N(Q41),IF(N41="",0,IFERROR(_xlfn.WORKDAY.INTL(INDEX($S$6:S40,MATCH(N41,$B$6:B40,0)),1+P41,'Cấu hình'!$C$17,'Cấu hình'!$E$6:$E$35),0)),IF(O41="",0,IFERROR(_xlfn.WORKDAY.INTL(INDEX($S$6:S40,MATCH(O41,$B$6:B40,0)),1+P41,'Cấu hình'!$C$17,'Cấu hình'!$E$6:$E$35),0)))-1,1,'Cấu hình'!$C$17,'Cấu hình'!$E$6:$E$35))</f>
        <v/>
      </c>
      <c r="S41" s="42" t="str">
        <f>IF(D41="","",_xlfn.WORKDAY.INTL(R41,M41-1,'Cấu hình'!$C$17,'Cấu hình'!$E$6:$E$35))</f>
        <v/>
      </c>
      <c r="T41" s="42" t="str">
        <f t="shared" si="4"/>
        <v/>
      </c>
      <c r="U41" s="42" t="str">
        <f>IF(D41="","",_xlfn.WORKDAY.INTL(T41,-(M41-1),'Cấu hình'!$C$17,'Cấu hình'!$E$6:$E$35))</f>
        <v/>
      </c>
      <c r="V41" s="49" t="str">
        <f>IF(D41="","",_xlfn.NETWORKDAYS.INTL(S41,T41,'Cấu hình'!$C$17,'Cấu hình'!$E$6:$E$35)-1)</f>
        <v/>
      </c>
      <c r="W41" s="67" t="str">
        <f t="shared" si="5"/>
        <v/>
      </c>
      <c r="X41" s="49" t="str">
        <f t="shared" si="6"/>
        <v/>
      </c>
      <c r="Y41" s="47" t="str">
        <f t="shared" si="7"/>
        <v/>
      </c>
      <c r="Z41" s="64" t="str">
        <f t="shared" si="8"/>
        <v/>
      </c>
      <c r="AA41" s="9"/>
      <c r="AC41" s="72">
        <f t="shared" si="9"/>
        <v>0</v>
      </c>
      <c r="AD41" s="72">
        <f t="shared" si="10"/>
        <v>0</v>
      </c>
      <c r="AE41" s="74">
        <f t="shared" si="11"/>
        <v>0</v>
      </c>
      <c r="AF41" s="72">
        <f t="shared" si="12"/>
        <v>0</v>
      </c>
      <c r="AG41" s="72" t="str">
        <f>IF(D41="","",_xlfn.WORKDAY.INTL(U41,-(1+P41),'Cấu hình'!$C$17,'Cấu hình'!$E$6:$E$35))</f>
        <v/>
      </c>
      <c r="AH41" s="72" t="str">
        <f t="shared" si="13"/>
        <v/>
      </c>
    </row>
    <row r="42" ht="21.75" customHeight="1">
      <c r="A42" s="41" t="str">
        <f t="shared" si="1"/>
        <v/>
      </c>
      <c r="B42" s="10"/>
      <c r="C42" s="9"/>
      <c r="D42" s="9"/>
      <c r="E42" s="10"/>
      <c r="F42" s="44"/>
      <c r="G42" s="46"/>
      <c r="H42" s="47" t="str">
        <f t="shared" si="2"/>
        <v/>
      </c>
      <c r="I42" s="44"/>
      <c r="J42" s="48"/>
      <c r="K42" s="48"/>
      <c r="L42" s="48"/>
      <c r="M42" s="49" t="str">
        <f t="shared" si="3"/>
        <v/>
      </c>
      <c r="N42" s="10"/>
      <c r="O42" s="10"/>
      <c r="P42" s="48"/>
      <c r="Q42" s="8"/>
      <c r="R42" s="42" t="str">
        <f t="array" ref="R42">IF(D42="","",_xlfn.WORKDAY.INTL(MAX('Cấu hình'!$C$15,N(Q42),IF(N42="",0,IFERROR(_xlfn.WORKDAY.INTL(INDEX($S$6:S41,MATCH(N42,$B$6:B41,0)),1+P42,'Cấu hình'!$C$17,'Cấu hình'!$E$6:$E$35),0)),IF(O42="",0,IFERROR(_xlfn.WORKDAY.INTL(INDEX($S$6:S41,MATCH(O42,$B$6:B41,0)),1+P42,'Cấu hình'!$C$17,'Cấu hình'!$E$6:$E$35),0)))-1,1,'Cấu hình'!$C$17,'Cấu hình'!$E$6:$E$35))</f>
        <v/>
      </c>
      <c r="S42" s="42" t="str">
        <f>IF(D42="","",_xlfn.WORKDAY.INTL(R42,M42-1,'Cấu hình'!$C$17,'Cấu hình'!$E$6:$E$35))</f>
        <v/>
      </c>
      <c r="T42" s="42" t="str">
        <f t="shared" si="4"/>
        <v/>
      </c>
      <c r="U42" s="42" t="str">
        <f>IF(D42="","",_xlfn.WORKDAY.INTL(T42,-(M42-1),'Cấu hình'!$C$17,'Cấu hình'!$E$6:$E$35))</f>
        <v/>
      </c>
      <c r="V42" s="49" t="str">
        <f>IF(D42="","",_xlfn.NETWORKDAYS.INTL(S42,T42,'Cấu hình'!$C$17,'Cấu hình'!$E$6:$E$35)-1)</f>
        <v/>
      </c>
      <c r="W42" s="67" t="str">
        <f t="shared" si="5"/>
        <v/>
      </c>
      <c r="X42" s="49" t="str">
        <f t="shared" si="6"/>
        <v/>
      </c>
      <c r="Y42" s="47" t="str">
        <f t="shared" si="7"/>
        <v/>
      </c>
      <c r="Z42" s="64" t="str">
        <f t="shared" si="8"/>
        <v/>
      </c>
      <c r="AA42" s="9"/>
      <c r="AC42" s="72">
        <f t="shared" si="9"/>
        <v>0</v>
      </c>
      <c r="AD42" s="72">
        <f t="shared" si="10"/>
        <v>0</v>
      </c>
      <c r="AE42" s="74">
        <f t="shared" si="11"/>
        <v>0</v>
      </c>
      <c r="AF42" s="72">
        <f t="shared" si="12"/>
        <v>0</v>
      </c>
      <c r="AG42" s="72" t="str">
        <f>IF(D42="","",_xlfn.WORKDAY.INTL(U42,-(1+P42),'Cấu hình'!$C$17,'Cấu hình'!$E$6:$E$35))</f>
        <v/>
      </c>
      <c r="AH42" s="72" t="str">
        <f t="shared" si="13"/>
        <v/>
      </c>
    </row>
    <row r="43" ht="21.75" customHeight="1">
      <c r="A43" s="41" t="str">
        <f t="shared" si="1"/>
        <v/>
      </c>
      <c r="B43" s="10"/>
      <c r="C43" s="9"/>
      <c r="D43" s="9"/>
      <c r="E43" s="10"/>
      <c r="F43" s="44"/>
      <c r="G43" s="46"/>
      <c r="H43" s="47" t="str">
        <f t="shared" si="2"/>
        <v/>
      </c>
      <c r="I43" s="44"/>
      <c r="J43" s="48"/>
      <c r="K43" s="48"/>
      <c r="L43" s="48"/>
      <c r="M43" s="49" t="str">
        <f t="shared" si="3"/>
        <v/>
      </c>
      <c r="N43" s="10"/>
      <c r="O43" s="10"/>
      <c r="P43" s="48"/>
      <c r="Q43" s="8"/>
      <c r="R43" s="42" t="str">
        <f t="array" ref="R43">IF(D43="","",_xlfn.WORKDAY.INTL(MAX('Cấu hình'!$C$15,N(Q43),IF(N43="",0,IFERROR(_xlfn.WORKDAY.INTL(INDEX($S$6:S42,MATCH(N43,$B$6:B42,0)),1+P43,'Cấu hình'!$C$17,'Cấu hình'!$E$6:$E$35),0)),IF(O43="",0,IFERROR(_xlfn.WORKDAY.INTL(INDEX($S$6:S42,MATCH(O43,$B$6:B42,0)),1+P43,'Cấu hình'!$C$17,'Cấu hình'!$E$6:$E$35),0)))-1,1,'Cấu hình'!$C$17,'Cấu hình'!$E$6:$E$35))</f>
        <v/>
      </c>
      <c r="S43" s="42" t="str">
        <f>IF(D43="","",_xlfn.WORKDAY.INTL(R43,M43-1,'Cấu hình'!$C$17,'Cấu hình'!$E$6:$E$35))</f>
        <v/>
      </c>
      <c r="T43" s="42" t="str">
        <f t="shared" si="4"/>
        <v/>
      </c>
      <c r="U43" s="42" t="str">
        <f>IF(D43="","",_xlfn.WORKDAY.INTL(T43,-(M43-1),'Cấu hình'!$C$17,'Cấu hình'!$E$6:$E$35))</f>
        <v/>
      </c>
      <c r="V43" s="49" t="str">
        <f>IF(D43="","",_xlfn.NETWORKDAYS.INTL(S43,T43,'Cấu hình'!$C$17,'Cấu hình'!$E$6:$E$35)-1)</f>
        <v/>
      </c>
      <c r="W43" s="67" t="str">
        <f t="shared" si="5"/>
        <v/>
      </c>
      <c r="X43" s="49" t="str">
        <f t="shared" si="6"/>
        <v/>
      </c>
      <c r="Y43" s="47" t="str">
        <f t="shared" si="7"/>
        <v/>
      </c>
      <c r="Z43" s="64" t="str">
        <f t="shared" si="8"/>
        <v/>
      </c>
      <c r="AA43" s="9"/>
      <c r="AC43" s="72">
        <f t="shared" si="9"/>
        <v>0</v>
      </c>
      <c r="AD43" s="72">
        <f t="shared" si="10"/>
        <v>0</v>
      </c>
      <c r="AE43" s="74">
        <f t="shared" si="11"/>
        <v>0</v>
      </c>
      <c r="AF43" s="72">
        <f t="shared" si="12"/>
        <v>0</v>
      </c>
      <c r="AG43" s="72" t="str">
        <f>IF(D43="","",_xlfn.WORKDAY.INTL(U43,-(1+P43),'Cấu hình'!$C$17,'Cấu hình'!$E$6:$E$35))</f>
        <v/>
      </c>
      <c r="AH43" s="72" t="str">
        <f t="shared" si="13"/>
        <v/>
      </c>
    </row>
    <row r="44" ht="21.75" customHeight="1">
      <c r="A44" s="41" t="str">
        <f t="shared" si="1"/>
        <v/>
      </c>
      <c r="B44" s="10"/>
      <c r="C44" s="9"/>
      <c r="D44" s="9"/>
      <c r="E44" s="10"/>
      <c r="F44" s="44"/>
      <c r="G44" s="46"/>
      <c r="H44" s="47" t="str">
        <f t="shared" si="2"/>
        <v/>
      </c>
      <c r="I44" s="44"/>
      <c r="J44" s="48"/>
      <c r="K44" s="48"/>
      <c r="L44" s="48"/>
      <c r="M44" s="49" t="str">
        <f t="shared" si="3"/>
        <v/>
      </c>
      <c r="N44" s="10"/>
      <c r="O44" s="10"/>
      <c r="P44" s="48"/>
      <c r="Q44" s="8"/>
      <c r="R44" s="42" t="str">
        <f t="array" ref="R44">IF(D44="","",_xlfn.WORKDAY.INTL(MAX('Cấu hình'!$C$15,N(Q44),IF(N44="",0,IFERROR(_xlfn.WORKDAY.INTL(INDEX($S$6:S43,MATCH(N44,$B$6:B43,0)),1+P44,'Cấu hình'!$C$17,'Cấu hình'!$E$6:$E$35),0)),IF(O44="",0,IFERROR(_xlfn.WORKDAY.INTL(INDEX($S$6:S43,MATCH(O44,$B$6:B43,0)),1+P44,'Cấu hình'!$C$17,'Cấu hình'!$E$6:$E$35),0)))-1,1,'Cấu hình'!$C$17,'Cấu hình'!$E$6:$E$35))</f>
        <v/>
      </c>
      <c r="S44" s="42" t="str">
        <f>IF(D44="","",_xlfn.WORKDAY.INTL(R44,M44-1,'Cấu hình'!$C$17,'Cấu hình'!$E$6:$E$35))</f>
        <v/>
      </c>
      <c r="T44" s="42" t="str">
        <f t="shared" si="4"/>
        <v/>
      </c>
      <c r="U44" s="42" t="str">
        <f>IF(D44="","",_xlfn.WORKDAY.INTL(T44,-(M44-1),'Cấu hình'!$C$17,'Cấu hình'!$E$6:$E$35))</f>
        <v/>
      </c>
      <c r="V44" s="49" t="str">
        <f>IF(D44="","",_xlfn.NETWORKDAYS.INTL(S44,T44,'Cấu hình'!$C$17,'Cấu hình'!$E$6:$E$35)-1)</f>
        <v/>
      </c>
      <c r="W44" s="67" t="str">
        <f t="shared" si="5"/>
        <v/>
      </c>
      <c r="X44" s="49" t="str">
        <f t="shared" si="6"/>
        <v/>
      </c>
      <c r="Y44" s="47" t="str">
        <f t="shared" si="7"/>
        <v/>
      </c>
      <c r="Z44" s="64" t="str">
        <f t="shared" si="8"/>
        <v/>
      </c>
      <c r="AA44" s="9"/>
      <c r="AC44" s="72">
        <f t="shared" si="9"/>
        <v>0</v>
      </c>
      <c r="AD44" s="72">
        <f t="shared" si="10"/>
        <v>0</v>
      </c>
      <c r="AE44" s="74">
        <f t="shared" si="11"/>
        <v>0</v>
      </c>
      <c r="AF44" s="72">
        <f t="shared" si="12"/>
        <v>0</v>
      </c>
      <c r="AG44" s="72" t="str">
        <f>IF(D44="","",_xlfn.WORKDAY.INTL(U44,-(1+P44),'Cấu hình'!$C$17,'Cấu hình'!$E$6:$E$35))</f>
        <v/>
      </c>
      <c r="AH44" s="72" t="str">
        <f t="shared" si="13"/>
        <v/>
      </c>
    </row>
    <row r="45" ht="21.75" customHeight="1">
      <c r="A45" s="41" t="str">
        <f t="shared" si="1"/>
        <v/>
      </c>
      <c r="B45" s="10"/>
      <c r="C45" s="9"/>
      <c r="D45" s="9"/>
      <c r="E45" s="10"/>
      <c r="F45" s="44"/>
      <c r="G45" s="46"/>
      <c r="H45" s="47" t="str">
        <f t="shared" si="2"/>
        <v/>
      </c>
      <c r="I45" s="44"/>
      <c r="J45" s="48"/>
      <c r="K45" s="48"/>
      <c r="L45" s="48"/>
      <c r="M45" s="49" t="str">
        <f t="shared" si="3"/>
        <v/>
      </c>
      <c r="N45" s="10"/>
      <c r="O45" s="10"/>
      <c r="P45" s="48"/>
      <c r="Q45" s="8"/>
      <c r="R45" s="42" t="str">
        <f t="array" ref="R45">IF(D45="","",_xlfn.WORKDAY.INTL(MAX('Cấu hình'!$C$15,N(Q45),IF(N45="",0,IFERROR(_xlfn.WORKDAY.INTL(INDEX($S$6:S44,MATCH(N45,$B$6:B44,0)),1+P45,'Cấu hình'!$C$17,'Cấu hình'!$E$6:$E$35),0)),IF(O45="",0,IFERROR(_xlfn.WORKDAY.INTL(INDEX($S$6:S44,MATCH(O45,$B$6:B44,0)),1+P45,'Cấu hình'!$C$17,'Cấu hình'!$E$6:$E$35),0)))-1,1,'Cấu hình'!$C$17,'Cấu hình'!$E$6:$E$35))</f>
        <v/>
      </c>
      <c r="S45" s="42" t="str">
        <f>IF(D45="","",_xlfn.WORKDAY.INTL(R45,M45-1,'Cấu hình'!$C$17,'Cấu hình'!$E$6:$E$35))</f>
        <v/>
      </c>
      <c r="T45" s="42" t="str">
        <f t="shared" si="4"/>
        <v/>
      </c>
      <c r="U45" s="42" t="str">
        <f>IF(D45="","",_xlfn.WORKDAY.INTL(T45,-(M45-1),'Cấu hình'!$C$17,'Cấu hình'!$E$6:$E$35))</f>
        <v/>
      </c>
      <c r="V45" s="49" t="str">
        <f>IF(D45="","",_xlfn.NETWORKDAYS.INTL(S45,T45,'Cấu hình'!$C$17,'Cấu hình'!$E$6:$E$35)-1)</f>
        <v/>
      </c>
      <c r="W45" s="67" t="str">
        <f t="shared" si="5"/>
        <v/>
      </c>
      <c r="X45" s="49" t="str">
        <f t="shared" si="6"/>
        <v/>
      </c>
      <c r="Y45" s="47" t="str">
        <f t="shared" si="7"/>
        <v/>
      </c>
      <c r="Z45" s="64" t="str">
        <f t="shared" si="8"/>
        <v/>
      </c>
      <c r="AA45" s="9"/>
      <c r="AC45" s="72">
        <f t="shared" si="9"/>
        <v>0</v>
      </c>
      <c r="AD45" s="72">
        <f t="shared" si="10"/>
        <v>0</v>
      </c>
      <c r="AE45" s="74">
        <f t="shared" si="11"/>
        <v>0</v>
      </c>
      <c r="AF45" s="72">
        <f t="shared" si="12"/>
        <v>0</v>
      </c>
      <c r="AG45" s="72" t="str">
        <f>IF(D45="","",_xlfn.WORKDAY.INTL(U45,-(1+P45),'Cấu hình'!$C$17,'Cấu hình'!$E$6:$E$35))</f>
        <v/>
      </c>
      <c r="AH45" s="72" t="str">
        <f t="shared" si="13"/>
        <v/>
      </c>
    </row>
    <row r="46" ht="21.75" customHeight="1">
      <c r="A46" s="41" t="str">
        <f t="shared" si="1"/>
        <v/>
      </c>
      <c r="B46" s="10"/>
      <c r="C46" s="9"/>
      <c r="D46" s="9"/>
      <c r="E46" s="10"/>
      <c r="F46" s="44"/>
      <c r="G46" s="46"/>
      <c r="H46" s="47" t="str">
        <f t="shared" si="2"/>
        <v/>
      </c>
      <c r="I46" s="44"/>
      <c r="J46" s="48"/>
      <c r="K46" s="48"/>
      <c r="L46" s="48"/>
      <c r="M46" s="49" t="str">
        <f t="shared" si="3"/>
        <v/>
      </c>
      <c r="N46" s="10"/>
      <c r="O46" s="10"/>
      <c r="P46" s="48"/>
      <c r="Q46" s="8"/>
      <c r="R46" s="42" t="str">
        <f t="array" ref="R46">IF(D46="","",_xlfn.WORKDAY.INTL(MAX('Cấu hình'!$C$15,N(Q46),IF(N46="",0,IFERROR(_xlfn.WORKDAY.INTL(INDEX($S$6:S45,MATCH(N46,$B$6:B45,0)),1+P46,'Cấu hình'!$C$17,'Cấu hình'!$E$6:$E$35),0)),IF(O46="",0,IFERROR(_xlfn.WORKDAY.INTL(INDEX($S$6:S45,MATCH(O46,$B$6:B45,0)),1+P46,'Cấu hình'!$C$17,'Cấu hình'!$E$6:$E$35),0)))-1,1,'Cấu hình'!$C$17,'Cấu hình'!$E$6:$E$35))</f>
        <v/>
      </c>
      <c r="S46" s="42" t="str">
        <f>IF(D46="","",_xlfn.WORKDAY.INTL(R46,M46-1,'Cấu hình'!$C$17,'Cấu hình'!$E$6:$E$35))</f>
        <v/>
      </c>
      <c r="T46" s="42" t="str">
        <f t="shared" si="4"/>
        <v/>
      </c>
      <c r="U46" s="42" t="str">
        <f>IF(D46="","",_xlfn.WORKDAY.INTL(T46,-(M46-1),'Cấu hình'!$C$17,'Cấu hình'!$E$6:$E$35))</f>
        <v/>
      </c>
      <c r="V46" s="49" t="str">
        <f>IF(D46="","",_xlfn.NETWORKDAYS.INTL(S46,T46,'Cấu hình'!$C$17,'Cấu hình'!$E$6:$E$35)-1)</f>
        <v/>
      </c>
      <c r="W46" s="67" t="str">
        <f t="shared" si="5"/>
        <v/>
      </c>
      <c r="X46" s="49" t="str">
        <f t="shared" si="6"/>
        <v/>
      </c>
      <c r="Y46" s="47" t="str">
        <f t="shared" si="7"/>
        <v/>
      </c>
      <c r="Z46" s="64" t="str">
        <f t="shared" si="8"/>
        <v/>
      </c>
      <c r="AA46" s="9"/>
      <c r="AC46" s="72">
        <f t="shared" si="9"/>
        <v>0</v>
      </c>
      <c r="AD46" s="72">
        <f t="shared" si="10"/>
        <v>0</v>
      </c>
      <c r="AE46" s="74">
        <f t="shared" si="11"/>
        <v>0</v>
      </c>
      <c r="AF46" s="72">
        <f t="shared" si="12"/>
        <v>0</v>
      </c>
      <c r="AG46" s="72" t="str">
        <f>IF(D46="","",_xlfn.WORKDAY.INTL(U46,-(1+P46),'Cấu hình'!$C$17,'Cấu hình'!$E$6:$E$35))</f>
        <v/>
      </c>
      <c r="AH46" s="72" t="str">
        <f t="shared" si="13"/>
        <v/>
      </c>
    </row>
    <row r="47" ht="21.75" customHeight="1">
      <c r="A47" s="41" t="str">
        <f t="shared" si="1"/>
        <v/>
      </c>
      <c r="B47" s="10"/>
      <c r="C47" s="9"/>
      <c r="D47" s="9"/>
      <c r="E47" s="10"/>
      <c r="F47" s="44"/>
      <c r="G47" s="46"/>
      <c r="H47" s="47" t="str">
        <f t="shared" si="2"/>
        <v/>
      </c>
      <c r="I47" s="44"/>
      <c r="J47" s="48"/>
      <c r="K47" s="48"/>
      <c r="L47" s="48"/>
      <c r="M47" s="49" t="str">
        <f t="shared" si="3"/>
        <v/>
      </c>
      <c r="N47" s="10"/>
      <c r="O47" s="10"/>
      <c r="P47" s="48"/>
      <c r="Q47" s="8"/>
      <c r="R47" s="42" t="str">
        <f t="array" ref="R47">IF(D47="","",_xlfn.WORKDAY.INTL(MAX('Cấu hình'!$C$15,N(Q47),IF(N47="",0,IFERROR(_xlfn.WORKDAY.INTL(INDEX($S$6:S46,MATCH(N47,$B$6:B46,0)),1+P47,'Cấu hình'!$C$17,'Cấu hình'!$E$6:$E$35),0)),IF(O47="",0,IFERROR(_xlfn.WORKDAY.INTL(INDEX($S$6:S46,MATCH(O47,$B$6:B46,0)),1+P47,'Cấu hình'!$C$17,'Cấu hình'!$E$6:$E$35),0)))-1,1,'Cấu hình'!$C$17,'Cấu hình'!$E$6:$E$35))</f>
        <v/>
      </c>
      <c r="S47" s="42" t="str">
        <f>IF(D47="","",_xlfn.WORKDAY.INTL(R47,M47-1,'Cấu hình'!$C$17,'Cấu hình'!$E$6:$E$35))</f>
        <v/>
      </c>
      <c r="T47" s="42" t="str">
        <f t="shared" si="4"/>
        <v/>
      </c>
      <c r="U47" s="42" t="str">
        <f>IF(D47="","",_xlfn.WORKDAY.INTL(T47,-(M47-1),'Cấu hình'!$C$17,'Cấu hình'!$E$6:$E$35))</f>
        <v/>
      </c>
      <c r="V47" s="49" t="str">
        <f>IF(D47="","",_xlfn.NETWORKDAYS.INTL(S47,T47,'Cấu hình'!$C$17,'Cấu hình'!$E$6:$E$35)-1)</f>
        <v/>
      </c>
      <c r="W47" s="67" t="str">
        <f t="shared" si="5"/>
        <v/>
      </c>
      <c r="X47" s="49" t="str">
        <f t="shared" si="6"/>
        <v/>
      </c>
      <c r="Y47" s="47" t="str">
        <f t="shared" si="7"/>
        <v/>
      </c>
      <c r="Z47" s="64" t="str">
        <f t="shared" si="8"/>
        <v/>
      </c>
      <c r="AA47" s="9"/>
      <c r="AC47" s="72">
        <f t="shared" si="9"/>
        <v>0</v>
      </c>
      <c r="AD47" s="72">
        <f t="shared" si="10"/>
        <v>0</v>
      </c>
      <c r="AE47" s="74">
        <f t="shared" si="11"/>
        <v>0</v>
      </c>
      <c r="AF47" s="72">
        <f t="shared" si="12"/>
        <v>0</v>
      </c>
      <c r="AG47" s="72" t="str">
        <f>IF(D47="","",_xlfn.WORKDAY.INTL(U47,-(1+P47),'Cấu hình'!$C$17,'Cấu hình'!$E$6:$E$35))</f>
        <v/>
      </c>
      <c r="AH47" s="72" t="str">
        <f t="shared" si="13"/>
        <v/>
      </c>
    </row>
    <row r="48" ht="21.75" customHeight="1">
      <c r="A48" s="41" t="str">
        <f t="shared" si="1"/>
        <v/>
      </c>
      <c r="B48" s="10"/>
      <c r="C48" s="9"/>
      <c r="D48" s="9"/>
      <c r="E48" s="10"/>
      <c r="F48" s="44"/>
      <c r="G48" s="46"/>
      <c r="H48" s="47" t="str">
        <f t="shared" si="2"/>
        <v/>
      </c>
      <c r="I48" s="44"/>
      <c r="J48" s="48"/>
      <c r="K48" s="48"/>
      <c r="L48" s="48"/>
      <c r="M48" s="49" t="str">
        <f t="shared" si="3"/>
        <v/>
      </c>
      <c r="N48" s="10"/>
      <c r="O48" s="10"/>
      <c r="P48" s="48"/>
      <c r="Q48" s="8"/>
      <c r="R48" s="42" t="str">
        <f t="array" ref="R48">IF(D48="","",_xlfn.WORKDAY.INTL(MAX('Cấu hình'!$C$15,N(Q48),IF(N48="",0,IFERROR(_xlfn.WORKDAY.INTL(INDEX($S$6:S47,MATCH(N48,$B$6:B47,0)),1+P48,'Cấu hình'!$C$17,'Cấu hình'!$E$6:$E$35),0)),IF(O48="",0,IFERROR(_xlfn.WORKDAY.INTL(INDEX($S$6:S47,MATCH(O48,$B$6:B47,0)),1+P48,'Cấu hình'!$C$17,'Cấu hình'!$E$6:$E$35),0)))-1,1,'Cấu hình'!$C$17,'Cấu hình'!$E$6:$E$35))</f>
        <v/>
      </c>
      <c r="S48" s="42" t="str">
        <f>IF(D48="","",_xlfn.WORKDAY.INTL(R48,M48-1,'Cấu hình'!$C$17,'Cấu hình'!$E$6:$E$35))</f>
        <v/>
      </c>
      <c r="T48" s="42" t="str">
        <f t="shared" si="4"/>
        <v/>
      </c>
      <c r="U48" s="42" t="str">
        <f>IF(D48="","",_xlfn.WORKDAY.INTL(T48,-(M48-1),'Cấu hình'!$C$17,'Cấu hình'!$E$6:$E$35))</f>
        <v/>
      </c>
      <c r="V48" s="49" t="str">
        <f>IF(D48="","",_xlfn.NETWORKDAYS.INTL(S48,T48,'Cấu hình'!$C$17,'Cấu hình'!$E$6:$E$35)-1)</f>
        <v/>
      </c>
      <c r="W48" s="67" t="str">
        <f t="shared" si="5"/>
        <v/>
      </c>
      <c r="X48" s="49" t="str">
        <f t="shared" si="6"/>
        <v/>
      </c>
      <c r="Y48" s="47" t="str">
        <f t="shared" si="7"/>
        <v/>
      </c>
      <c r="Z48" s="64" t="str">
        <f t="shared" si="8"/>
        <v/>
      </c>
      <c r="AA48" s="9"/>
      <c r="AC48" s="72">
        <f t="shared" si="9"/>
        <v>0</v>
      </c>
      <c r="AD48" s="72">
        <f t="shared" si="10"/>
        <v>0</v>
      </c>
      <c r="AE48" s="74">
        <f t="shared" si="11"/>
        <v>0</v>
      </c>
      <c r="AF48" s="72">
        <f t="shared" si="12"/>
        <v>0</v>
      </c>
      <c r="AG48" s="72" t="str">
        <f>IF(D48="","",_xlfn.WORKDAY.INTL(U48,-(1+P48),'Cấu hình'!$C$17,'Cấu hình'!$E$6:$E$35))</f>
        <v/>
      </c>
      <c r="AH48" s="72" t="str">
        <f t="shared" si="13"/>
        <v/>
      </c>
    </row>
    <row r="49" ht="21.75" customHeight="1">
      <c r="A49" s="41" t="str">
        <f t="shared" si="1"/>
        <v/>
      </c>
      <c r="B49" s="10"/>
      <c r="C49" s="9"/>
      <c r="D49" s="9"/>
      <c r="E49" s="10"/>
      <c r="F49" s="44"/>
      <c r="G49" s="46"/>
      <c r="H49" s="47" t="str">
        <f t="shared" si="2"/>
        <v/>
      </c>
      <c r="I49" s="44"/>
      <c r="J49" s="48"/>
      <c r="K49" s="48"/>
      <c r="L49" s="48"/>
      <c r="M49" s="49" t="str">
        <f t="shared" si="3"/>
        <v/>
      </c>
      <c r="N49" s="10"/>
      <c r="O49" s="10"/>
      <c r="P49" s="48"/>
      <c r="Q49" s="8"/>
      <c r="R49" s="42" t="str">
        <f t="array" ref="R49">IF(D49="","",_xlfn.WORKDAY.INTL(MAX('Cấu hình'!$C$15,N(Q49),IF(N49="",0,IFERROR(_xlfn.WORKDAY.INTL(INDEX($S$6:S48,MATCH(N49,$B$6:B48,0)),1+P49,'Cấu hình'!$C$17,'Cấu hình'!$E$6:$E$35),0)),IF(O49="",0,IFERROR(_xlfn.WORKDAY.INTL(INDEX($S$6:S48,MATCH(O49,$B$6:B48,0)),1+P49,'Cấu hình'!$C$17,'Cấu hình'!$E$6:$E$35),0)))-1,1,'Cấu hình'!$C$17,'Cấu hình'!$E$6:$E$35))</f>
        <v/>
      </c>
      <c r="S49" s="42" t="str">
        <f>IF(D49="","",_xlfn.WORKDAY.INTL(R49,M49-1,'Cấu hình'!$C$17,'Cấu hình'!$E$6:$E$35))</f>
        <v/>
      </c>
      <c r="T49" s="42" t="str">
        <f t="shared" si="4"/>
        <v/>
      </c>
      <c r="U49" s="42" t="str">
        <f>IF(D49="","",_xlfn.WORKDAY.INTL(T49,-(M49-1),'Cấu hình'!$C$17,'Cấu hình'!$E$6:$E$35))</f>
        <v/>
      </c>
      <c r="V49" s="49" t="str">
        <f>IF(D49="","",_xlfn.NETWORKDAYS.INTL(S49,T49,'Cấu hình'!$C$17,'Cấu hình'!$E$6:$E$35)-1)</f>
        <v/>
      </c>
      <c r="W49" s="67" t="str">
        <f t="shared" si="5"/>
        <v/>
      </c>
      <c r="X49" s="49" t="str">
        <f t="shared" si="6"/>
        <v/>
      </c>
      <c r="Y49" s="47" t="str">
        <f t="shared" si="7"/>
        <v/>
      </c>
      <c r="Z49" s="64" t="str">
        <f t="shared" si="8"/>
        <v/>
      </c>
      <c r="AA49" s="9"/>
      <c r="AC49" s="72">
        <f t="shared" si="9"/>
        <v>0</v>
      </c>
      <c r="AD49" s="72">
        <f t="shared" si="10"/>
        <v>0</v>
      </c>
      <c r="AE49" s="74">
        <f t="shared" si="11"/>
        <v>0</v>
      </c>
      <c r="AF49" s="72">
        <f t="shared" si="12"/>
        <v>0</v>
      </c>
      <c r="AG49" s="72" t="str">
        <f>IF(D49="","",_xlfn.WORKDAY.INTL(U49,-(1+P49),'Cấu hình'!$C$17,'Cấu hình'!$E$6:$E$35))</f>
        <v/>
      </c>
      <c r="AH49" s="72" t="str">
        <f t="shared" si="13"/>
        <v/>
      </c>
    </row>
    <row r="50" ht="21.75" customHeight="1">
      <c r="A50" s="41" t="str">
        <f t="shared" si="1"/>
        <v/>
      </c>
      <c r="B50" s="10"/>
      <c r="C50" s="9"/>
      <c r="D50" s="9"/>
      <c r="E50" s="10"/>
      <c r="F50" s="44"/>
      <c r="G50" s="46"/>
      <c r="H50" s="47" t="str">
        <f t="shared" si="2"/>
        <v/>
      </c>
      <c r="I50" s="44"/>
      <c r="J50" s="48"/>
      <c r="K50" s="48"/>
      <c r="L50" s="48"/>
      <c r="M50" s="49" t="str">
        <f t="shared" si="3"/>
        <v/>
      </c>
      <c r="N50" s="10"/>
      <c r="O50" s="10"/>
      <c r="P50" s="48"/>
      <c r="Q50" s="8"/>
      <c r="R50" s="42" t="str">
        <f t="array" ref="R50">IF(D50="","",_xlfn.WORKDAY.INTL(MAX('Cấu hình'!$C$15,N(Q50),IF(N50="",0,IFERROR(_xlfn.WORKDAY.INTL(INDEX($S$6:S49,MATCH(N50,$B$6:B49,0)),1+P50,'Cấu hình'!$C$17,'Cấu hình'!$E$6:$E$35),0)),IF(O50="",0,IFERROR(_xlfn.WORKDAY.INTL(INDEX($S$6:S49,MATCH(O50,$B$6:B49,0)),1+P50,'Cấu hình'!$C$17,'Cấu hình'!$E$6:$E$35),0)))-1,1,'Cấu hình'!$C$17,'Cấu hình'!$E$6:$E$35))</f>
        <v/>
      </c>
      <c r="S50" s="42" t="str">
        <f>IF(D50="","",_xlfn.WORKDAY.INTL(R50,M50-1,'Cấu hình'!$C$17,'Cấu hình'!$E$6:$E$35))</f>
        <v/>
      </c>
      <c r="T50" s="42" t="str">
        <f t="shared" si="4"/>
        <v/>
      </c>
      <c r="U50" s="42" t="str">
        <f>IF(D50="","",_xlfn.WORKDAY.INTL(T50,-(M50-1),'Cấu hình'!$C$17,'Cấu hình'!$E$6:$E$35))</f>
        <v/>
      </c>
      <c r="V50" s="49" t="str">
        <f>IF(D50="","",_xlfn.NETWORKDAYS.INTL(S50,T50,'Cấu hình'!$C$17,'Cấu hình'!$E$6:$E$35)-1)</f>
        <v/>
      </c>
      <c r="W50" s="67" t="str">
        <f t="shared" si="5"/>
        <v/>
      </c>
      <c r="X50" s="49" t="str">
        <f t="shared" si="6"/>
        <v/>
      </c>
      <c r="Y50" s="47" t="str">
        <f t="shared" si="7"/>
        <v/>
      </c>
      <c r="Z50" s="64" t="str">
        <f t="shared" si="8"/>
        <v/>
      </c>
      <c r="AA50" s="9"/>
      <c r="AC50" s="72">
        <f t="shared" si="9"/>
        <v>0</v>
      </c>
      <c r="AD50" s="72">
        <f t="shared" si="10"/>
        <v>0</v>
      </c>
      <c r="AE50" s="74">
        <f t="shared" si="11"/>
        <v>0</v>
      </c>
      <c r="AF50" s="72">
        <f t="shared" si="12"/>
        <v>0</v>
      </c>
      <c r="AG50" s="72" t="str">
        <f>IF(D50="","",_xlfn.WORKDAY.INTL(U50,-(1+P50),'Cấu hình'!$C$17,'Cấu hình'!$E$6:$E$35))</f>
        <v/>
      </c>
      <c r="AH50" s="72" t="str">
        <f t="shared" si="13"/>
        <v/>
      </c>
    </row>
    <row r="51" ht="21.75" customHeight="1">
      <c r="A51" s="41" t="str">
        <f t="shared" si="1"/>
        <v/>
      </c>
      <c r="B51" s="10"/>
      <c r="C51" s="9"/>
      <c r="D51" s="9"/>
      <c r="E51" s="10"/>
      <c r="F51" s="44"/>
      <c r="G51" s="46"/>
      <c r="H51" s="47" t="str">
        <f t="shared" si="2"/>
        <v/>
      </c>
      <c r="I51" s="44"/>
      <c r="J51" s="48"/>
      <c r="K51" s="48"/>
      <c r="L51" s="48"/>
      <c r="M51" s="49" t="str">
        <f t="shared" si="3"/>
        <v/>
      </c>
      <c r="N51" s="10"/>
      <c r="O51" s="10"/>
      <c r="P51" s="48"/>
      <c r="Q51" s="8"/>
      <c r="R51" s="42" t="str">
        <f t="array" ref="R51">IF(D51="","",_xlfn.WORKDAY.INTL(MAX('Cấu hình'!$C$15,N(Q51),IF(N51="",0,IFERROR(_xlfn.WORKDAY.INTL(INDEX($S$6:S50,MATCH(N51,$B$6:B50,0)),1+P51,'Cấu hình'!$C$17,'Cấu hình'!$E$6:$E$35),0)),IF(O51="",0,IFERROR(_xlfn.WORKDAY.INTL(INDEX($S$6:S50,MATCH(O51,$B$6:B50,0)),1+P51,'Cấu hình'!$C$17,'Cấu hình'!$E$6:$E$35),0)))-1,1,'Cấu hình'!$C$17,'Cấu hình'!$E$6:$E$35))</f>
        <v/>
      </c>
      <c r="S51" s="42" t="str">
        <f>IF(D51="","",_xlfn.WORKDAY.INTL(R51,M51-1,'Cấu hình'!$C$17,'Cấu hình'!$E$6:$E$35))</f>
        <v/>
      </c>
      <c r="T51" s="42" t="str">
        <f t="shared" si="4"/>
        <v/>
      </c>
      <c r="U51" s="42" t="str">
        <f>IF(D51="","",_xlfn.WORKDAY.INTL(T51,-(M51-1),'Cấu hình'!$C$17,'Cấu hình'!$E$6:$E$35))</f>
        <v/>
      </c>
      <c r="V51" s="49" t="str">
        <f>IF(D51="","",_xlfn.NETWORKDAYS.INTL(S51,T51,'Cấu hình'!$C$17,'Cấu hình'!$E$6:$E$35)-1)</f>
        <v/>
      </c>
      <c r="W51" s="67" t="str">
        <f t="shared" si="5"/>
        <v/>
      </c>
      <c r="X51" s="49" t="str">
        <f t="shared" si="6"/>
        <v/>
      </c>
      <c r="Y51" s="47" t="str">
        <f t="shared" si="7"/>
        <v/>
      </c>
      <c r="Z51" s="64" t="str">
        <f t="shared" si="8"/>
        <v/>
      </c>
      <c r="AA51" s="9"/>
      <c r="AC51" s="72">
        <f t="shared" si="9"/>
        <v>0</v>
      </c>
      <c r="AD51" s="72">
        <f t="shared" si="10"/>
        <v>0</v>
      </c>
      <c r="AE51" s="74">
        <f t="shared" si="11"/>
        <v>0</v>
      </c>
      <c r="AF51" s="72">
        <f t="shared" si="12"/>
        <v>0</v>
      </c>
      <c r="AG51" s="72" t="str">
        <f>IF(D51="","",_xlfn.WORKDAY.INTL(U51,-(1+P51),'Cấu hình'!$C$17,'Cấu hình'!$E$6:$E$35))</f>
        <v/>
      </c>
      <c r="AH51" s="72" t="str">
        <f t="shared" si="13"/>
        <v/>
      </c>
    </row>
    <row r="52" ht="21.75" customHeight="1">
      <c r="A52" s="41" t="str">
        <f t="shared" si="1"/>
        <v/>
      </c>
      <c r="B52" s="10"/>
      <c r="C52" s="9"/>
      <c r="D52" s="9"/>
      <c r="E52" s="10"/>
      <c r="F52" s="44"/>
      <c r="G52" s="46"/>
      <c r="H52" s="47" t="str">
        <f t="shared" si="2"/>
        <v/>
      </c>
      <c r="I52" s="44"/>
      <c r="J52" s="48"/>
      <c r="K52" s="48"/>
      <c r="L52" s="48"/>
      <c r="M52" s="49" t="str">
        <f t="shared" si="3"/>
        <v/>
      </c>
      <c r="N52" s="10"/>
      <c r="O52" s="10"/>
      <c r="P52" s="48"/>
      <c r="Q52" s="8"/>
      <c r="R52" s="42" t="str">
        <f t="array" ref="R52">IF(D52="","",_xlfn.WORKDAY.INTL(MAX('Cấu hình'!$C$15,N(Q52),IF(N52="",0,IFERROR(_xlfn.WORKDAY.INTL(INDEX($S$6:S51,MATCH(N52,$B$6:B51,0)),1+P52,'Cấu hình'!$C$17,'Cấu hình'!$E$6:$E$35),0)),IF(O52="",0,IFERROR(_xlfn.WORKDAY.INTL(INDEX($S$6:S51,MATCH(O52,$B$6:B51,0)),1+P52,'Cấu hình'!$C$17,'Cấu hình'!$E$6:$E$35),0)))-1,1,'Cấu hình'!$C$17,'Cấu hình'!$E$6:$E$35))</f>
        <v/>
      </c>
      <c r="S52" s="42" t="str">
        <f>IF(D52="","",_xlfn.WORKDAY.INTL(R52,M52-1,'Cấu hình'!$C$17,'Cấu hình'!$E$6:$E$35))</f>
        <v/>
      </c>
      <c r="T52" s="42" t="str">
        <f t="shared" si="4"/>
        <v/>
      </c>
      <c r="U52" s="42" t="str">
        <f>IF(D52="","",_xlfn.WORKDAY.INTL(T52,-(M52-1),'Cấu hình'!$C$17,'Cấu hình'!$E$6:$E$35))</f>
        <v/>
      </c>
      <c r="V52" s="49" t="str">
        <f>IF(D52="","",_xlfn.NETWORKDAYS.INTL(S52,T52,'Cấu hình'!$C$17,'Cấu hình'!$E$6:$E$35)-1)</f>
        <v/>
      </c>
      <c r="W52" s="67" t="str">
        <f t="shared" si="5"/>
        <v/>
      </c>
      <c r="X52" s="49" t="str">
        <f t="shared" si="6"/>
        <v/>
      </c>
      <c r="Y52" s="47" t="str">
        <f t="shared" si="7"/>
        <v/>
      </c>
      <c r="Z52" s="64" t="str">
        <f t="shared" si="8"/>
        <v/>
      </c>
      <c r="AA52" s="9"/>
      <c r="AC52" s="72">
        <f t="shared" si="9"/>
        <v>0</v>
      </c>
      <c r="AD52" s="72">
        <f t="shared" si="10"/>
        <v>0</v>
      </c>
      <c r="AE52" s="74">
        <f t="shared" si="11"/>
        <v>0</v>
      </c>
      <c r="AF52" s="72">
        <f t="shared" si="12"/>
        <v>0</v>
      </c>
      <c r="AG52" s="72" t="str">
        <f>IF(D52="","",_xlfn.WORKDAY.INTL(U52,-(1+P52),'Cấu hình'!$C$17,'Cấu hình'!$E$6:$E$35))</f>
        <v/>
      </c>
      <c r="AH52" s="72" t="str">
        <f t="shared" si="13"/>
        <v/>
      </c>
    </row>
    <row r="53" ht="21.75" customHeight="1">
      <c r="A53" s="41" t="str">
        <f t="shared" si="1"/>
        <v/>
      </c>
      <c r="B53" s="10"/>
      <c r="C53" s="9"/>
      <c r="D53" s="9"/>
      <c r="E53" s="10"/>
      <c r="F53" s="44"/>
      <c r="G53" s="46"/>
      <c r="H53" s="47" t="str">
        <f t="shared" si="2"/>
        <v/>
      </c>
      <c r="I53" s="44"/>
      <c r="J53" s="48"/>
      <c r="K53" s="48"/>
      <c r="L53" s="48"/>
      <c r="M53" s="49" t="str">
        <f t="shared" si="3"/>
        <v/>
      </c>
      <c r="N53" s="10"/>
      <c r="O53" s="10"/>
      <c r="P53" s="48"/>
      <c r="Q53" s="8"/>
      <c r="R53" s="42" t="str">
        <f t="array" ref="R53">IF(D53="","",_xlfn.WORKDAY.INTL(MAX('Cấu hình'!$C$15,N(Q53),IF(N53="",0,IFERROR(_xlfn.WORKDAY.INTL(INDEX($S$6:S52,MATCH(N53,$B$6:B52,0)),1+P53,'Cấu hình'!$C$17,'Cấu hình'!$E$6:$E$35),0)),IF(O53="",0,IFERROR(_xlfn.WORKDAY.INTL(INDEX($S$6:S52,MATCH(O53,$B$6:B52,0)),1+P53,'Cấu hình'!$C$17,'Cấu hình'!$E$6:$E$35),0)))-1,1,'Cấu hình'!$C$17,'Cấu hình'!$E$6:$E$35))</f>
        <v/>
      </c>
      <c r="S53" s="42" t="str">
        <f>IF(D53="","",_xlfn.WORKDAY.INTL(R53,M53-1,'Cấu hình'!$C$17,'Cấu hình'!$E$6:$E$35))</f>
        <v/>
      </c>
      <c r="T53" s="42" t="str">
        <f t="shared" si="4"/>
        <v/>
      </c>
      <c r="U53" s="42" t="str">
        <f>IF(D53="","",_xlfn.WORKDAY.INTL(T53,-(M53-1),'Cấu hình'!$C$17,'Cấu hình'!$E$6:$E$35))</f>
        <v/>
      </c>
      <c r="V53" s="49" t="str">
        <f>IF(D53="","",_xlfn.NETWORKDAYS.INTL(S53,T53,'Cấu hình'!$C$17,'Cấu hình'!$E$6:$E$35)-1)</f>
        <v/>
      </c>
      <c r="W53" s="67" t="str">
        <f t="shared" si="5"/>
        <v/>
      </c>
      <c r="X53" s="49" t="str">
        <f t="shared" si="6"/>
        <v/>
      </c>
      <c r="Y53" s="47" t="str">
        <f t="shared" si="7"/>
        <v/>
      </c>
      <c r="Z53" s="64" t="str">
        <f t="shared" si="8"/>
        <v/>
      </c>
      <c r="AA53" s="9"/>
      <c r="AC53" s="72">
        <f t="shared" si="9"/>
        <v>0</v>
      </c>
      <c r="AD53" s="72">
        <f t="shared" si="10"/>
        <v>0</v>
      </c>
      <c r="AE53" s="74">
        <f t="shared" si="11"/>
        <v>0</v>
      </c>
      <c r="AF53" s="72">
        <f t="shared" si="12"/>
        <v>0</v>
      </c>
      <c r="AG53" s="72" t="str">
        <f>IF(D53="","",_xlfn.WORKDAY.INTL(U53,-(1+P53),'Cấu hình'!$C$17,'Cấu hình'!$E$6:$E$35))</f>
        <v/>
      </c>
      <c r="AH53" s="72" t="str">
        <f t="shared" si="13"/>
        <v/>
      </c>
    </row>
    <row r="54" ht="21.75" customHeight="1">
      <c r="A54" s="41" t="str">
        <f t="shared" si="1"/>
        <v/>
      </c>
      <c r="B54" s="10"/>
      <c r="C54" s="9"/>
      <c r="D54" s="9"/>
      <c r="E54" s="10"/>
      <c r="F54" s="44"/>
      <c r="G54" s="46"/>
      <c r="H54" s="47" t="str">
        <f t="shared" si="2"/>
        <v/>
      </c>
      <c r="I54" s="44"/>
      <c r="J54" s="48"/>
      <c r="K54" s="48"/>
      <c r="L54" s="48"/>
      <c r="M54" s="49" t="str">
        <f t="shared" si="3"/>
        <v/>
      </c>
      <c r="N54" s="10"/>
      <c r="O54" s="10"/>
      <c r="P54" s="48"/>
      <c r="Q54" s="8"/>
      <c r="R54" s="42" t="str">
        <f t="array" ref="R54">IF(D54="","",_xlfn.WORKDAY.INTL(MAX('Cấu hình'!$C$15,N(Q54),IF(N54="",0,IFERROR(_xlfn.WORKDAY.INTL(INDEX($S$6:S53,MATCH(N54,$B$6:B53,0)),1+P54,'Cấu hình'!$C$17,'Cấu hình'!$E$6:$E$35),0)),IF(O54="",0,IFERROR(_xlfn.WORKDAY.INTL(INDEX($S$6:S53,MATCH(O54,$B$6:B53,0)),1+P54,'Cấu hình'!$C$17,'Cấu hình'!$E$6:$E$35),0)))-1,1,'Cấu hình'!$C$17,'Cấu hình'!$E$6:$E$35))</f>
        <v/>
      </c>
      <c r="S54" s="42" t="str">
        <f>IF(D54="","",_xlfn.WORKDAY.INTL(R54,M54-1,'Cấu hình'!$C$17,'Cấu hình'!$E$6:$E$35))</f>
        <v/>
      </c>
      <c r="T54" s="42" t="str">
        <f t="shared" si="4"/>
        <v/>
      </c>
      <c r="U54" s="42" t="str">
        <f>IF(D54="","",_xlfn.WORKDAY.INTL(T54,-(M54-1),'Cấu hình'!$C$17,'Cấu hình'!$E$6:$E$35))</f>
        <v/>
      </c>
      <c r="V54" s="49" t="str">
        <f>IF(D54="","",_xlfn.NETWORKDAYS.INTL(S54,T54,'Cấu hình'!$C$17,'Cấu hình'!$E$6:$E$35)-1)</f>
        <v/>
      </c>
      <c r="W54" s="67" t="str">
        <f t="shared" si="5"/>
        <v/>
      </c>
      <c r="X54" s="49" t="str">
        <f t="shared" si="6"/>
        <v/>
      </c>
      <c r="Y54" s="47" t="str">
        <f t="shared" si="7"/>
        <v/>
      </c>
      <c r="Z54" s="64" t="str">
        <f t="shared" si="8"/>
        <v/>
      </c>
      <c r="AA54" s="9"/>
      <c r="AC54" s="72">
        <f t="shared" si="9"/>
        <v>0</v>
      </c>
      <c r="AD54" s="72">
        <f t="shared" si="10"/>
        <v>0</v>
      </c>
      <c r="AE54" s="74">
        <f t="shared" si="11"/>
        <v>0</v>
      </c>
      <c r="AF54" s="72">
        <f t="shared" si="12"/>
        <v>0</v>
      </c>
      <c r="AG54" s="72" t="str">
        <f>IF(D54="","",_xlfn.WORKDAY.INTL(U54,-(1+P54),'Cấu hình'!$C$17,'Cấu hình'!$E$6:$E$35))</f>
        <v/>
      </c>
      <c r="AH54" s="72" t="str">
        <f t="shared" si="13"/>
        <v/>
      </c>
    </row>
    <row r="55" ht="21.75" customHeight="1">
      <c r="A55" s="41" t="str">
        <f t="shared" si="1"/>
        <v/>
      </c>
      <c r="B55" s="10"/>
      <c r="C55" s="9"/>
      <c r="D55" s="9"/>
      <c r="E55" s="10"/>
      <c r="F55" s="44"/>
      <c r="G55" s="46"/>
      <c r="H55" s="47" t="str">
        <f t="shared" si="2"/>
        <v/>
      </c>
      <c r="I55" s="44"/>
      <c r="J55" s="48"/>
      <c r="K55" s="48"/>
      <c r="L55" s="48"/>
      <c r="M55" s="49" t="str">
        <f t="shared" si="3"/>
        <v/>
      </c>
      <c r="N55" s="10"/>
      <c r="O55" s="10"/>
      <c r="P55" s="48"/>
      <c r="Q55" s="8"/>
      <c r="R55" s="42" t="str">
        <f t="array" ref="R55">IF(D55="","",_xlfn.WORKDAY.INTL(MAX('Cấu hình'!$C$15,N(Q55),IF(N55="",0,IFERROR(_xlfn.WORKDAY.INTL(INDEX($S$6:S54,MATCH(N55,$B$6:B54,0)),1+P55,'Cấu hình'!$C$17,'Cấu hình'!$E$6:$E$35),0)),IF(O55="",0,IFERROR(_xlfn.WORKDAY.INTL(INDEX($S$6:S54,MATCH(O55,$B$6:B54,0)),1+P55,'Cấu hình'!$C$17,'Cấu hình'!$E$6:$E$35),0)))-1,1,'Cấu hình'!$C$17,'Cấu hình'!$E$6:$E$35))</f>
        <v/>
      </c>
      <c r="S55" s="42" t="str">
        <f>IF(D55="","",_xlfn.WORKDAY.INTL(R55,M55-1,'Cấu hình'!$C$17,'Cấu hình'!$E$6:$E$35))</f>
        <v/>
      </c>
      <c r="T55" s="42" t="str">
        <f t="shared" si="4"/>
        <v/>
      </c>
      <c r="U55" s="42" t="str">
        <f>IF(D55="","",_xlfn.WORKDAY.INTL(T55,-(M55-1),'Cấu hình'!$C$17,'Cấu hình'!$E$6:$E$35))</f>
        <v/>
      </c>
      <c r="V55" s="49" t="str">
        <f>IF(D55="","",_xlfn.NETWORKDAYS.INTL(S55,T55,'Cấu hình'!$C$17,'Cấu hình'!$E$6:$E$35)-1)</f>
        <v/>
      </c>
      <c r="W55" s="67" t="str">
        <f t="shared" si="5"/>
        <v/>
      </c>
      <c r="X55" s="49" t="str">
        <f t="shared" si="6"/>
        <v/>
      </c>
      <c r="Y55" s="47" t="str">
        <f t="shared" si="7"/>
        <v/>
      </c>
      <c r="Z55" s="64" t="str">
        <f t="shared" si="8"/>
        <v/>
      </c>
      <c r="AA55" s="9"/>
      <c r="AC55" s="72">
        <f t="shared" si="9"/>
        <v>0</v>
      </c>
      <c r="AD55" s="72">
        <f t="shared" si="10"/>
        <v>0</v>
      </c>
      <c r="AE55" s="74">
        <f t="shared" si="11"/>
        <v>0</v>
      </c>
      <c r="AF55" s="72">
        <f t="shared" si="12"/>
        <v>0</v>
      </c>
      <c r="AG55" s="72" t="str">
        <f>IF(D55="","",_xlfn.WORKDAY.INTL(U55,-(1+P55),'Cấu hình'!$C$17,'Cấu hình'!$E$6:$E$35))</f>
        <v/>
      </c>
      <c r="AH55" s="72" t="str">
        <f t="shared" si="13"/>
        <v/>
      </c>
    </row>
    <row r="56" ht="21.75" customHeight="1">
      <c r="A56" s="41" t="str">
        <f t="shared" si="1"/>
        <v/>
      </c>
      <c r="B56" s="10"/>
      <c r="C56" s="9"/>
      <c r="D56" s="9"/>
      <c r="E56" s="10"/>
      <c r="F56" s="44"/>
      <c r="G56" s="46"/>
      <c r="H56" s="47" t="str">
        <f t="shared" si="2"/>
        <v/>
      </c>
      <c r="I56" s="44"/>
      <c r="J56" s="48"/>
      <c r="K56" s="48"/>
      <c r="L56" s="48"/>
      <c r="M56" s="49" t="str">
        <f t="shared" si="3"/>
        <v/>
      </c>
      <c r="N56" s="10"/>
      <c r="O56" s="10"/>
      <c r="P56" s="48"/>
      <c r="Q56" s="8"/>
      <c r="R56" s="42" t="str">
        <f t="array" ref="R56">IF(D56="","",_xlfn.WORKDAY.INTL(MAX('Cấu hình'!$C$15,N(Q56),IF(N56="",0,IFERROR(_xlfn.WORKDAY.INTL(INDEX($S$6:S55,MATCH(N56,$B$6:B55,0)),1+P56,'Cấu hình'!$C$17,'Cấu hình'!$E$6:$E$35),0)),IF(O56="",0,IFERROR(_xlfn.WORKDAY.INTL(INDEX($S$6:S55,MATCH(O56,$B$6:B55,0)),1+P56,'Cấu hình'!$C$17,'Cấu hình'!$E$6:$E$35),0)))-1,1,'Cấu hình'!$C$17,'Cấu hình'!$E$6:$E$35))</f>
        <v/>
      </c>
      <c r="S56" s="42" t="str">
        <f>IF(D56="","",_xlfn.WORKDAY.INTL(R56,M56-1,'Cấu hình'!$C$17,'Cấu hình'!$E$6:$E$35))</f>
        <v/>
      </c>
      <c r="T56" s="42" t="str">
        <f t="shared" si="4"/>
        <v/>
      </c>
      <c r="U56" s="42" t="str">
        <f>IF(D56="","",_xlfn.WORKDAY.INTL(T56,-(M56-1),'Cấu hình'!$C$17,'Cấu hình'!$E$6:$E$35))</f>
        <v/>
      </c>
      <c r="V56" s="49" t="str">
        <f>IF(D56="","",_xlfn.NETWORKDAYS.INTL(S56,T56,'Cấu hình'!$C$17,'Cấu hình'!$E$6:$E$35)-1)</f>
        <v/>
      </c>
      <c r="W56" s="67" t="str">
        <f t="shared" si="5"/>
        <v/>
      </c>
      <c r="X56" s="49" t="str">
        <f t="shared" si="6"/>
        <v/>
      </c>
      <c r="Y56" s="47" t="str">
        <f t="shared" si="7"/>
        <v/>
      </c>
      <c r="Z56" s="64" t="str">
        <f t="shared" si="8"/>
        <v/>
      </c>
      <c r="AA56" s="9"/>
      <c r="AC56" s="72">
        <f t="shared" si="9"/>
        <v>0</v>
      </c>
      <c r="AD56" s="72">
        <f t="shared" si="10"/>
        <v>0</v>
      </c>
      <c r="AE56" s="74">
        <f t="shared" si="11"/>
        <v>0</v>
      </c>
      <c r="AF56" s="72">
        <f t="shared" si="12"/>
        <v>0</v>
      </c>
      <c r="AG56" s="72" t="str">
        <f>IF(D56="","",_xlfn.WORKDAY.INTL(U56,-(1+P56),'Cấu hình'!$C$17,'Cấu hình'!$E$6:$E$35))</f>
        <v/>
      </c>
      <c r="AH56" s="72" t="str">
        <f t="shared" si="13"/>
        <v/>
      </c>
    </row>
    <row r="57" ht="21.75" customHeight="1">
      <c r="A57" s="41" t="str">
        <f t="shared" si="1"/>
        <v/>
      </c>
      <c r="B57" s="10"/>
      <c r="C57" s="9"/>
      <c r="D57" s="9"/>
      <c r="E57" s="10"/>
      <c r="F57" s="44"/>
      <c r="G57" s="46"/>
      <c r="H57" s="47" t="str">
        <f t="shared" si="2"/>
        <v/>
      </c>
      <c r="I57" s="44"/>
      <c r="J57" s="48"/>
      <c r="K57" s="48"/>
      <c r="L57" s="48"/>
      <c r="M57" s="49" t="str">
        <f t="shared" si="3"/>
        <v/>
      </c>
      <c r="N57" s="10"/>
      <c r="O57" s="10"/>
      <c r="P57" s="48"/>
      <c r="Q57" s="8"/>
      <c r="R57" s="42" t="str">
        <f t="array" ref="R57">IF(D57="","",_xlfn.WORKDAY.INTL(MAX('Cấu hình'!$C$15,N(Q57),IF(N57="",0,IFERROR(_xlfn.WORKDAY.INTL(INDEX($S$6:S56,MATCH(N57,$B$6:B56,0)),1+P57,'Cấu hình'!$C$17,'Cấu hình'!$E$6:$E$35),0)),IF(O57="",0,IFERROR(_xlfn.WORKDAY.INTL(INDEX($S$6:S56,MATCH(O57,$B$6:B56,0)),1+P57,'Cấu hình'!$C$17,'Cấu hình'!$E$6:$E$35),0)))-1,1,'Cấu hình'!$C$17,'Cấu hình'!$E$6:$E$35))</f>
        <v/>
      </c>
      <c r="S57" s="42" t="str">
        <f>IF(D57="","",_xlfn.WORKDAY.INTL(R57,M57-1,'Cấu hình'!$C$17,'Cấu hình'!$E$6:$E$35))</f>
        <v/>
      </c>
      <c r="T57" s="42" t="str">
        <f t="shared" si="4"/>
        <v/>
      </c>
      <c r="U57" s="42" t="str">
        <f>IF(D57="","",_xlfn.WORKDAY.INTL(T57,-(M57-1),'Cấu hình'!$C$17,'Cấu hình'!$E$6:$E$35))</f>
        <v/>
      </c>
      <c r="V57" s="49" t="str">
        <f>IF(D57="","",_xlfn.NETWORKDAYS.INTL(S57,T57,'Cấu hình'!$C$17,'Cấu hình'!$E$6:$E$35)-1)</f>
        <v/>
      </c>
      <c r="W57" s="67" t="str">
        <f t="shared" si="5"/>
        <v/>
      </c>
      <c r="X57" s="49" t="str">
        <f t="shared" si="6"/>
        <v/>
      </c>
      <c r="Y57" s="47" t="str">
        <f t="shared" si="7"/>
        <v/>
      </c>
      <c r="Z57" s="64" t="str">
        <f t="shared" si="8"/>
        <v/>
      </c>
      <c r="AA57" s="9"/>
      <c r="AC57" s="72">
        <f t="shared" si="9"/>
        <v>0</v>
      </c>
      <c r="AD57" s="72">
        <f t="shared" si="10"/>
        <v>0</v>
      </c>
      <c r="AE57" s="74">
        <f t="shared" si="11"/>
        <v>0</v>
      </c>
      <c r="AF57" s="72">
        <f t="shared" si="12"/>
        <v>0</v>
      </c>
      <c r="AG57" s="72" t="str">
        <f>IF(D57="","",_xlfn.WORKDAY.INTL(U57,-(1+P57),'Cấu hình'!$C$17,'Cấu hình'!$E$6:$E$35))</f>
        <v/>
      </c>
      <c r="AH57" s="72" t="str">
        <f t="shared" si="13"/>
        <v/>
      </c>
    </row>
    <row r="58" ht="21.75" customHeight="1">
      <c r="A58" s="41" t="str">
        <f t="shared" si="1"/>
        <v/>
      </c>
      <c r="B58" s="10"/>
      <c r="C58" s="9"/>
      <c r="D58" s="9"/>
      <c r="E58" s="10"/>
      <c r="F58" s="44"/>
      <c r="G58" s="46"/>
      <c r="H58" s="47" t="str">
        <f t="shared" si="2"/>
        <v/>
      </c>
      <c r="I58" s="44"/>
      <c r="J58" s="48"/>
      <c r="K58" s="48"/>
      <c r="L58" s="48"/>
      <c r="M58" s="49" t="str">
        <f t="shared" si="3"/>
        <v/>
      </c>
      <c r="N58" s="10"/>
      <c r="O58" s="10"/>
      <c r="P58" s="48"/>
      <c r="Q58" s="8"/>
      <c r="R58" s="42" t="str">
        <f t="array" ref="R58">IF(D58="","",_xlfn.WORKDAY.INTL(MAX('Cấu hình'!$C$15,N(Q58),IF(N58="",0,IFERROR(_xlfn.WORKDAY.INTL(INDEX($S$6:S57,MATCH(N58,$B$6:B57,0)),1+P58,'Cấu hình'!$C$17,'Cấu hình'!$E$6:$E$35),0)),IF(O58="",0,IFERROR(_xlfn.WORKDAY.INTL(INDEX($S$6:S57,MATCH(O58,$B$6:B57,0)),1+P58,'Cấu hình'!$C$17,'Cấu hình'!$E$6:$E$35),0)))-1,1,'Cấu hình'!$C$17,'Cấu hình'!$E$6:$E$35))</f>
        <v/>
      </c>
      <c r="S58" s="42" t="str">
        <f>IF(D58="","",_xlfn.WORKDAY.INTL(R58,M58-1,'Cấu hình'!$C$17,'Cấu hình'!$E$6:$E$35))</f>
        <v/>
      </c>
      <c r="T58" s="42" t="str">
        <f t="shared" si="4"/>
        <v/>
      </c>
      <c r="U58" s="42" t="str">
        <f>IF(D58="","",_xlfn.WORKDAY.INTL(T58,-(M58-1),'Cấu hình'!$C$17,'Cấu hình'!$E$6:$E$35))</f>
        <v/>
      </c>
      <c r="V58" s="49" t="str">
        <f>IF(D58="","",_xlfn.NETWORKDAYS.INTL(S58,T58,'Cấu hình'!$C$17,'Cấu hình'!$E$6:$E$35)-1)</f>
        <v/>
      </c>
      <c r="W58" s="67" t="str">
        <f t="shared" si="5"/>
        <v/>
      </c>
      <c r="X58" s="49" t="str">
        <f t="shared" si="6"/>
        <v/>
      </c>
      <c r="Y58" s="47" t="str">
        <f t="shared" si="7"/>
        <v/>
      </c>
      <c r="Z58" s="64" t="str">
        <f t="shared" si="8"/>
        <v/>
      </c>
      <c r="AA58" s="9"/>
      <c r="AC58" s="72">
        <f t="shared" si="9"/>
        <v>0</v>
      </c>
      <c r="AD58" s="72">
        <f t="shared" si="10"/>
        <v>0</v>
      </c>
      <c r="AE58" s="74">
        <f t="shared" si="11"/>
        <v>0</v>
      </c>
      <c r="AF58" s="72">
        <f t="shared" si="12"/>
        <v>0</v>
      </c>
      <c r="AG58" s="72" t="str">
        <f>IF(D58="","",_xlfn.WORKDAY.INTL(U58,-(1+P58),'Cấu hình'!$C$17,'Cấu hình'!$E$6:$E$35))</f>
        <v/>
      </c>
      <c r="AH58" s="72" t="str">
        <f t="shared" si="13"/>
        <v/>
      </c>
    </row>
    <row r="59" ht="21.75" customHeight="1">
      <c r="A59" s="41" t="str">
        <f t="shared" si="1"/>
        <v/>
      </c>
      <c r="B59" s="10"/>
      <c r="C59" s="9"/>
      <c r="D59" s="9"/>
      <c r="E59" s="10"/>
      <c r="F59" s="44"/>
      <c r="G59" s="46"/>
      <c r="H59" s="47" t="str">
        <f t="shared" si="2"/>
        <v/>
      </c>
      <c r="I59" s="44"/>
      <c r="J59" s="48"/>
      <c r="K59" s="48"/>
      <c r="L59" s="48"/>
      <c r="M59" s="49" t="str">
        <f t="shared" si="3"/>
        <v/>
      </c>
      <c r="N59" s="10"/>
      <c r="O59" s="10"/>
      <c r="P59" s="48"/>
      <c r="Q59" s="8"/>
      <c r="R59" s="42" t="str">
        <f t="array" ref="R59">IF(D59="","",_xlfn.WORKDAY.INTL(MAX('Cấu hình'!$C$15,N(Q59),IF(N59="",0,IFERROR(_xlfn.WORKDAY.INTL(INDEX($S$6:S58,MATCH(N59,$B$6:B58,0)),1+P59,'Cấu hình'!$C$17,'Cấu hình'!$E$6:$E$35),0)),IF(O59="",0,IFERROR(_xlfn.WORKDAY.INTL(INDEX($S$6:S58,MATCH(O59,$B$6:B58,0)),1+P59,'Cấu hình'!$C$17,'Cấu hình'!$E$6:$E$35),0)))-1,1,'Cấu hình'!$C$17,'Cấu hình'!$E$6:$E$35))</f>
        <v/>
      </c>
      <c r="S59" s="42" t="str">
        <f>IF(D59="","",_xlfn.WORKDAY.INTL(R59,M59-1,'Cấu hình'!$C$17,'Cấu hình'!$E$6:$E$35))</f>
        <v/>
      </c>
      <c r="T59" s="42" t="str">
        <f t="shared" si="4"/>
        <v/>
      </c>
      <c r="U59" s="42" t="str">
        <f>IF(D59="","",_xlfn.WORKDAY.INTL(T59,-(M59-1),'Cấu hình'!$C$17,'Cấu hình'!$E$6:$E$35))</f>
        <v/>
      </c>
      <c r="V59" s="49" t="str">
        <f>IF(D59="","",_xlfn.NETWORKDAYS.INTL(S59,T59,'Cấu hình'!$C$17,'Cấu hình'!$E$6:$E$35)-1)</f>
        <v/>
      </c>
      <c r="W59" s="67" t="str">
        <f t="shared" si="5"/>
        <v/>
      </c>
      <c r="X59" s="49" t="str">
        <f t="shared" si="6"/>
        <v/>
      </c>
      <c r="Y59" s="47" t="str">
        <f t="shared" si="7"/>
        <v/>
      </c>
      <c r="Z59" s="64" t="str">
        <f t="shared" si="8"/>
        <v/>
      </c>
      <c r="AA59" s="9"/>
      <c r="AC59" s="72">
        <f t="shared" si="9"/>
        <v>0</v>
      </c>
      <c r="AD59" s="72">
        <f t="shared" si="10"/>
        <v>0</v>
      </c>
      <c r="AE59" s="74">
        <f t="shared" si="11"/>
        <v>0</v>
      </c>
      <c r="AF59" s="72">
        <f t="shared" si="12"/>
        <v>0</v>
      </c>
      <c r="AG59" s="72" t="str">
        <f>IF(D59="","",_xlfn.WORKDAY.INTL(U59,-(1+P59),'Cấu hình'!$C$17,'Cấu hình'!$E$6:$E$35))</f>
        <v/>
      </c>
      <c r="AH59" s="72" t="str">
        <f t="shared" si="13"/>
        <v/>
      </c>
    </row>
    <row r="60" ht="21.75" customHeight="1">
      <c r="A60" s="41" t="str">
        <f t="shared" si="1"/>
        <v/>
      </c>
      <c r="B60" s="10"/>
      <c r="C60" s="9"/>
      <c r="D60" s="9"/>
      <c r="E60" s="10"/>
      <c r="F60" s="44"/>
      <c r="G60" s="46"/>
      <c r="H60" s="47" t="str">
        <f t="shared" si="2"/>
        <v/>
      </c>
      <c r="I60" s="44"/>
      <c r="J60" s="48"/>
      <c r="K60" s="48"/>
      <c r="L60" s="48"/>
      <c r="M60" s="49" t="str">
        <f t="shared" si="3"/>
        <v/>
      </c>
      <c r="N60" s="10"/>
      <c r="O60" s="10"/>
      <c r="P60" s="48"/>
      <c r="Q60" s="8"/>
      <c r="R60" s="42" t="str">
        <f t="array" ref="R60">IF(D60="","",_xlfn.WORKDAY.INTL(MAX('Cấu hình'!$C$15,N(Q60),IF(N60="",0,IFERROR(_xlfn.WORKDAY.INTL(INDEX($S$6:S59,MATCH(N60,$B$6:B59,0)),1+P60,'Cấu hình'!$C$17,'Cấu hình'!$E$6:$E$35),0)),IF(O60="",0,IFERROR(_xlfn.WORKDAY.INTL(INDEX($S$6:S59,MATCH(O60,$B$6:B59,0)),1+P60,'Cấu hình'!$C$17,'Cấu hình'!$E$6:$E$35),0)))-1,1,'Cấu hình'!$C$17,'Cấu hình'!$E$6:$E$35))</f>
        <v/>
      </c>
      <c r="S60" s="42" t="str">
        <f>IF(D60="","",_xlfn.WORKDAY.INTL(R60,M60-1,'Cấu hình'!$C$17,'Cấu hình'!$E$6:$E$35))</f>
        <v/>
      </c>
      <c r="T60" s="42" t="str">
        <f t="shared" si="4"/>
        <v/>
      </c>
      <c r="U60" s="42" t="str">
        <f>IF(D60="","",_xlfn.WORKDAY.INTL(T60,-(M60-1),'Cấu hình'!$C$17,'Cấu hình'!$E$6:$E$35))</f>
        <v/>
      </c>
      <c r="V60" s="49" t="str">
        <f>IF(D60="","",_xlfn.NETWORKDAYS.INTL(S60,T60,'Cấu hình'!$C$17,'Cấu hình'!$E$6:$E$35)-1)</f>
        <v/>
      </c>
      <c r="W60" s="67" t="str">
        <f t="shared" si="5"/>
        <v/>
      </c>
      <c r="X60" s="49" t="str">
        <f t="shared" si="6"/>
        <v/>
      </c>
      <c r="Y60" s="47" t="str">
        <f t="shared" si="7"/>
        <v/>
      </c>
      <c r="Z60" s="64" t="str">
        <f t="shared" si="8"/>
        <v/>
      </c>
      <c r="AA60" s="9"/>
      <c r="AC60" s="72">
        <f t="shared" si="9"/>
        <v>0</v>
      </c>
      <c r="AD60" s="72">
        <f t="shared" si="10"/>
        <v>0</v>
      </c>
      <c r="AE60" s="74">
        <f t="shared" si="11"/>
        <v>0</v>
      </c>
      <c r="AF60" s="72">
        <f t="shared" si="12"/>
        <v>0</v>
      </c>
      <c r="AG60" s="72" t="str">
        <f>IF(D60="","",_xlfn.WORKDAY.INTL(U60,-(1+P60),'Cấu hình'!$C$17,'Cấu hình'!$E$6:$E$35))</f>
        <v/>
      </c>
      <c r="AH60" s="72" t="str">
        <f t="shared" si="13"/>
        <v/>
      </c>
    </row>
    <row r="61" ht="21.75" customHeight="1">
      <c r="A61" s="41" t="str">
        <f t="shared" si="1"/>
        <v/>
      </c>
      <c r="B61" s="10"/>
      <c r="C61" s="9"/>
      <c r="D61" s="9"/>
      <c r="E61" s="10"/>
      <c r="F61" s="44"/>
      <c r="G61" s="46"/>
      <c r="H61" s="47" t="str">
        <f t="shared" si="2"/>
        <v/>
      </c>
      <c r="I61" s="44"/>
      <c r="J61" s="48"/>
      <c r="K61" s="48"/>
      <c r="L61" s="48"/>
      <c r="M61" s="49" t="str">
        <f t="shared" si="3"/>
        <v/>
      </c>
      <c r="N61" s="10"/>
      <c r="O61" s="10"/>
      <c r="P61" s="48"/>
      <c r="Q61" s="8"/>
      <c r="R61" s="42" t="str">
        <f t="array" ref="R61">IF(D61="","",_xlfn.WORKDAY.INTL(MAX('Cấu hình'!$C$15,N(Q61),IF(N61="",0,IFERROR(_xlfn.WORKDAY.INTL(INDEX($S$6:S60,MATCH(N61,$B$6:B60,0)),1+P61,'Cấu hình'!$C$17,'Cấu hình'!$E$6:$E$35),0)),IF(O61="",0,IFERROR(_xlfn.WORKDAY.INTL(INDEX($S$6:S60,MATCH(O61,$B$6:B60,0)),1+P61,'Cấu hình'!$C$17,'Cấu hình'!$E$6:$E$35),0)))-1,1,'Cấu hình'!$C$17,'Cấu hình'!$E$6:$E$35))</f>
        <v/>
      </c>
      <c r="S61" s="42" t="str">
        <f>IF(D61="","",_xlfn.WORKDAY.INTL(R61,M61-1,'Cấu hình'!$C$17,'Cấu hình'!$E$6:$E$35))</f>
        <v/>
      </c>
      <c r="T61" s="42" t="str">
        <f t="shared" si="4"/>
        <v/>
      </c>
      <c r="U61" s="42" t="str">
        <f>IF(D61="","",_xlfn.WORKDAY.INTL(T61,-(M61-1),'Cấu hình'!$C$17,'Cấu hình'!$E$6:$E$35))</f>
        <v/>
      </c>
      <c r="V61" s="49" t="str">
        <f>IF(D61="","",_xlfn.NETWORKDAYS.INTL(S61,T61,'Cấu hình'!$C$17,'Cấu hình'!$E$6:$E$35)-1)</f>
        <v/>
      </c>
      <c r="W61" s="67" t="str">
        <f t="shared" si="5"/>
        <v/>
      </c>
      <c r="X61" s="49" t="str">
        <f t="shared" si="6"/>
        <v/>
      </c>
      <c r="Y61" s="47" t="str">
        <f t="shared" si="7"/>
        <v/>
      </c>
      <c r="Z61" s="64" t="str">
        <f t="shared" si="8"/>
        <v/>
      </c>
      <c r="AA61" s="9"/>
      <c r="AC61" s="72">
        <f t="shared" si="9"/>
        <v>0</v>
      </c>
      <c r="AD61" s="72">
        <f t="shared" si="10"/>
        <v>0</v>
      </c>
      <c r="AE61" s="74">
        <f t="shared" si="11"/>
        <v>0</v>
      </c>
      <c r="AF61" s="72">
        <f t="shared" si="12"/>
        <v>0</v>
      </c>
      <c r="AG61" s="72" t="str">
        <f>IF(D61="","",_xlfn.WORKDAY.INTL(U61,-(1+P61),'Cấu hình'!$C$17,'Cấu hình'!$E$6:$E$35))</f>
        <v/>
      </c>
      <c r="AH61" s="72" t="str">
        <f t="shared" si="13"/>
        <v/>
      </c>
    </row>
    <row r="62" ht="21.75" customHeight="1">
      <c r="A62" s="41" t="str">
        <f t="shared" si="1"/>
        <v/>
      </c>
      <c r="B62" s="10"/>
      <c r="C62" s="9"/>
      <c r="D62" s="9"/>
      <c r="E62" s="10"/>
      <c r="F62" s="44"/>
      <c r="G62" s="46"/>
      <c r="H62" s="47" t="str">
        <f t="shared" si="2"/>
        <v/>
      </c>
      <c r="I62" s="44"/>
      <c r="J62" s="48"/>
      <c r="K62" s="48"/>
      <c r="L62" s="48"/>
      <c r="M62" s="49" t="str">
        <f t="shared" si="3"/>
        <v/>
      </c>
      <c r="N62" s="10"/>
      <c r="O62" s="10"/>
      <c r="P62" s="48"/>
      <c r="Q62" s="8"/>
      <c r="R62" s="42" t="str">
        <f t="array" ref="R62">IF(D62="","",_xlfn.WORKDAY.INTL(MAX('Cấu hình'!$C$15,N(Q62),IF(N62="",0,IFERROR(_xlfn.WORKDAY.INTL(INDEX($S$6:S61,MATCH(N62,$B$6:B61,0)),1+P62,'Cấu hình'!$C$17,'Cấu hình'!$E$6:$E$35),0)),IF(O62="",0,IFERROR(_xlfn.WORKDAY.INTL(INDEX($S$6:S61,MATCH(O62,$B$6:B61,0)),1+P62,'Cấu hình'!$C$17,'Cấu hình'!$E$6:$E$35),0)))-1,1,'Cấu hình'!$C$17,'Cấu hình'!$E$6:$E$35))</f>
        <v/>
      </c>
      <c r="S62" s="42" t="str">
        <f>IF(D62="","",_xlfn.WORKDAY.INTL(R62,M62-1,'Cấu hình'!$C$17,'Cấu hình'!$E$6:$E$35))</f>
        <v/>
      </c>
      <c r="T62" s="42" t="str">
        <f t="shared" si="4"/>
        <v/>
      </c>
      <c r="U62" s="42" t="str">
        <f>IF(D62="","",_xlfn.WORKDAY.INTL(T62,-(M62-1),'Cấu hình'!$C$17,'Cấu hình'!$E$6:$E$35))</f>
        <v/>
      </c>
      <c r="V62" s="49" t="str">
        <f>IF(D62="","",_xlfn.NETWORKDAYS.INTL(S62,T62,'Cấu hình'!$C$17,'Cấu hình'!$E$6:$E$35)-1)</f>
        <v/>
      </c>
      <c r="W62" s="67" t="str">
        <f t="shared" si="5"/>
        <v/>
      </c>
      <c r="X62" s="49" t="str">
        <f t="shared" si="6"/>
        <v/>
      </c>
      <c r="Y62" s="47" t="str">
        <f t="shared" si="7"/>
        <v/>
      </c>
      <c r="Z62" s="64" t="str">
        <f t="shared" si="8"/>
        <v/>
      </c>
      <c r="AA62" s="9"/>
      <c r="AC62" s="72">
        <f t="shared" si="9"/>
        <v>0</v>
      </c>
      <c r="AD62" s="72">
        <f t="shared" si="10"/>
        <v>0</v>
      </c>
      <c r="AE62" s="74">
        <f t="shared" si="11"/>
        <v>0</v>
      </c>
      <c r="AF62" s="72">
        <f t="shared" si="12"/>
        <v>0</v>
      </c>
      <c r="AG62" s="72" t="str">
        <f>IF(D62="","",_xlfn.WORKDAY.INTL(U62,-(1+P62),'Cấu hình'!$C$17,'Cấu hình'!$E$6:$E$35))</f>
        <v/>
      </c>
      <c r="AH62" s="72" t="str">
        <f t="shared" si="13"/>
        <v/>
      </c>
    </row>
    <row r="63" ht="21.75" customHeight="1">
      <c r="A63" s="41" t="str">
        <f t="shared" si="1"/>
        <v/>
      </c>
      <c r="B63" s="10"/>
      <c r="C63" s="9"/>
      <c r="D63" s="9"/>
      <c r="E63" s="10"/>
      <c r="F63" s="44"/>
      <c r="G63" s="46"/>
      <c r="H63" s="47" t="str">
        <f t="shared" si="2"/>
        <v/>
      </c>
      <c r="I63" s="44"/>
      <c r="J63" s="48"/>
      <c r="K63" s="48"/>
      <c r="L63" s="48"/>
      <c r="M63" s="49" t="str">
        <f t="shared" si="3"/>
        <v/>
      </c>
      <c r="N63" s="10"/>
      <c r="O63" s="10"/>
      <c r="P63" s="48"/>
      <c r="Q63" s="8"/>
      <c r="R63" s="42" t="str">
        <f t="array" ref="R63">IF(D63="","",_xlfn.WORKDAY.INTL(MAX('Cấu hình'!$C$15,N(Q63),IF(N63="",0,IFERROR(_xlfn.WORKDAY.INTL(INDEX($S$6:S62,MATCH(N63,$B$6:B62,0)),1+P63,'Cấu hình'!$C$17,'Cấu hình'!$E$6:$E$35),0)),IF(O63="",0,IFERROR(_xlfn.WORKDAY.INTL(INDEX($S$6:S62,MATCH(O63,$B$6:B62,0)),1+P63,'Cấu hình'!$C$17,'Cấu hình'!$E$6:$E$35),0)))-1,1,'Cấu hình'!$C$17,'Cấu hình'!$E$6:$E$35))</f>
        <v/>
      </c>
      <c r="S63" s="42" t="str">
        <f>IF(D63="","",_xlfn.WORKDAY.INTL(R63,M63-1,'Cấu hình'!$C$17,'Cấu hình'!$E$6:$E$35))</f>
        <v/>
      </c>
      <c r="T63" s="42" t="str">
        <f t="shared" si="4"/>
        <v/>
      </c>
      <c r="U63" s="42" t="str">
        <f>IF(D63="","",_xlfn.WORKDAY.INTL(T63,-(M63-1),'Cấu hình'!$C$17,'Cấu hình'!$E$6:$E$35))</f>
        <v/>
      </c>
      <c r="V63" s="49" t="str">
        <f>IF(D63="","",_xlfn.NETWORKDAYS.INTL(S63,T63,'Cấu hình'!$C$17,'Cấu hình'!$E$6:$E$35)-1)</f>
        <v/>
      </c>
      <c r="W63" s="67" t="str">
        <f t="shared" si="5"/>
        <v/>
      </c>
      <c r="X63" s="49" t="str">
        <f t="shared" si="6"/>
        <v/>
      </c>
      <c r="Y63" s="47" t="str">
        <f t="shared" si="7"/>
        <v/>
      </c>
      <c r="Z63" s="64" t="str">
        <f t="shared" si="8"/>
        <v/>
      </c>
      <c r="AA63" s="9"/>
      <c r="AC63" s="72">
        <f t="shared" si="9"/>
        <v>0</v>
      </c>
      <c r="AD63" s="72">
        <f t="shared" si="10"/>
        <v>0</v>
      </c>
      <c r="AE63" s="74">
        <f t="shared" si="11"/>
        <v>0</v>
      </c>
      <c r="AF63" s="72">
        <f t="shared" si="12"/>
        <v>0</v>
      </c>
      <c r="AG63" s="72" t="str">
        <f>IF(D63="","",_xlfn.WORKDAY.INTL(U63,-(1+P63),'Cấu hình'!$C$17,'Cấu hình'!$E$6:$E$35))</f>
        <v/>
      </c>
      <c r="AH63" s="72" t="str">
        <f t="shared" si="13"/>
        <v/>
      </c>
    </row>
    <row r="64" ht="21.75" customHeight="1">
      <c r="A64" s="41" t="str">
        <f t="shared" si="1"/>
        <v/>
      </c>
      <c r="B64" s="10"/>
      <c r="C64" s="9"/>
      <c r="D64" s="9"/>
      <c r="E64" s="10"/>
      <c r="F64" s="44"/>
      <c r="G64" s="46"/>
      <c r="H64" s="47" t="str">
        <f t="shared" si="2"/>
        <v/>
      </c>
      <c r="I64" s="44"/>
      <c r="J64" s="48"/>
      <c r="K64" s="48"/>
      <c r="L64" s="48"/>
      <c r="M64" s="49" t="str">
        <f t="shared" si="3"/>
        <v/>
      </c>
      <c r="N64" s="10"/>
      <c r="O64" s="10"/>
      <c r="P64" s="48"/>
      <c r="Q64" s="8"/>
      <c r="R64" s="42" t="str">
        <f t="array" ref="R64">IF(D64="","",_xlfn.WORKDAY.INTL(MAX('Cấu hình'!$C$15,N(Q64),IF(N64="",0,IFERROR(_xlfn.WORKDAY.INTL(INDEX($S$6:S63,MATCH(N64,$B$6:B63,0)),1+P64,'Cấu hình'!$C$17,'Cấu hình'!$E$6:$E$35),0)),IF(O64="",0,IFERROR(_xlfn.WORKDAY.INTL(INDEX($S$6:S63,MATCH(O64,$B$6:B63,0)),1+P64,'Cấu hình'!$C$17,'Cấu hình'!$E$6:$E$35),0)))-1,1,'Cấu hình'!$C$17,'Cấu hình'!$E$6:$E$35))</f>
        <v/>
      </c>
      <c r="S64" s="42" t="str">
        <f>IF(D64="","",_xlfn.WORKDAY.INTL(R64,M64-1,'Cấu hình'!$C$17,'Cấu hình'!$E$6:$E$35))</f>
        <v/>
      </c>
      <c r="T64" s="42" t="str">
        <f t="shared" si="4"/>
        <v/>
      </c>
      <c r="U64" s="42" t="str">
        <f>IF(D64="","",_xlfn.WORKDAY.INTL(T64,-(M64-1),'Cấu hình'!$C$17,'Cấu hình'!$E$6:$E$35))</f>
        <v/>
      </c>
      <c r="V64" s="49" t="str">
        <f>IF(D64="","",_xlfn.NETWORKDAYS.INTL(S64,T64,'Cấu hình'!$C$17,'Cấu hình'!$E$6:$E$35)-1)</f>
        <v/>
      </c>
      <c r="W64" s="67" t="str">
        <f t="shared" si="5"/>
        <v/>
      </c>
      <c r="X64" s="49" t="str">
        <f t="shared" si="6"/>
        <v/>
      </c>
      <c r="Y64" s="47" t="str">
        <f t="shared" si="7"/>
        <v/>
      </c>
      <c r="Z64" s="64" t="str">
        <f t="shared" si="8"/>
        <v/>
      </c>
      <c r="AA64" s="9"/>
      <c r="AC64" s="72">
        <f t="shared" si="9"/>
        <v>0</v>
      </c>
      <c r="AD64" s="72">
        <f t="shared" si="10"/>
        <v>0</v>
      </c>
      <c r="AE64" s="74">
        <f t="shared" si="11"/>
        <v>0</v>
      </c>
      <c r="AF64" s="72">
        <f t="shared" si="12"/>
        <v>0</v>
      </c>
      <c r="AG64" s="72" t="str">
        <f>IF(D64="","",_xlfn.WORKDAY.INTL(U64,-(1+P64),'Cấu hình'!$C$17,'Cấu hình'!$E$6:$E$35))</f>
        <v/>
      </c>
      <c r="AH64" s="72" t="str">
        <f t="shared" si="13"/>
        <v/>
      </c>
    </row>
    <row r="65" ht="21.75" customHeight="1">
      <c r="A65" s="41" t="str">
        <f t="shared" si="1"/>
        <v/>
      </c>
      <c r="B65" s="10"/>
      <c r="C65" s="9"/>
      <c r="D65" s="9"/>
      <c r="E65" s="10"/>
      <c r="F65" s="44"/>
      <c r="G65" s="46"/>
      <c r="H65" s="47" t="str">
        <f t="shared" si="2"/>
        <v/>
      </c>
      <c r="I65" s="44"/>
      <c r="J65" s="48"/>
      <c r="K65" s="48"/>
      <c r="L65" s="48"/>
      <c r="M65" s="49" t="str">
        <f t="shared" si="3"/>
        <v/>
      </c>
      <c r="N65" s="10"/>
      <c r="O65" s="10"/>
      <c r="P65" s="48"/>
      <c r="Q65" s="8"/>
      <c r="R65" s="42" t="str">
        <f t="array" ref="R65">IF(D65="","",_xlfn.WORKDAY.INTL(MAX('Cấu hình'!$C$15,N(Q65),IF(N65="",0,IFERROR(_xlfn.WORKDAY.INTL(INDEX($S$6:S64,MATCH(N65,$B$6:B64,0)),1+P65,'Cấu hình'!$C$17,'Cấu hình'!$E$6:$E$35),0)),IF(O65="",0,IFERROR(_xlfn.WORKDAY.INTL(INDEX($S$6:S64,MATCH(O65,$B$6:B64,0)),1+P65,'Cấu hình'!$C$17,'Cấu hình'!$E$6:$E$35),0)))-1,1,'Cấu hình'!$C$17,'Cấu hình'!$E$6:$E$35))</f>
        <v/>
      </c>
      <c r="S65" s="42" t="str">
        <f>IF(D65="","",_xlfn.WORKDAY.INTL(R65,M65-1,'Cấu hình'!$C$17,'Cấu hình'!$E$6:$E$35))</f>
        <v/>
      </c>
      <c r="T65" s="42" t="str">
        <f t="shared" si="4"/>
        <v/>
      </c>
      <c r="U65" s="42" t="str">
        <f>IF(D65="","",_xlfn.WORKDAY.INTL(T65,-(M65-1),'Cấu hình'!$C$17,'Cấu hình'!$E$6:$E$35))</f>
        <v/>
      </c>
      <c r="V65" s="49" t="str">
        <f>IF(D65="","",_xlfn.NETWORKDAYS.INTL(S65,T65,'Cấu hình'!$C$17,'Cấu hình'!$E$6:$E$35)-1)</f>
        <v/>
      </c>
      <c r="W65" s="67" t="str">
        <f t="shared" si="5"/>
        <v/>
      </c>
      <c r="X65" s="49" t="str">
        <f t="shared" si="6"/>
        <v/>
      </c>
      <c r="Y65" s="47" t="str">
        <f t="shared" si="7"/>
        <v/>
      </c>
      <c r="Z65" s="64" t="str">
        <f t="shared" si="8"/>
        <v/>
      </c>
      <c r="AA65" s="9"/>
      <c r="AC65" s="72">
        <f t="shared" si="9"/>
        <v>0</v>
      </c>
      <c r="AD65" s="72">
        <f t="shared" si="10"/>
        <v>0</v>
      </c>
      <c r="AE65" s="74">
        <f t="shared" si="11"/>
        <v>0</v>
      </c>
      <c r="AF65" s="72">
        <f t="shared" si="12"/>
        <v>0</v>
      </c>
      <c r="AG65" s="72" t="str">
        <f>IF(D65="","",_xlfn.WORKDAY.INTL(U65,-(1+P65),'Cấu hình'!$C$17,'Cấu hình'!$E$6:$E$35))</f>
        <v/>
      </c>
      <c r="AH65" s="72" t="str">
        <f t="shared" si="13"/>
        <v/>
      </c>
    </row>
    <row r="66" ht="21.75" customHeight="1">
      <c r="A66" s="41" t="str">
        <f t="shared" si="1"/>
        <v/>
      </c>
      <c r="B66" s="10"/>
      <c r="C66" s="9"/>
      <c r="D66" s="9"/>
      <c r="E66" s="10"/>
      <c r="F66" s="44"/>
      <c r="G66" s="46"/>
      <c r="H66" s="47" t="str">
        <f t="shared" si="2"/>
        <v/>
      </c>
      <c r="I66" s="44"/>
      <c r="J66" s="48"/>
      <c r="K66" s="48"/>
      <c r="L66" s="48"/>
      <c r="M66" s="49" t="str">
        <f t="shared" si="3"/>
        <v/>
      </c>
      <c r="N66" s="10"/>
      <c r="O66" s="10"/>
      <c r="P66" s="48"/>
      <c r="Q66" s="8"/>
      <c r="R66" s="42" t="str">
        <f t="array" ref="R66">IF(D66="","",_xlfn.WORKDAY.INTL(MAX('Cấu hình'!$C$15,N(Q66),IF(N66="",0,IFERROR(_xlfn.WORKDAY.INTL(INDEX($S$6:S65,MATCH(N66,$B$6:B65,0)),1+P66,'Cấu hình'!$C$17,'Cấu hình'!$E$6:$E$35),0)),IF(O66="",0,IFERROR(_xlfn.WORKDAY.INTL(INDEX($S$6:S65,MATCH(O66,$B$6:B65,0)),1+P66,'Cấu hình'!$C$17,'Cấu hình'!$E$6:$E$35),0)))-1,1,'Cấu hình'!$C$17,'Cấu hình'!$E$6:$E$35))</f>
        <v/>
      </c>
      <c r="S66" s="42" t="str">
        <f>IF(D66="","",_xlfn.WORKDAY.INTL(R66,M66-1,'Cấu hình'!$C$17,'Cấu hình'!$E$6:$E$35))</f>
        <v/>
      </c>
      <c r="T66" s="42" t="str">
        <f t="shared" si="4"/>
        <v/>
      </c>
      <c r="U66" s="42" t="str">
        <f>IF(D66="","",_xlfn.WORKDAY.INTL(T66,-(M66-1),'Cấu hình'!$C$17,'Cấu hình'!$E$6:$E$35))</f>
        <v/>
      </c>
      <c r="V66" s="49" t="str">
        <f>IF(D66="","",_xlfn.NETWORKDAYS.INTL(S66,T66,'Cấu hình'!$C$17,'Cấu hình'!$E$6:$E$35)-1)</f>
        <v/>
      </c>
      <c r="W66" s="67" t="str">
        <f t="shared" si="5"/>
        <v/>
      </c>
      <c r="X66" s="49" t="str">
        <f t="shared" si="6"/>
        <v/>
      </c>
      <c r="Y66" s="47" t="str">
        <f t="shared" si="7"/>
        <v/>
      </c>
      <c r="Z66" s="64" t="str">
        <f t="shared" si="8"/>
        <v/>
      </c>
      <c r="AA66" s="9"/>
      <c r="AC66" s="72">
        <f t="shared" si="9"/>
        <v>0</v>
      </c>
      <c r="AD66" s="72">
        <f t="shared" si="10"/>
        <v>0</v>
      </c>
      <c r="AE66" s="74">
        <f t="shared" si="11"/>
        <v>0</v>
      </c>
      <c r="AF66" s="72">
        <f t="shared" si="12"/>
        <v>0</v>
      </c>
      <c r="AG66" s="72" t="str">
        <f>IF(D66="","",_xlfn.WORKDAY.INTL(U66,-(1+P66),'Cấu hình'!$C$17,'Cấu hình'!$E$6:$E$35))</f>
        <v/>
      </c>
      <c r="AH66" s="72" t="str">
        <f t="shared" si="13"/>
        <v/>
      </c>
    </row>
    <row r="67" ht="25.5" customHeight="1">
      <c r="A67" s="91"/>
      <c r="B67" s="91"/>
      <c r="C67" s="91"/>
      <c r="D67" s="95" t="s">
        <v>161</v>
      </c>
      <c r="E67" s="91"/>
      <c r="F67" s="91"/>
      <c r="G67" s="91"/>
      <c r="H67" s="93">
        <f>SUM(H7:H66)</f>
        <v>37126000000</v>
      </c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3">
        <f>SUM(Y7:Y66)</f>
        <v>11521</v>
      </c>
      <c r="Z67" s="91"/>
      <c r="AA67" s="91"/>
      <c r="AC67" s="91"/>
      <c r="AD67" s="91"/>
      <c r="AE67" s="91"/>
      <c r="AF67" s="91"/>
      <c r="AG67" s="91"/>
      <c r="AH67" s="91"/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6:$AA$66"/>
  <mergeCells count="8">
    <mergeCell ref="P4:R4"/>
    <mergeCell ref="A5:D5"/>
    <mergeCell ref="E5:H5"/>
    <mergeCell ref="I5:M5"/>
    <mergeCell ref="N5:Q5"/>
    <mergeCell ref="R5:W5"/>
    <mergeCell ref="X5:AA5"/>
    <mergeCell ref="AC5:AH5"/>
  </mergeCells>
  <conditionalFormatting sqref="W7:W66">
    <cfRule type="cellIs" dxfId="1" priority="1" operator="equal">
      <formula>"Găng"</formula>
    </cfRule>
  </conditionalFormatting>
  <conditionalFormatting sqref="Z7:Z66">
    <cfRule type="cellIs" dxfId="2" priority="2" operator="equal">
      <formula>"Kiểm tra mã CV trước"</formula>
    </cfRule>
  </conditionalFormatting>
  <conditionalFormatting sqref="V7:V66">
    <cfRule type="expression" dxfId="2" priority="3">
      <formula>AND(V7&lt;&gt;"",V7&lt;=0)</formula>
    </cfRule>
  </conditionalFormatting>
  <dataValidations>
    <dataValidation type="list" allowBlank="1" sqref="N7:O66">
      <formula1>$B$7:$B$66</formula1>
    </dataValidation>
    <dataValidation type="date" operator="greaterThan" allowBlank="1" sqref="Q7:Q66">
      <formula1>36526.0</formula1>
    </dataValidation>
    <dataValidation type="list" allowBlank="1" sqref="C7:C66">
      <formula1>'Cấu hình'!$I$6:$I$15</formula1>
    </dataValidation>
    <dataValidation type="list" allowBlank="1" sqref="E7:E66">
      <formula1>"m2,m3,m,tấn,kg,bộ,cái,tầng,viên,trọn gói"</formula1>
    </dataValidation>
    <dataValidation type="decimal" operator="greaterThanOrEqual" allowBlank="1" sqref="F7:G66 I7:L66">
      <formula1>0.0</formula1>
    </dataValidation>
  </dataValidations>
  <printOptions/>
  <pageMargins bottom="1.0" footer="0.0" header="0.0" left="0.4" right="0.4" top="1.0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B1D"/>
    <pageSetUpPr fitToPage="1"/>
  </sheetPr>
  <sheetViews>
    <sheetView showGridLines="0" workbookViewId="0">
      <pane xSplit="8.0" ySplit="7.0" topLeftCell="I8" activePane="bottomRight" state="frozen"/>
      <selection activeCell="I1" sqref="I1" pane="topRight"/>
      <selection activeCell="A8" sqref="A8" pane="bottomLeft"/>
      <selection activeCell="I8" sqref="I8" pane="bottomRight"/>
    </sheetView>
  </sheetViews>
  <sheetFormatPr customHeight="1" defaultColWidth="14.43" defaultRowHeight="15.0"/>
  <cols>
    <col customWidth="1" min="1" max="1" width="5.0"/>
    <col customWidth="1" min="2" max="2" width="40.0"/>
    <col customWidth="1" min="3" max="5" width="11.0"/>
    <col customWidth="1" min="6" max="7" width="9.0"/>
    <col customWidth="1" min="8" max="8" width="10.0"/>
    <col customWidth="1" min="9" max="68" width="4.57"/>
  </cols>
  <sheetData>
    <row r="2" ht="31.5" customHeight="1">
      <c r="A2" s="1"/>
      <c r="I2" s="15" t="s">
        <v>51</v>
      </c>
    </row>
    <row r="3">
      <c r="A3" s="16" t="str">
        <f>"Công trình: "&amp;IF('Cấu hình'!C6="","(chưa nhập)",'Cấu hình'!C6)</f>
        <v>Công trình: Tòa nhà văn phòng ABC – 8 tầng (dữ liệu mẫu)</v>
      </c>
    </row>
    <row r="4" ht="21.75" customHeight="1">
      <c r="B4" s="18" t="s">
        <v>53</v>
      </c>
      <c r="C4" s="20">
        <f>'Cấu hình'!$C$14</f>
        <v>46323</v>
      </c>
      <c r="I4" s="21" t="s">
        <v>54</v>
      </c>
      <c r="J4" s="22"/>
      <c r="K4" s="22"/>
      <c r="L4" s="22"/>
      <c r="M4" s="22"/>
      <c r="N4" s="25"/>
      <c r="O4" s="28" t="s">
        <v>58</v>
      </c>
      <c r="P4" s="22"/>
      <c r="Q4" s="22"/>
      <c r="R4" s="22"/>
      <c r="S4" s="22"/>
      <c r="T4" s="25"/>
      <c r="U4" s="29" t="s">
        <v>60</v>
      </c>
      <c r="V4" s="22"/>
      <c r="W4" s="22"/>
      <c r="X4" s="22"/>
      <c r="Y4" s="22"/>
      <c r="Z4" s="25"/>
      <c r="AA4" s="31" t="s">
        <v>63</v>
      </c>
      <c r="AB4" s="22"/>
      <c r="AC4" s="22"/>
      <c r="AD4" s="22"/>
      <c r="AE4" s="22"/>
      <c r="AF4" s="25"/>
    </row>
    <row r="5">
      <c r="A5" s="33" t="s">
        <v>66</v>
      </c>
    </row>
    <row r="6" ht="18.0" customHeight="1">
      <c r="A6" s="34" t="s">
        <v>67</v>
      </c>
      <c r="B6" s="34" t="s">
        <v>74</v>
      </c>
      <c r="C6" s="34" t="s">
        <v>79</v>
      </c>
      <c r="D6" s="34" t="s">
        <v>82</v>
      </c>
      <c r="E6" s="34" t="s">
        <v>88</v>
      </c>
      <c r="F6" s="34" t="s">
        <v>92</v>
      </c>
      <c r="G6" s="34" t="s">
        <v>96</v>
      </c>
      <c r="H6" s="34" t="s">
        <v>99</v>
      </c>
      <c r="I6" s="40" t="str">
        <f>"T"&amp;MONTH(I7)</f>
        <v>T11</v>
      </c>
      <c r="J6" s="40" t="str">
        <f t="shared" ref="J6:BP6" si="1">IF(MONTH(J7)&lt;&gt;MONTH(I7),"T"&amp;MONTH(J7),"")</f>
        <v/>
      </c>
      <c r="K6" s="40" t="str">
        <f t="shared" si="1"/>
        <v/>
      </c>
      <c r="L6" s="40" t="str">
        <f t="shared" si="1"/>
        <v/>
      </c>
      <c r="M6" s="40" t="str">
        <f t="shared" si="1"/>
        <v/>
      </c>
      <c r="N6" s="40" t="str">
        <f t="shared" si="1"/>
        <v>T12</v>
      </c>
      <c r="O6" s="40" t="str">
        <f t="shared" si="1"/>
        <v/>
      </c>
      <c r="P6" s="40" t="str">
        <f t="shared" si="1"/>
        <v/>
      </c>
      <c r="Q6" s="40" t="str">
        <f t="shared" si="1"/>
        <v/>
      </c>
      <c r="R6" s="40" t="str">
        <f t="shared" si="1"/>
        <v>T1</v>
      </c>
      <c r="S6" s="40" t="str">
        <f t="shared" si="1"/>
        <v/>
      </c>
      <c r="T6" s="40" t="str">
        <f t="shared" si="1"/>
        <v/>
      </c>
      <c r="U6" s="40" t="str">
        <f t="shared" si="1"/>
        <v/>
      </c>
      <c r="V6" s="40" t="str">
        <f t="shared" si="1"/>
        <v>T2</v>
      </c>
      <c r="W6" s="40" t="str">
        <f t="shared" si="1"/>
        <v/>
      </c>
      <c r="X6" s="40" t="str">
        <f t="shared" si="1"/>
        <v/>
      </c>
      <c r="Y6" s="40" t="str">
        <f t="shared" si="1"/>
        <v/>
      </c>
      <c r="Z6" s="40" t="str">
        <f t="shared" si="1"/>
        <v>T3</v>
      </c>
      <c r="AA6" s="40" t="str">
        <f t="shared" si="1"/>
        <v/>
      </c>
      <c r="AB6" s="40" t="str">
        <f t="shared" si="1"/>
        <v/>
      </c>
      <c r="AC6" s="40" t="str">
        <f t="shared" si="1"/>
        <v/>
      </c>
      <c r="AD6" s="40" t="str">
        <f t="shared" si="1"/>
        <v/>
      </c>
      <c r="AE6" s="40" t="str">
        <f t="shared" si="1"/>
        <v>T4</v>
      </c>
      <c r="AF6" s="40" t="str">
        <f t="shared" si="1"/>
        <v/>
      </c>
      <c r="AG6" s="40" t="str">
        <f t="shared" si="1"/>
        <v/>
      </c>
      <c r="AH6" s="40" t="str">
        <f t="shared" si="1"/>
        <v/>
      </c>
      <c r="AI6" s="40" t="str">
        <f t="shared" si="1"/>
        <v>T5</v>
      </c>
      <c r="AJ6" s="40" t="str">
        <f t="shared" si="1"/>
        <v/>
      </c>
      <c r="AK6" s="40" t="str">
        <f t="shared" si="1"/>
        <v/>
      </c>
      <c r="AL6" s="40" t="str">
        <f t="shared" si="1"/>
        <v/>
      </c>
      <c r="AM6" s="40" t="str">
        <f t="shared" si="1"/>
        <v/>
      </c>
      <c r="AN6" s="40" t="str">
        <f t="shared" si="1"/>
        <v>T6</v>
      </c>
      <c r="AO6" s="40" t="str">
        <f t="shared" si="1"/>
        <v/>
      </c>
      <c r="AP6" s="40" t="str">
        <f t="shared" si="1"/>
        <v/>
      </c>
      <c r="AQ6" s="40" t="str">
        <f t="shared" si="1"/>
        <v/>
      </c>
      <c r="AR6" s="40" t="str">
        <f t="shared" si="1"/>
        <v>T7</v>
      </c>
      <c r="AS6" s="40" t="str">
        <f t="shared" si="1"/>
        <v/>
      </c>
      <c r="AT6" s="40" t="str">
        <f t="shared" si="1"/>
        <v/>
      </c>
      <c r="AU6" s="40" t="str">
        <f t="shared" si="1"/>
        <v/>
      </c>
      <c r="AV6" s="40" t="str">
        <f t="shared" si="1"/>
        <v>T8</v>
      </c>
      <c r="AW6" s="40" t="str">
        <f t="shared" si="1"/>
        <v/>
      </c>
      <c r="AX6" s="40" t="str">
        <f t="shared" si="1"/>
        <v/>
      </c>
      <c r="AY6" s="40" t="str">
        <f t="shared" si="1"/>
        <v/>
      </c>
      <c r="AZ6" s="40" t="str">
        <f t="shared" si="1"/>
        <v/>
      </c>
      <c r="BA6" s="40" t="str">
        <f t="shared" si="1"/>
        <v>T9</v>
      </c>
      <c r="BB6" s="40" t="str">
        <f t="shared" si="1"/>
        <v/>
      </c>
      <c r="BC6" s="40" t="str">
        <f t="shared" si="1"/>
        <v/>
      </c>
      <c r="BD6" s="40" t="str">
        <f t="shared" si="1"/>
        <v/>
      </c>
      <c r="BE6" s="40" t="str">
        <f t="shared" si="1"/>
        <v>T10</v>
      </c>
      <c r="BF6" s="40" t="str">
        <f t="shared" si="1"/>
        <v/>
      </c>
      <c r="BG6" s="40" t="str">
        <f t="shared" si="1"/>
        <v/>
      </c>
      <c r="BH6" s="40" t="str">
        <f t="shared" si="1"/>
        <v/>
      </c>
      <c r="BI6" s="40" t="str">
        <f t="shared" si="1"/>
        <v>T11</v>
      </c>
      <c r="BJ6" s="40" t="str">
        <f t="shared" si="1"/>
        <v/>
      </c>
      <c r="BK6" s="40" t="str">
        <f t="shared" si="1"/>
        <v/>
      </c>
      <c r="BL6" s="40" t="str">
        <f t="shared" si="1"/>
        <v/>
      </c>
      <c r="BM6" s="40" t="str">
        <f t="shared" si="1"/>
        <v/>
      </c>
      <c r="BN6" s="40" t="str">
        <f t="shared" si="1"/>
        <v>T12</v>
      </c>
      <c r="BO6" s="40" t="str">
        <f t="shared" si="1"/>
        <v/>
      </c>
      <c r="BP6" s="40" t="str">
        <f t="shared" si="1"/>
        <v/>
      </c>
    </row>
    <row r="7" ht="39.75" customHeight="1">
      <c r="A7" s="53"/>
      <c r="B7" s="53"/>
      <c r="C7" s="53"/>
      <c r="D7" s="53"/>
      <c r="E7" s="53"/>
      <c r="F7" s="53"/>
      <c r="G7" s="53"/>
      <c r="H7" s="53"/>
      <c r="I7" s="54">
        <f>'Cấu hình'!$C$15-WEEKDAY('Cấu hình'!$C$15,2)+1</f>
        <v>46328</v>
      </c>
      <c r="J7" s="54">
        <f t="shared" ref="J7:BP7" si="2">I7+7</f>
        <v>46335</v>
      </c>
      <c r="K7" s="54">
        <f t="shared" si="2"/>
        <v>46342</v>
      </c>
      <c r="L7" s="54">
        <f t="shared" si="2"/>
        <v>46349</v>
      </c>
      <c r="M7" s="54">
        <f t="shared" si="2"/>
        <v>46356</v>
      </c>
      <c r="N7" s="54">
        <f t="shared" si="2"/>
        <v>46363</v>
      </c>
      <c r="O7" s="54">
        <f t="shared" si="2"/>
        <v>46370</v>
      </c>
      <c r="P7" s="54">
        <f t="shared" si="2"/>
        <v>46377</v>
      </c>
      <c r="Q7" s="54">
        <f t="shared" si="2"/>
        <v>46384</v>
      </c>
      <c r="R7" s="54">
        <f t="shared" si="2"/>
        <v>46391</v>
      </c>
      <c r="S7" s="54">
        <f t="shared" si="2"/>
        <v>46398</v>
      </c>
      <c r="T7" s="54">
        <f t="shared" si="2"/>
        <v>46405</v>
      </c>
      <c r="U7" s="54">
        <f t="shared" si="2"/>
        <v>46412</v>
      </c>
      <c r="V7" s="54">
        <f t="shared" si="2"/>
        <v>46419</v>
      </c>
      <c r="W7" s="54">
        <f t="shared" si="2"/>
        <v>46426</v>
      </c>
      <c r="X7" s="54">
        <f t="shared" si="2"/>
        <v>46433</v>
      </c>
      <c r="Y7" s="54">
        <f t="shared" si="2"/>
        <v>46440</v>
      </c>
      <c r="Z7" s="54">
        <f t="shared" si="2"/>
        <v>46447</v>
      </c>
      <c r="AA7" s="54">
        <f t="shared" si="2"/>
        <v>46454</v>
      </c>
      <c r="AB7" s="54">
        <f t="shared" si="2"/>
        <v>46461</v>
      </c>
      <c r="AC7" s="54">
        <f t="shared" si="2"/>
        <v>46468</v>
      </c>
      <c r="AD7" s="54">
        <f t="shared" si="2"/>
        <v>46475</v>
      </c>
      <c r="AE7" s="54">
        <f t="shared" si="2"/>
        <v>46482</v>
      </c>
      <c r="AF7" s="54">
        <f t="shared" si="2"/>
        <v>46489</v>
      </c>
      <c r="AG7" s="54">
        <f t="shared" si="2"/>
        <v>46496</v>
      </c>
      <c r="AH7" s="54">
        <f t="shared" si="2"/>
        <v>46503</v>
      </c>
      <c r="AI7" s="54">
        <f t="shared" si="2"/>
        <v>46510</v>
      </c>
      <c r="AJ7" s="54">
        <f t="shared" si="2"/>
        <v>46517</v>
      </c>
      <c r="AK7" s="54">
        <f t="shared" si="2"/>
        <v>46524</v>
      </c>
      <c r="AL7" s="54">
        <f t="shared" si="2"/>
        <v>46531</v>
      </c>
      <c r="AM7" s="54">
        <f t="shared" si="2"/>
        <v>46538</v>
      </c>
      <c r="AN7" s="54">
        <f t="shared" si="2"/>
        <v>46545</v>
      </c>
      <c r="AO7" s="54">
        <f t="shared" si="2"/>
        <v>46552</v>
      </c>
      <c r="AP7" s="54">
        <f t="shared" si="2"/>
        <v>46559</v>
      </c>
      <c r="AQ7" s="54">
        <f t="shared" si="2"/>
        <v>46566</v>
      </c>
      <c r="AR7" s="54">
        <f t="shared" si="2"/>
        <v>46573</v>
      </c>
      <c r="AS7" s="54">
        <f t="shared" si="2"/>
        <v>46580</v>
      </c>
      <c r="AT7" s="54">
        <f t="shared" si="2"/>
        <v>46587</v>
      </c>
      <c r="AU7" s="54">
        <f t="shared" si="2"/>
        <v>46594</v>
      </c>
      <c r="AV7" s="54">
        <f t="shared" si="2"/>
        <v>46601</v>
      </c>
      <c r="AW7" s="54">
        <f t="shared" si="2"/>
        <v>46608</v>
      </c>
      <c r="AX7" s="54">
        <f t="shared" si="2"/>
        <v>46615</v>
      </c>
      <c r="AY7" s="54">
        <f t="shared" si="2"/>
        <v>46622</v>
      </c>
      <c r="AZ7" s="54">
        <f t="shared" si="2"/>
        <v>46629</v>
      </c>
      <c r="BA7" s="54">
        <f t="shared" si="2"/>
        <v>46636</v>
      </c>
      <c r="BB7" s="54">
        <f t="shared" si="2"/>
        <v>46643</v>
      </c>
      <c r="BC7" s="54">
        <f t="shared" si="2"/>
        <v>46650</v>
      </c>
      <c r="BD7" s="54">
        <f t="shared" si="2"/>
        <v>46657</v>
      </c>
      <c r="BE7" s="54">
        <f t="shared" si="2"/>
        <v>46664</v>
      </c>
      <c r="BF7" s="54">
        <f t="shared" si="2"/>
        <v>46671</v>
      </c>
      <c r="BG7" s="54">
        <f t="shared" si="2"/>
        <v>46678</v>
      </c>
      <c r="BH7" s="54">
        <f t="shared" si="2"/>
        <v>46685</v>
      </c>
      <c r="BI7" s="54">
        <f t="shared" si="2"/>
        <v>46692</v>
      </c>
      <c r="BJ7" s="54">
        <f t="shared" si="2"/>
        <v>46699</v>
      </c>
      <c r="BK7" s="54">
        <f t="shared" si="2"/>
        <v>46706</v>
      </c>
      <c r="BL7" s="54">
        <f t="shared" si="2"/>
        <v>46713</v>
      </c>
      <c r="BM7" s="54">
        <f t="shared" si="2"/>
        <v>46720</v>
      </c>
      <c r="BN7" s="54">
        <f t="shared" si="2"/>
        <v>46727</v>
      </c>
      <c r="BO7" s="54">
        <f t="shared" si="2"/>
        <v>46734</v>
      </c>
      <c r="BP7" s="54">
        <f t="shared" si="2"/>
        <v>46741</v>
      </c>
    </row>
    <row r="8" ht="21.75" customHeight="1">
      <c r="A8" s="41">
        <f>'Danh mục công việc'!A7</f>
        <v>1</v>
      </c>
      <c r="B8" s="64" t="str">
        <f>IF('Danh mục công việc'!D7="","",'Danh mục công việc'!D7)</f>
        <v>Giải phóng mặt bằng, dựng lán trại, hàng rào</v>
      </c>
      <c r="C8" s="65">
        <f>IF('Danh mục công việc'!D7="","",'Danh mục công việc'!R7)</f>
        <v>46328</v>
      </c>
      <c r="D8" s="65">
        <f>IF('Danh mục công việc'!D7="","",'Danh mục công việc'!S7)</f>
        <v>46332</v>
      </c>
      <c r="E8" s="65">
        <f>IF('Danh mục công việc'!D7="","",'Danh mục công việc'!T7)</f>
        <v>46332</v>
      </c>
      <c r="F8" s="49">
        <f>IF('Danh mục công việc'!D7="","",'Danh mục công việc'!M7)</f>
        <v>5</v>
      </c>
      <c r="G8" s="49">
        <f>IF('Danh mục công việc'!D7="","",'Danh mục công việc'!V7)</f>
        <v>0</v>
      </c>
      <c r="H8" s="67" t="str">
        <f>IF('Danh mục công việc'!D7="","",'Danh mục công việc'!W7&amp;"")</f>
        <v>Găng</v>
      </c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</row>
    <row r="9" ht="21.75" customHeight="1">
      <c r="A9" s="56">
        <f>'Danh mục công việc'!A8</f>
        <v>2</v>
      </c>
      <c r="B9" s="73" t="str">
        <f>IF('Danh mục công việc'!D8="","",'Danh mục công việc'!D8)</f>
        <v>Cấp điện nước tạm, đường công vụ</v>
      </c>
      <c r="C9" s="75">
        <f>IF('Danh mục công việc'!D8="","",'Danh mục công việc'!R8)</f>
        <v>46335</v>
      </c>
      <c r="D9" s="75">
        <f>IF('Danh mục công việc'!D8="","",'Danh mục công việc'!S8)</f>
        <v>46339</v>
      </c>
      <c r="E9" s="75">
        <f>IF('Danh mục công việc'!D8="","",'Danh mục công việc'!T8)</f>
        <v>46339</v>
      </c>
      <c r="F9" s="61">
        <f>IF('Danh mục công việc'!D8="","",'Danh mục công việc'!M8)</f>
        <v>5</v>
      </c>
      <c r="G9" s="61">
        <f>IF('Danh mục công việc'!D8="","",'Danh mục công việc'!V8)</f>
        <v>0</v>
      </c>
      <c r="H9" s="81" t="str">
        <f>IF('Danh mục công việc'!D8="","",'Danh mục công việc'!W8&amp;"")</f>
        <v>Găng</v>
      </c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</row>
    <row r="10" ht="21.75" customHeight="1">
      <c r="A10" s="41">
        <f>'Danh mục công việc'!A9</f>
        <v>3</v>
      </c>
      <c r="B10" s="64" t="str">
        <f>IF('Danh mục công việc'!D9="","",'Danh mục công việc'!D9)</f>
        <v>Đào đất hố móng, vận chuyển đất thải</v>
      </c>
      <c r="C10" s="65">
        <f>IF('Danh mục công việc'!D9="","",'Danh mục công việc'!R9)</f>
        <v>46342</v>
      </c>
      <c r="D10" s="65">
        <f>IF('Danh mục công việc'!D9="","",'Danh mục công việc'!S9)</f>
        <v>46345</v>
      </c>
      <c r="E10" s="65">
        <f>IF('Danh mục công việc'!D9="","",'Danh mục công việc'!T9)</f>
        <v>46345</v>
      </c>
      <c r="F10" s="49">
        <f>IF('Danh mục công việc'!D9="","",'Danh mục công việc'!M9)</f>
        <v>4</v>
      </c>
      <c r="G10" s="49">
        <f>IF('Danh mục công việc'!D9="","",'Danh mục công việc'!V9)</f>
        <v>0</v>
      </c>
      <c r="H10" s="67" t="str">
        <f>IF('Danh mục công việc'!D9="","",'Danh mục công việc'!W9&amp;"")</f>
        <v>Găng</v>
      </c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</row>
    <row r="11" ht="21.75" customHeight="1">
      <c r="A11" s="56">
        <f>'Danh mục công việc'!A10</f>
        <v>4</v>
      </c>
      <c r="B11" s="73" t="str">
        <f>IF('Danh mục công việc'!D10="","",'Danh mục công việc'!D10)</f>
        <v>Bê tông lót móng</v>
      </c>
      <c r="C11" s="75">
        <f>IF('Danh mục công việc'!D10="","",'Danh mục công việc'!R10)</f>
        <v>46346</v>
      </c>
      <c r="D11" s="75">
        <f>IF('Danh mục công việc'!D10="","",'Danh mục công việc'!S10)</f>
        <v>46352</v>
      </c>
      <c r="E11" s="75">
        <f>IF('Danh mục công việc'!D10="","",'Danh mục công việc'!T10)</f>
        <v>46352</v>
      </c>
      <c r="F11" s="61">
        <f>IF('Danh mục công việc'!D10="","",'Danh mục công việc'!M10)</f>
        <v>5</v>
      </c>
      <c r="G11" s="61">
        <f>IF('Danh mục công việc'!D10="","",'Danh mục công việc'!V10)</f>
        <v>0</v>
      </c>
      <c r="H11" s="81" t="str">
        <f>IF('Danh mục công việc'!D10="","",'Danh mục công việc'!W10&amp;"")</f>
        <v>Găng</v>
      </c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</row>
    <row r="12" ht="21.75" customHeight="1">
      <c r="A12" s="41">
        <f>'Danh mục công việc'!A11</f>
        <v>5</v>
      </c>
      <c r="B12" s="64" t="str">
        <f>IF('Danh mục công việc'!D11="","",'Danh mục công việc'!D11)</f>
        <v>Gia công, lắp dựng cốt thép móng</v>
      </c>
      <c r="C12" s="65">
        <f>IF('Danh mục công việc'!D11="","",'Danh mục công việc'!R11)</f>
        <v>46353</v>
      </c>
      <c r="D12" s="65">
        <f>IF('Danh mục công việc'!D11="","",'Danh mục công việc'!S11)</f>
        <v>46366</v>
      </c>
      <c r="E12" s="65">
        <f>IF('Danh mục công việc'!D11="","",'Danh mục công việc'!T11)</f>
        <v>46366</v>
      </c>
      <c r="F12" s="49">
        <f>IF('Danh mục công việc'!D11="","",'Danh mục công việc'!M11)</f>
        <v>10</v>
      </c>
      <c r="G12" s="49">
        <f>IF('Danh mục công việc'!D11="","",'Danh mục công việc'!V11)</f>
        <v>0</v>
      </c>
      <c r="H12" s="67" t="str">
        <f>IF('Danh mục công việc'!D11="","",'Danh mục công việc'!W11&amp;"")</f>
        <v>Găng</v>
      </c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</row>
    <row r="13" ht="21.75" customHeight="1">
      <c r="A13" s="56">
        <f>'Danh mục công việc'!A12</f>
        <v>6</v>
      </c>
      <c r="B13" s="73" t="str">
        <f>IF('Danh mục công việc'!D12="","",'Danh mục công việc'!D12)</f>
        <v>Lắp dựng ván khuôn móng</v>
      </c>
      <c r="C13" s="75">
        <f>IF('Danh mục công việc'!D12="","",'Danh mục công việc'!R12)</f>
        <v>46353</v>
      </c>
      <c r="D13" s="75">
        <f>IF('Danh mục công việc'!D12="","",'Danh mục công việc'!S12)</f>
        <v>46363</v>
      </c>
      <c r="E13" s="75">
        <f>IF('Danh mục công việc'!D12="","",'Danh mục công việc'!T12)</f>
        <v>46366</v>
      </c>
      <c r="F13" s="61">
        <f>IF('Danh mục công việc'!D12="","",'Danh mục công việc'!M12)</f>
        <v>7</v>
      </c>
      <c r="G13" s="61">
        <f>IF('Danh mục công việc'!D12="","",'Danh mục công việc'!V12)</f>
        <v>3</v>
      </c>
      <c r="H13" s="81" t="str">
        <f>IF('Danh mục công việc'!D12="","",'Danh mục công việc'!W12&amp;"")</f>
        <v/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</row>
    <row r="14" ht="21.75" customHeight="1">
      <c r="A14" s="41">
        <f>'Danh mục công việc'!A13</f>
        <v>7</v>
      </c>
      <c r="B14" s="64" t="str">
        <f>IF('Danh mục công việc'!D13="","",'Danh mục công việc'!D13)</f>
        <v>Đổ bê tông móng</v>
      </c>
      <c r="C14" s="65">
        <f>IF('Danh mục công việc'!D13="","",'Danh mục công việc'!R13)</f>
        <v>46367</v>
      </c>
      <c r="D14" s="65">
        <f>IF('Danh mục công việc'!D13="","",'Danh mục công việc'!S13)</f>
        <v>46378</v>
      </c>
      <c r="E14" s="65">
        <f>IF('Danh mục công việc'!D13="","",'Danh mục công việc'!T13)</f>
        <v>46378</v>
      </c>
      <c r="F14" s="49">
        <f>IF('Danh mục công việc'!D13="","",'Danh mục công việc'!M13)</f>
        <v>8</v>
      </c>
      <c r="G14" s="49">
        <f>IF('Danh mục công việc'!D13="","",'Danh mục công việc'!V13)</f>
        <v>0</v>
      </c>
      <c r="H14" s="67" t="str">
        <f>IF('Danh mục công việc'!D13="","",'Danh mục công việc'!W13&amp;"")</f>
        <v>Găng</v>
      </c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</row>
    <row r="15" ht="21.75" customHeight="1">
      <c r="A15" s="56">
        <f>'Danh mục công việc'!A14</f>
        <v>8</v>
      </c>
      <c r="B15" s="73" t="str">
        <f>IF('Danh mục công việc'!D14="","",'Danh mục công việc'!D14)</f>
        <v>Lấp đất, hoàn trả mặt bằng sau móng</v>
      </c>
      <c r="C15" s="75">
        <f>IF('Danh mục công việc'!D14="","",'Danh mục công việc'!R14)</f>
        <v>46384</v>
      </c>
      <c r="D15" s="75">
        <f>IF('Danh mục công việc'!D14="","",'Danh mục công việc'!S14)</f>
        <v>46392</v>
      </c>
      <c r="E15" s="75">
        <f>IF('Danh mục công việc'!D14="","",'Danh mục công việc'!T14)</f>
        <v>46392</v>
      </c>
      <c r="F15" s="61">
        <f>IF('Danh mục công việc'!D14="","",'Danh mục công việc'!M14)</f>
        <v>6</v>
      </c>
      <c r="G15" s="61">
        <f>IF('Danh mục công việc'!D14="","",'Danh mục công việc'!V14)</f>
        <v>0</v>
      </c>
      <c r="H15" s="81" t="str">
        <f>IF('Danh mục công việc'!D14="","",'Danh mục công việc'!W14&amp;"")</f>
        <v>Găng</v>
      </c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</row>
    <row r="16" ht="21.75" customHeight="1">
      <c r="A16" s="41">
        <f>'Danh mục công việc'!A15</f>
        <v>9</v>
      </c>
      <c r="B16" s="64" t="str">
        <f>IF('Danh mục công việc'!D15="","",'Danh mục công việc'!D15)</f>
        <v>Kết cấu thân tầng 1–2 (cốp pha, cốt thép, bê tông)</v>
      </c>
      <c r="C16" s="65">
        <f>IF('Danh mục công việc'!D15="","",'Danh mục công việc'!R15)</f>
        <v>46393</v>
      </c>
      <c r="D16" s="65">
        <f>IF('Danh mục công việc'!D15="","",'Danh mục công việc'!S15)</f>
        <v>46413</v>
      </c>
      <c r="E16" s="65">
        <f>IF('Danh mục công việc'!D15="","",'Danh mục công việc'!T15)</f>
        <v>46413</v>
      </c>
      <c r="F16" s="49">
        <f>IF('Danh mục công việc'!D15="","",'Danh mục công việc'!M15)</f>
        <v>15</v>
      </c>
      <c r="G16" s="49">
        <f>IF('Danh mục công việc'!D15="","",'Danh mục công việc'!V15)</f>
        <v>0</v>
      </c>
      <c r="H16" s="67" t="str">
        <f>IF('Danh mục công việc'!D15="","",'Danh mục công việc'!W15&amp;"")</f>
        <v>Găng</v>
      </c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</row>
    <row r="17" ht="21.75" customHeight="1">
      <c r="A17" s="56">
        <f>'Danh mục công việc'!A16</f>
        <v>10</v>
      </c>
      <c r="B17" s="73" t="str">
        <f>IF('Danh mục công việc'!D16="","",'Danh mục công việc'!D16)</f>
        <v>Kết cấu thân tầng 3–4</v>
      </c>
      <c r="C17" s="75">
        <f>IF('Danh mục công việc'!D16="","",'Danh mục công việc'!R16)</f>
        <v>46414</v>
      </c>
      <c r="D17" s="75">
        <f>IF('Danh mục công việc'!D16="","",'Danh mục công việc'!S16)</f>
        <v>46441</v>
      </c>
      <c r="E17" s="75">
        <f>IF('Danh mục công việc'!D16="","",'Danh mục công việc'!T16)</f>
        <v>46441</v>
      </c>
      <c r="F17" s="61">
        <f>IF('Danh mục công việc'!D16="","",'Danh mục công việc'!M16)</f>
        <v>15</v>
      </c>
      <c r="G17" s="61">
        <f>IF('Danh mục công việc'!D16="","",'Danh mục công việc'!V16)</f>
        <v>0</v>
      </c>
      <c r="H17" s="81" t="str">
        <f>IF('Danh mục công việc'!D16="","",'Danh mục công việc'!W16&amp;"")</f>
        <v>Găng</v>
      </c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</row>
    <row r="18" ht="21.75" customHeight="1">
      <c r="A18" s="41">
        <f>'Danh mục công việc'!A17</f>
        <v>11</v>
      </c>
      <c r="B18" s="64" t="str">
        <f>IF('Danh mục công việc'!D17="","",'Danh mục công việc'!D17)</f>
        <v>Kết cấu thân tầng 5–6</v>
      </c>
      <c r="C18" s="65">
        <f>IF('Danh mục công việc'!D17="","",'Danh mục công việc'!R17)</f>
        <v>46442</v>
      </c>
      <c r="D18" s="65">
        <f>IF('Danh mục công việc'!D17="","",'Danh mục công việc'!S17)</f>
        <v>46462</v>
      </c>
      <c r="E18" s="65">
        <f>IF('Danh mục công việc'!D17="","",'Danh mục công việc'!T17)</f>
        <v>46485</v>
      </c>
      <c r="F18" s="49">
        <f>IF('Danh mục công việc'!D17="","",'Danh mục công việc'!M17)</f>
        <v>15</v>
      </c>
      <c r="G18" s="49">
        <f>IF('Danh mục công việc'!D17="","",'Danh mục công việc'!V17)</f>
        <v>17</v>
      </c>
      <c r="H18" s="67" t="str">
        <f>IF('Danh mục công việc'!D17="","",'Danh mục công việc'!W17&amp;"")</f>
        <v/>
      </c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</row>
    <row r="19" ht="21.75" customHeight="1">
      <c r="A19" s="56">
        <f>'Danh mục công việc'!A18</f>
        <v>12</v>
      </c>
      <c r="B19" s="73" t="str">
        <f>IF('Danh mục công việc'!D18="","",'Danh mục công việc'!D18)</f>
        <v>Kết cấu thân tầng 7–8</v>
      </c>
      <c r="C19" s="75">
        <f>IF('Danh mục công việc'!D18="","",'Danh mục công việc'!R18)</f>
        <v>46463</v>
      </c>
      <c r="D19" s="75">
        <f>IF('Danh mục công việc'!D18="","",'Danh mục công việc'!S18)</f>
        <v>46483</v>
      </c>
      <c r="E19" s="75">
        <f>IF('Danh mục công việc'!D18="","",'Danh mục công việc'!T18)</f>
        <v>46506</v>
      </c>
      <c r="F19" s="61">
        <f>IF('Danh mục công việc'!D18="","",'Danh mục công việc'!M18)</f>
        <v>15</v>
      </c>
      <c r="G19" s="61">
        <f>IF('Danh mục công việc'!D18="","",'Danh mục công việc'!V18)</f>
        <v>17</v>
      </c>
      <c r="H19" s="81" t="str">
        <f>IF('Danh mục công việc'!D18="","",'Danh mục công việc'!W18&amp;"")</f>
        <v/>
      </c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</row>
    <row r="20" ht="21.75" customHeight="1">
      <c r="A20" s="41">
        <f>'Danh mục công việc'!A19</f>
        <v>13</v>
      </c>
      <c r="B20" s="64" t="str">
        <f>IF('Danh mục công việc'!D19="","",'Danh mục công việc'!D19)</f>
        <v>Kết cấu mái và tum</v>
      </c>
      <c r="C20" s="65">
        <f>IF('Danh mục công việc'!D19="","",'Danh mục công việc'!R19)</f>
        <v>46484</v>
      </c>
      <c r="D20" s="65">
        <f>IF('Danh mục công việc'!D19="","",'Danh mục công việc'!S19)</f>
        <v>46498</v>
      </c>
      <c r="E20" s="65">
        <f>IF('Danh mục công việc'!D19="","",'Danh mục công việc'!T19)</f>
        <v>46626</v>
      </c>
      <c r="F20" s="49">
        <f>IF('Danh mục công việc'!D19="","",'Danh mục công việc'!M19)</f>
        <v>11</v>
      </c>
      <c r="G20" s="49">
        <f>IF('Danh mục công việc'!D19="","",'Danh mục công việc'!V19)</f>
        <v>91</v>
      </c>
      <c r="H20" s="67" t="str">
        <f>IF('Danh mục công việc'!D19="","",'Danh mục công việc'!W19&amp;"")</f>
        <v/>
      </c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</row>
    <row r="21" ht="21.75" customHeight="1">
      <c r="A21" s="56">
        <f>'Danh mục công việc'!A20</f>
        <v>14</v>
      </c>
      <c r="B21" s="73" t="str">
        <f>IF('Danh mục công việc'!D20="","",'Danh mục công việc'!D20)</f>
        <v>Xây tường tầng 1–4</v>
      </c>
      <c r="C21" s="75">
        <f>IF('Danh mục công việc'!D20="","",'Danh mục công việc'!R20)</f>
        <v>46449</v>
      </c>
      <c r="D21" s="75">
        <f>IF('Danh mục công việc'!D20="","",'Danh mục công việc'!S20)</f>
        <v>46506</v>
      </c>
      <c r="E21" s="75">
        <f>IF('Danh mục công việc'!D20="","",'Danh mục công việc'!T20)</f>
        <v>46506</v>
      </c>
      <c r="F21" s="61">
        <f>IF('Danh mục công việc'!D20="","",'Danh mục công việc'!M20)</f>
        <v>42</v>
      </c>
      <c r="G21" s="61">
        <f>IF('Danh mục công việc'!D20="","",'Danh mục công việc'!V20)</f>
        <v>0</v>
      </c>
      <c r="H21" s="81" t="str">
        <f>IF('Danh mục công việc'!D20="","",'Danh mục công việc'!W20&amp;"")</f>
        <v>Găng</v>
      </c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</row>
    <row r="22" ht="21.75" customHeight="1">
      <c r="A22" s="41">
        <f>'Danh mục công việc'!A21</f>
        <v>15</v>
      </c>
      <c r="B22" s="64" t="str">
        <f>IF('Danh mục công việc'!D21="","",'Danh mục công việc'!D21)</f>
        <v>Xây tường tầng 5–8</v>
      </c>
      <c r="C22" s="65">
        <f>IF('Danh mục công việc'!D21="","",'Danh mục công việc'!R21)</f>
        <v>46513</v>
      </c>
      <c r="D22" s="65">
        <f>IF('Danh mục công việc'!D21="","",'Danh mục công việc'!S21)</f>
        <v>46566</v>
      </c>
      <c r="E22" s="65">
        <f>IF('Danh mục công việc'!D21="","",'Danh mục công việc'!T21)</f>
        <v>46566</v>
      </c>
      <c r="F22" s="49">
        <f>IF('Danh mục công việc'!D21="","",'Danh mục công việc'!M21)</f>
        <v>38</v>
      </c>
      <c r="G22" s="49">
        <f>IF('Danh mục công việc'!D21="","",'Danh mục công việc'!V21)</f>
        <v>0</v>
      </c>
      <c r="H22" s="67" t="str">
        <f>IF('Danh mục công việc'!D21="","",'Danh mục công việc'!W21&amp;"")</f>
        <v>Găng</v>
      </c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</row>
    <row r="23" ht="21.75" customHeight="1">
      <c r="A23" s="56">
        <f>'Danh mục công việc'!A22</f>
        <v>16</v>
      </c>
      <c r="B23" s="73" t="str">
        <f>IF('Danh mục công việc'!D22="","",'Danh mục công việc'!D22)</f>
        <v>Lắp đặt hệ thống điện âm tường</v>
      </c>
      <c r="C23" s="75">
        <f>IF('Danh mục công việc'!D22="","",'Danh mục công việc'!R22)</f>
        <v>46510</v>
      </c>
      <c r="D23" s="75">
        <f>IF('Danh mục công việc'!D22="","",'Danh mục công việc'!S22)</f>
        <v>46531</v>
      </c>
      <c r="E23" s="75">
        <f>IF('Danh mục công việc'!D22="","",'Danh mục công việc'!T22)</f>
        <v>46622</v>
      </c>
      <c r="F23" s="61">
        <f>IF('Danh mục công việc'!D22="","",'Danh mục công việc'!M22)</f>
        <v>16</v>
      </c>
      <c r="G23" s="61">
        <f>IF('Danh mục công việc'!D22="","",'Danh mục công việc'!V22)</f>
        <v>65</v>
      </c>
      <c r="H23" s="81" t="str">
        <f>IF('Danh mục công việc'!D22="","",'Danh mục công việc'!W22&amp;"")</f>
        <v/>
      </c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</row>
    <row r="24" ht="21.75" customHeight="1">
      <c r="A24" s="41">
        <f>'Danh mục công việc'!A23</f>
        <v>17</v>
      </c>
      <c r="B24" s="64" t="str">
        <f>IF('Danh mục công việc'!D23="","",'Danh mục công việc'!D23)</f>
        <v>Lắp đặt cấp thoát nước, PCCC</v>
      </c>
      <c r="C24" s="65">
        <f>IF('Danh mục công việc'!D23="","",'Danh mục công việc'!R23)</f>
        <v>46510</v>
      </c>
      <c r="D24" s="65">
        <f>IF('Danh mục công việc'!D23="","",'Danh mục công việc'!S23)</f>
        <v>46535</v>
      </c>
      <c r="E24" s="65">
        <f>IF('Danh mục công việc'!D23="","",'Danh mục công việc'!T23)</f>
        <v>46672</v>
      </c>
      <c r="F24" s="49">
        <f>IF('Danh mục công việc'!D23="","",'Danh mục công việc'!M23)</f>
        <v>20</v>
      </c>
      <c r="G24" s="49">
        <f>IF('Danh mục công việc'!D23="","",'Danh mục công việc'!V23)</f>
        <v>97</v>
      </c>
      <c r="H24" s="67" t="str">
        <f>IF('Danh mục công việc'!D23="","",'Danh mục công việc'!W23&amp;"")</f>
        <v/>
      </c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</row>
    <row r="25" ht="21.75" customHeight="1">
      <c r="A25" s="56">
        <f>'Danh mục công việc'!A24</f>
        <v>18</v>
      </c>
      <c r="B25" s="73" t="str">
        <f>IF('Danh mục công việc'!D24="","",'Danh mục công việc'!D24)</f>
        <v>Trát tường trong và ngoài nhà</v>
      </c>
      <c r="C25" s="75">
        <f>IF('Danh mục công việc'!D24="","",'Danh mục công việc'!R24)</f>
        <v>46553</v>
      </c>
      <c r="D25" s="75">
        <f>IF('Danh mục công việc'!D24="","",'Danh mục công việc'!S24)</f>
        <v>46622</v>
      </c>
      <c r="E25" s="75">
        <f>IF('Danh mục công việc'!D24="","",'Danh mục công việc'!T24)</f>
        <v>46622</v>
      </c>
      <c r="F25" s="61">
        <f>IF('Danh mục công việc'!D24="","",'Danh mục công việc'!M24)</f>
        <v>50</v>
      </c>
      <c r="G25" s="61">
        <f>IF('Danh mục công việc'!D24="","",'Danh mục công việc'!V24)</f>
        <v>0</v>
      </c>
      <c r="H25" s="81" t="str">
        <f>IF('Danh mục công việc'!D24="","",'Danh mục công việc'!W24&amp;"")</f>
        <v>Găng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</row>
    <row r="26" ht="21.75" customHeight="1">
      <c r="A26" s="41">
        <f>'Danh mục công việc'!A25</f>
        <v>19</v>
      </c>
      <c r="B26" s="64" t="str">
        <f>IF('Danh mục công việc'!D25="","",'Danh mục công việc'!D25)</f>
        <v>Ốp lát sàn, tường khu vệ sinh</v>
      </c>
      <c r="C26" s="65">
        <f>IF('Danh mục công việc'!D25="","",'Danh mục công việc'!R25)</f>
        <v>46595</v>
      </c>
      <c r="D26" s="65">
        <f>IF('Danh mục công việc'!D25="","",'Danh mục công việc'!S25)</f>
        <v>46678</v>
      </c>
      <c r="E26" s="65">
        <f>IF('Danh mục công việc'!D25="","",'Danh mục công việc'!T25)</f>
        <v>46728</v>
      </c>
      <c r="F26" s="49">
        <f>IF('Danh mục công việc'!D25="","",'Danh mục công việc'!M25)</f>
        <v>60</v>
      </c>
      <c r="G26" s="49">
        <f>IF('Danh mục công việc'!D25="","",'Danh mục công việc'!V25)</f>
        <v>36</v>
      </c>
      <c r="H26" s="67" t="str">
        <f>IF('Danh mục công việc'!D25="","",'Danh mục công việc'!W25&amp;"")</f>
        <v/>
      </c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</row>
    <row r="27" ht="21.75" customHeight="1">
      <c r="A27" s="56">
        <f>'Danh mục công việc'!A26</f>
        <v>20</v>
      </c>
      <c r="B27" s="73" t="str">
        <f>IF('Danh mục công việc'!D26="","",'Danh mục công việc'!D26)</f>
        <v>Bả, sơn tường và trần</v>
      </c>
      <c r="C27" s="75">
        <f>IF('Danh mục công việc'!D26="","",'Danh mục công việc'!R26)</f>
        <v>46630</v>
      </c>
      <c r="D27" s="75">
        <f>IF('Danh mục công việc'!D26="","",'Danh mục công việc'!S26)</f>
        <v>46699</v>
      </c>
      <c r="E27" s="75">
        <f>IF('Danh mục công việc'!D26="","",'Danh mục công việc'!T26)</f>
        <v>46699</v>
      </c>
      <c r="F27" s="61">
        <f>IF('Danh mục công việc'!D26="","",'Danh mục công việc'!M26)</f>
        <v>50</v>
      </c>
      <c r="G27" s="61">
        <f>IF('Danh mục công việc'!D26="","",'Danh mục công việc'!V26)</f>
        <v>0</v>
      </c>
      <c r="H27" s="81" t="str">
        <f>IF('Danh mục công việc'!D26="","",'Danh mục công việc'!W26&amp;"")</f>
        <v>Găng</v>
      </c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</row>
    <row r="28" ht="21.75" customHeight="1">
      <c r="A28" s="41">
        <f>'Danh mục công việc'!A27</f>
        <v>21</v>
      </c>
      <c r="B28" s="64" t="str">
        <f>IF('Danh mục công việc'!D27="","",'Danh mục công việc'!D27)</f>
        <v>Lắp cửa nhôm kính</v>
      </c>
      <c r="C28" s="65">
        <f>IF('Danh mục công việc'!D27="","",'Danh mục công việc'!R27)</f>
        <v>46651</v>
      </c>
      <c r="D28" s="65">
        <f>IF('Danh mục công việc'!D27="","",'Danh mục công việc'!S27)</f>
        <v>46679</v>
      </c>
      <c r="E28" s="65">
        <f>IF('Danh mục công việc'!D27="","",'Danh mục công việc'!T27)</f>
        <v>46679</v>
      </c>
      <c r="F28" s="49">
        <f>IF('Danh mục công việc'!D27="","",'Danh mục công việc'!M27)</f>
        <v>21</v>
      </c>
      <c r="G28" s="49">
        <f>IF('Danh mục công việc'!D27="","",'Danh mục công việc'!V27)</f>
        <v>0</v>
      </c>
      <c r="H28" s="67" t="str">
        <f>IF('Danh mục công việc'!D27="","",'Danh mục công việc'!W27&amp;"")</f>
        <v>Găng</v>
      </c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</row>
    <row r="29" ht="21.75" customHeight="1">
      <c r="A29" s="56">
        <f>'Danh mục công việc'!A28</f>
        <v>22</v>
      </c>
      <c r="B29" s="73" t="str">
        <f>IF('Danh mục công việc'!D28="","",'Danh mục công việc'!D28)</f>
        <v>Lắp đặt thang máy</v>
      </c>
      <c r="C29" s="75">
        <f>IF('Danh mục công việc'!D28="","",'Danh mục công việc'!R28)</f>
        <v>46528</v>
      </c>
      <c r="D29" s="75">
        <f>IF('Danh mục công việc'!D28="","",'Danh mục công việc'!S28)</f>
        <v>46590</v>
      </c>
      <c r="E29" s="75">
        <f>IF('Danh mục công việc'!D28="","",'Danh mục công việc'!T28)</f>
        <v>46717</v>
      </c>
      <c r="F29" s="61">
        <f>IF('Danh mục công việc'!D28="","",'Danh mục công việc'!M28)</f>
        <v>45</v>
      </c>
      <c r="G29" s="61">
        <f>IF('Danh mục công việc'!D28="","",'Danh mục công việc'!V28)</f>
        <v>91</v>
      </c>
      <c r="H29" s="81" t="str">
        <f>IF('Danh mục công việc'!D28="","",'Danh mục công việc'!W28&amp;"")</f>
        <v/>
      </c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</row>
    <row r="30" ht="21.75" customHeight="1">
      <c r="A30" s="41">
        <f>'Danh mục công việc'!A29</f>
        <v>23</v>
      </c>
      <c r="B30" s="64" t="str">
        <f>IF('Danh mục công việc'!D29="","",'Danh mục công việc'!D29)</f>
        <v>Lắp thiết bị điện, thiết bị vệ sinh</v>
      </c>
      <c r="C30" s="65">
        <f>IF('Danh mục công việc'!D29="","",'Danh mục công việc'!R29)</f>
        <v>46686</v>
      </c>
      <c r="D30" s="65">
        <f>IF('Danh mục công việc'!D29="","",'Danh mục công việc'!S29)</f>
        <v>46703</v>
      </c>
      <c r="E30" s="65">
        <f>IF('Danh mục công việc'!D29="","",'Danh mục công việc'!T29)</f>
        <v>46703</v>
      </c>
      <c r="F30" s="49">
        <f>IF('Danh mục công việc'!D29="","",'Danh mục công việc'!M29)</f>
        <v>14</v>
      </c>
      <c r="G30" s="49">
        <f>IF('Danh mục công việc'!D29="","",'Danh mục công việc'!V29)</f>
        <v>0</v>
      </c>
      <c r="H30" s="67" t="str">
        <f>IF('Danh mục công việc'!D29="","",'Danh mục công việc'!W29&amp;"")</f>
        <v>Găng</v>
      </c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</row>
    <row r="31" ht="21.75" customHeight="1">
      <c r="A31" s="56">
        <f>'Danh mục công việc'!A30</f>
        <v>24</v>
      </c>
      <c r="B31" s="73" t="str">
        <f>IF('Danh mục công việc'!D30="","",'Danh mục công việc'!D30)</f>
        <v>Hạ tầng kỹ thuật ngoài nhà, sân đường</v>
      </c>
      <c r="C31" s="75">
        <f>IF('Danh mục công việc'!D30="","",'Danh mục công việc'!R30)</f>
        <v>46680</v>
      </c>
      <c r="D31" s="75">
        <f>IF('Danh mục công việc'!D30="","",'Danh mục công việc'!S30)</f>
        <v>46703</v>
      </c>
      <c r="E31" s="75">
        <f>IF('Danh mục công việc'!D30="","",'Danh mục công việc'!T30)</f>
        <v>46703</v>
      </c>
      <c r="F31" s="61">
        <f>IF('Danh mục công việc'!D30="","",'Danh mục công việc'!M30)</f>
        <v>18</v>
      </c>
      <c r="G31" s="61">
        <f>IF('Danh mục công việc'!D30="","",'Danh mục công việc'!V30)</f>
        <v>0</v>
      </c>
      <c r="H31" s="81" t="str">
        <f>IF('Danh mục công việc'!D30="","",'Danh mục công việc'!W30&amp;"")</f>
        <v>Găng</v>
      </c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</row>
    <row r="32" ht="21.75" customHeight="1">
      <c r="A32" s="41">
        <f>'Danh mục công việc'!A31</f>
        <v>25</v>
      </c>
      <c r="B32" s="64" t="str">
        <f>IF('Danh mục công việc'!D31="","",'Danh mục công việc'!D31)</f>
        <v>Vệ sinh công nghiệp, hoàn thiện cuối cùng</v>
      </c>
      <c r="C32" s="65">
        <f>IF('Danh mục công việc'!D31="","",'Danh mục công việc'!R31)</f>
        <v>46706</v>
      </c>
      <c r="D32" s="65">
        <f>IF('Danh mục công việc'!D31="","",'Danh mục công việc'!S31)</f>
        <v>46717</v>
      </c>
      <c r="E32" s="65">
        <f>IF('Danh mục công việc'!D31="","",'Danh mục công việc'!T31)</f>
        <v>46717</v>
      </c>
      <c r="F32" s="49">
        <f>IF('Danh mục công việc'!D31="","",'Danh mục công việc'!M31)</f>
        <v>10</v>
      </c>
      <c r="G32" s="49">
        <f>IF('Danh mục công việc'!D31="","",'Danh mục công việc'!V31)</f>
        <v>0</v>
      </c>
      <c r="H32" s="67" t="str">
        <f>IF('Danh mục công việc'!D31="","",'Danh mục công việc'!W31&amp;"")</f>
        <v>Găng</v>
      </c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</row>
    <row r="33" ht="21.75" customHeight="1">
      <c r="A33" s="56">
        <f>'Danh mục công việc'!A32</f>
        <v>26</v>
      </c>
      <c r="B33" s="73" t="str">
        <f>IF('Danh mục công việc'!D32="","",'Danh mục công việc'!D32)</f>
        <v>Nghiệm thu, bàn giao công trình</v>
      </c>
      <c r="C33" s="75">
        <f>IF('Danh mục công việc'!D32="","",'Danh mục công việc'!R32)</f>
        <v>46720</v>
      </c>
      <c r="D33" s="75">
        <f>IF('Danh mục công việc'!D32="","",'Danh mục công việc'!S32)</f>
        <v>46728</v>
      </c>
      <c r="E33" s="75">
        <f>IF('Danh mục công việc'!D32="","",'Danh mục công việc'!T32)</f>
        <v>46728</v>
      </c>
      <c r="F33" s="61">
        <f>IF('Danh mục công việc'!D32="","",'Danh mục công việc'!M32)</f>
        <v>7</v>
      </c>
      <c r="G33" s="61">
        <f>IF('Danh mục công việc'!D32="","",'Danh mục công việc'!V32)</f>
        <v>0</v>
      </c>
      <c r="H33" s="81" t="str">
        <f>IF('Danh mục công việc'!D32="","",'Danh mục công việc'!W32&amp;"")</f>
        <v>Găng</v>
      </c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</row>
    <row r="34" ht="21.75" customHeight="1">
      <c r="A34" s="41" t="str">
        <f>'Danh mục công việc'!A33</f>
        <v/>
      </c>
      <c r="B34" s="64" t="str">
        <f>IF('Danh mục công việc'!D33="","",'Danh mục công việc'!D33)</f>
        <v/>
      </c>
      <c r="C34" s="65" t="str">
        <f>IF('Danh mục công việc'!D33="","",'Danh mục công việc'!R33)</f>
        <v/>
      </c>
      <c r="D34" s="65" t="str">
        <f>IF('Danh mục công việc'!D33="","",'Danh mục công việc'!S33)</f>
        <v/>
      </c>
      <c r="E34" s="65" t="str">
        <f>IF('Danh mục công việc'!D33="","",'Danh mục công việc'!T33)</f>
        <v/>
      </c>
      <c r="F34" s="41" t="str">
        <f>IF('Danh mục công việc'!D33="","",'Danh mục công việc'!M33)</f>
        <v/>
      </c>
      <c r="G34" s="41" t="str">
        <f>IF('Danh mục công việc'!D33="","",'Danh mục công việc'!V33)</f>
        <v/>
      </c>
      <c r="H34" s="67" t="str">
        <f>IF('Danh mục công việc'!D33="","",'Danh mục công việc'!W33&amp;"")</f>
        <v/>
      </c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</row>
    <row r="35" ht="21.75" customHeight="1">
      <c r="A35" s="56" t="str">
        <f>'Danh mục công việc'!A34</f>
        <v/>
      </c>
      <c r="B35" s="73" t="str">
        <f>IF('Danh mục công việc'!D34="","",'Danh mục công việc'!D34)</f>
        <v/>
      </c>
      <c r="C35" s="75" t="str">
        <f>IF('Danh mục công việc'!D34="","",'Danh mục công việc'!R34)</f>
        <v/>
      </c>
      <c r="D35" s="75" t="str">
        <f>IF('Danh mục công việc'!D34="","",'Danh mục công việc'!S34)</f>
        <v/>
      </c>
      <c r="E35" s="75" t="str">
        <f>IF('Danh mục công việc'!D34="","",'Danh mục công việc'!T34)</f>
        <v/>
      </c>
      <c r="F35" s="56" t="str">
        <f>IF('Danh mục công việc'!D34="","",'Danh mục công việc'!M34)</f>
        <v/>
      </c>
      <c r="G35" s="56" t="str">
        <f>IF('Danh mục công việc'!D34="","",'Danh mục công việc'!V34)</f>
        <v/>
      </c>
      <c r="H35" s="81" t="str">
        <f>IF('Danh mục công việc'!D34="","",'Danh mục công việc'!W34&amp;"")</f>
        <v/>
      </c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</row>
    <row r="36" ht="21.75" customHeight="1">
      <c r="A36" s="41" t="str">
        <f>'Danh mục công việc'!A35</f>
        <v/>
      </c>
      <c r="B36" s="64" t="str">
        <f>IF('Danh mục công việc'!D35="","",'Danh mục công việc'!D35)</f>
        <v/>
      </c>
      <c r="C36" s="65" t="str">
        <f>IF('Danh mục công việc'!D35="","",'Danh mục công việc'!R35)</f>
        <v/>
      </c>
      <c r="D36" s="65" t="str">
        <f>IF('Danh mục công việc'!D35="","",'Danh mục công việc'!S35)</f>
        <v/>
      </c>
      <c r="E36" s="65" t="str">
        <f>IF('Danh mục công việc'!D35="","",'Danh mục công việc'!T35)</f>
        <v/>
      </c>
      <c r="F36" s="41" t="str">
        <f>IF('Danh mục công việc'!D35="","",'Danh mục công việc'!M35)</f>
        <v/>
      </c>
      <c r="G36" s="41" t="str">
        <f>IF('Danh mục công việc'!D35="","",'Danh mục công việc'!V35)</f>
        <v/>
      </c>
      <c r="H36" s="67" t="str">
        <f>IF('Danh mục công việc'!D35="","",'Danh mục công việc'!W35&amp;"")</f>
        <v/>
      </c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</row>
    <row r="37" ht="21.75" customHeight="1">
      <c r="A37" s="56" t="str">
        <f>'Danh mục công việc'!A36</f>
        <v/>
      </c>
      <c r="B37" s="73" t="str">
        <f>IF('Danh mục công việc'!D36="","",'Danh mục công việc'!D36)</f>
        <v/>
      </c>
      <c r="C37" s="75" t="str">
        <f>IF('Danh mục công việc'!D36="","",'Danh mục công việc'!R36)</f>
        <v/>
      </c>
      <c r="D37" s="75" t="str">
        <f>IF('Danh mục công việc'!D36="","",'Danh mục công việc'!S36)</f>
        <v/>
      </c>
      <c r="E37" s="75" t="str">
        <f>IF('Danh mục công việc'!D36="","",'Danh mục công việc'!T36)</f>
        <v/>
      </c>
      <c r="F37" s="56" t="str">
        <f>IF('Danh mục công việc'!D36="","",'Danh mục công việc'!M36)</f>
        <v/>
      </c>
      <c r="G37" s="56" t="str">
        <f>IF('Danh mục công việc'!D36="","",'Danh mục công việc'!V36)</f>
        <v/>
      </c>
      <c r="H37" s="81" t="str">
        <f>IF('Danh mục công việc'!D36="","",'Danh mục công việc'!W36&amp;"")</f>
        <v/>
      </c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</row>
    <row r="38" ht="21.75" customHeight="1">
      <c r="A38" s="41" t="str">
        <f>'Danh mục công việc'!A37</f>
        <v/>
      </c>
      <c r="B38" s="64" t="str">
        <f>IF('Danh mục công việc'!D37="","",'Danh mục công việc'!D37)</f>
        <v/>
      </c>
      <c r="C38" s="65" t="str">
        <f>IF('Danh mục công việc'!D37="","",'Danh mục công việc'!R37)</f>
        <v/>
      </c>
      <c r="D38" s="65" t="str">
        <f>IF('Danh mục công việc'!D37="","",'Danh mục công việc'!S37)</f>
        <v/>
      </c>
      <c r="E38" s="65" t="str">
        <f>IF('Danh mục công việc'!D37="","",'Danh mục công việc'!T37)</f>
        <v/>
      </c>
      <c r="F38" s="41" t="str">
        <f>IF('Danh mục công việc'!D37="","",'Danh mục công việc'!M37)</f>
        <v/>
      </c>
      <c r="G38" s="41" t="str">
        <f>IF('Danh mục công việc'!D37="","",'Danh mục công việc'!V37)</f>
        <v/>
      </c>
      <c r="H38" s="67" t="str">
        <f>IF('Danh mục công việc'!D37="","",'Danh mục công việc'!W37&amp;"")</f>
        <v/>
      </c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</row>
    <row r="39" ht="21.75" customHeight="1">
      <c r="A39" s="56" t="str">
        <f>'Danh mục công việc'!A38</f>
        <v/>
      </c>
      <c r="B39" s="73" t="str">
        <f>IF('Danh mục công việc'!D38="","",'Danh mục công việc'!D38)</f>
        <v/>
      </c>
      <c r="C39" s="75" t="str">
        <f>IF('Danh mục công việc'!D38="","",'Danh mục công việc'!R38)</f>
        <v/>
      </c>
      <c r="D39" s="75" t="str">
        <f>IF('Danh mục công việc'!D38="","",'Danh mục công việc'!S38)</f>
        <v/>
      </c>
      <c r="E39" s="75" t="str">
        <f>IF('Danh mục công việc'!D38="","",'Danh mục công việc'!T38)</f>
        <v/>
      </c>
      <c r="F39" s="56" t="str">
        <f>IF('Danh mục công việc'!D38="","",'Danh mục công việc'!M38)</f>
        <v/>
      </c>
      <c r="G39" s="56" t="str">
        <f>IF('Danh mục công việc'!D38="","",'Danh mục công việc'!V38)</f>
        <v/>
      </c>
      <c r="H39" s="81" t="str">
        <f>IF('Danh mục công việc'!D38="","",'Danh mục công việc'!W38&amp;"")</f>
        <v/>
      </c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</row>
    <row r="40" ht="21.75" customHeight="1">
      <c r="A40" s="41" t="str">
        <f>'Danh mục công việc'!A39</f>
        <v/>
      </c>
      <c r="B40" s="64" t="str">
        <f>IF('Danh mục công việc'!D39="","",'Danh mục công việc'!D39)</f>
        <v/>
      </c>
      <c r="C40" s="65" t="str">
        <f>IF('Danh mục công việc'!D39="","",'Danh mục công việc'!R39)</f>
        <v/>
      </c>
      <c r="D40" s="65" t="str">
        <f>IF('Danh mục công việc'!D39="","",'Danh mục công việc'!S39)</f>
        <v/>
      </c>
      <c r="E40" s="65" t="str">
        <f>IF('Danh mục công việc'!D39="","",'Danh mục công việc'!T39)</f>
        <v/>
      </c>
      <c r="F40" s="41" t="str">
        <f>IF('Danh mục công việc'!D39="","",'Danh mục công việc'!M39)</f>
        <v/>
      </c>
      <c r="G40" s="41" t="str">
        <f>IF('Danh mục công việc'!D39="","",'Danh mục công việc'!V39)</f>
        <v/>
      </c>
      <c r="H40" s="67" t="str">
        <f>IF('Danh mục công việc'!D39="","",'Danh mục công việc'!W39&amp;"")</f>
        <v/>
      </c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</row>
    <row r="41" ht="21.75" customHeight="1">
      <c r="A41" s="56" t="str">
        <f>'Danh mục công việc'!A40</f>
        <v/>
      </c>
      <c r="B41" s="73" t="str">
        <f>IF('Danh mục công việc'!D40="","",'Danh mục công việc'!D40)</f>
        <v/>
      </c>
      <c r="C41" s="75" t="str">
        <f>IF('Danh mục công việc'!D40="","",'Danh mục công việc'!R40)</f>
        <v/>
      </c>
      <c r="D41" s="75" t="str">
        <f>IF('Danh mục công việc'!D40="","",'Danh mục công việc'!S40)</f>
        <v/>
      </c>
      <c r="E41" s="75" t="str">
        <f>IF('Danh mục công việc'!D40="","",'Danh mục công việc'!T40)</f>
        <v/>
      </c>
      <c r="F41" s="56" t="str">
        <f>IF('Danh mục công việc'!D40="","",'Danh mục công việc'!M40)</f>
        <v/>
      </c>
      <c r="G41" s="56" t="str">
        <f>IF('Danh mục công việc'!D40="","",'Danh mục công việc'!V40)</f>
        <v/>
      </c>
      <c r="H41" s="81" t="str">
        <f>IF('Danh mục công việc'!D40="","",'Danh mục công việc'!W40&amp;"")</f>
        <v/>
      </c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</row>
    <row r="42" ht="21.75" customHeight="1">
      <c r="A42" s="41" t="str">
        <f>'Danh mục công việc'!A41</f>
        <v/>
      </c>
      <c r="B42" s="64" t="str">
        <f>IF('Danh mục công việc'!D41="","",'Danh mục công việc'!D41)</f>
        <v/>
      </c>
      <c r="C42" s="65" t="str">
        <f>IF('Danh mục công việc'!D41="","",'Danh mục công việc'!R41)</f>
        <v/>
      </c>
      <c r="D42" s="65" t="str">
        <f>IF('Danh mục công việc'!D41="","",'Danh mục công việc'!S41)</f>
        <v/>
      </c>
      <c r="E42" s="65" t="str">
        <f>IF('Danh mục công việc'!D41="","",'Danh mục công việc'!T41)</f>
        <v/>
      </c>
      <c r="F42" s="41" t="str">
        <f>IF('Danh mục công việc'!D41="","",'Danh mục công việc'!M41)</f>
        <v/>
      </c>
      <c r="G42" s="41" t="str">
        <f>IF('Danh mục công việc'!D41="","",'Danh mục công việc'!V41)</f>
        <v/>
      </c>
      <c r="H42" s="67" t="str">
        <f>IF('Danh mục công việc'!D41="","",'Danh mục công việc'!W41&amp;"")</f>
        <v/>
      </c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</row>
    <row r="43" ht="21.75" customHeight="1">
      <c r="A43" s="56" t="str">
        <f>'Danh mục công việc'!A42</f>
        <v/>
      </c>
      <c r="B43" s="73" t="str">
        <f>IF('Danh mục công việc'!D42="","",'Danh mục công việc'!D42)</f>
        <v/>
      </c>
      <c r="C43" s="75" t="str">
        <f>IF('Danh mục công việc'!D42="","",'Danh mục công việc'!R42)</f>
        <v/>
      </c>
      <c r="D43" s="75" t="str">
        <f>IF('Danh mục công việc'!D42="","",'Danh mục công việc'!S42)</f>
        <v/>
      </c>
      <c r="E43" s="75" t="str">
        <f>IF('Danh mục công việc'!D42="","",'Danh mục công việc'!T42)</f>
        <v/>
      </c>
      <c r="F43" s="56" t="str">
        <f>IF('Danh mục công việc'!D42="","",'Danh mục công việc'!M42)</f>
        <v/>
      </c>
      <c r="G43" s="56" t="str">
        <f>IF('Danh mục công việc'!D42="","",'Danh mục công việc'!V42)</f>
        <v/>
      </c>
      <c r="H43" s="81" t="str">
        <f>IF('Danh mục công việc'!D42="","",'Danh mục công việc'!W42&amp;"")</f>
        <v/>
      </c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</row>
    <row r="44" ht="21.75" customHeight="1">
      <c r="A44" s="41" t="str">
        <f>'Danh mục công việc'!A43</f>
        <v/>
      </c>
      <c r="B44" s="64" t="str">
        <f>IF('Danh mục công việc'!D43="","",'Danh mục công việc'!D43)</f>
        <v/>
      </c>
      <c r="C44" s="65" t="str">
        <f>IF('Danh mục công việc'!D43="","",'Danh mục công việc'!R43)</f>
        <v/>
      </c>
      <c r="D44" s="65" t="str">
        <f>IF('Danh mục công việc'!D43="","",'Danh mục công việc'!S43)</f>
        <v/>
      </c>
      <c r="E44" s="65" t="str">
        <f>IF('Danh mục công việc'!D43="","",'Danh mục công việc'!T43)</f>
        <v/>
      </c>
      <c r="F44" s="41" t="str">
        <f>IF('Danh mục công việc'!D43="","",'Danh mục công việc'!M43)</f>
        <v/>
      </c>
      <c r="G44" s="41" t="str">
        <f>IF('Danh mục công việc'!D43="","",'Danh mục công việc'!V43)</f>
        <v/>
      </c>
      <c r="H44" s="67" t="str">
        <f>IF('Danh mục công việc'!D43="","",'Danh mục công việc'!W43&amp;"")</f>
        <v/>
      </c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</row>
    <row r="45" ht="21.75" customHeight="1">
      <c r="A45" s="56" t="str">
        <f>'Danh mục công việc'!A44</f>
        <v/>
      </c>
      <c r="B45" s="73" t="str">
        <f>IF('Danh mục công việc'!D44="","",'Danh mục công việc'!D44)</f>
        <v/>
      </c>
      <c r="C45" s="75" t="str">
        <f>IF('Danh mục công việc'!D44="","",'Danh mục công việc'!R44)</f>
        <v/>
      </c>
      <c r="D45" s="75" t="str">
        <f>IF('Danh mục công việc'!D44="","",'Danh mục công việc'!S44)</f>
        <v/>
      </c>
      <c r="E45" s="75" t="str">
        <f>IF('Danh mục công việc'!D44="","",'Danh mục công việc'!T44)</f>
        <v/>
      </c>
      <c r="F45" s="56" t="str">
        <f>IF('Danh mục công việc'!D44="","",'Danh mục công việc'!M44)</f>
        <v/>
      </c>
      <c r="G45" s="56" t="str">
        <f>IF('Danh mục công việc'!D44="","",'Danh mục công việc'!V44)</f>
        <v/>
      </c>
      <c r="H45" s="81" t="str">
        <f>IF('Danh mục công việc'!D44="","",'Danh mục công việc'!W44&amp;"")</f>
        <v/>
      </c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</row>
    <row r="46" ht="21.75" customHeight="1">
      <c r="A46" s="41" t="str">
        <f>'Danh mục công việc'!A45</f>
        <v/>
      </c>
      <c r="B46" s="64" t="str">
        <f>IF('Danh mục công việc'!D45="","",'Danh mục công việc'!D45)</f>
        <v/>
      </c>
      <c r="C46" s="65" t="str">
        <f>IF('Danh mục công việc'!D45="","",'Danh mục công việc'!R45)</f>
        <v/>
      </c>
      <c r="D46" s="65" t="str">
        <f>IF('Danh mục công việc'!D45="","",'Danh mục công việc'!S45)</f>
        <v/>
      </c>
      <c r="E46" s="65" t="str">
        <f>IF('Danh mục công việc'!D45="","",'Danh mục công việc'!T45)</f>
        <v/>
      </c>
      <c r="F46" s="41" t="str">
        <f>IF('Danh mục công việc'!D45="","",'Danh mục công việc'!M45)</f>
        <v/>
      </c>
      <c r="G46" s="41" t="str">
        <f>IF('Danh mục công việc'!D45="","",'Danh mục công việc'!V45)</f>
        <v/>
      </c>
      <c r="H46" s="67" t="str">
        <f>IF('Danh mục công việc'!D45="","",'Danh mục công việc'!W45&amp;"")</f>
        <v/>
      </c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</row>
    <row r="47" ht="21.75" customHeight="1">
      <c r="A47" s="56" t="str">
        <f>'Danh mục công việc'!A46</f>
        <v/>
      </c>
      <c r="B47" s="73" t="str">
        <f>IF('Danh mục công việc'!D46="","",'Danh mục công việc'!D46)</f>
        <v/>
      </c>
      <c r="C47" s="75" t="str">
        <f>IF('Danh mục công việc'!D46="","",'Danh mục công việc'!R46)</f>
        <v/>
      </c>
      <c r="D47" s="75" t="str">
        <f>IF('Danh mục công việc'!D46="","",'Danh mục công việc'!S46)</f>
        <v/>
      </c>
      <c r="E47" s="75" t="str">
        <f>IF('Danh mục công việc'!D46="","",'Danh mục công việc'!T46)</f>
        <v/>
      </c>
      <c r="F47" s="56" t="str">
        <f>IF('Danh mục công việc'!D46="","",'Danh mục công việc'!M46)</f>
        <v/>
      </c>
      <c r="G47" s="56" t="str">
        <f>IF('Danh mục công việc'!D46="","",'Danh mục công việc'!V46)</f>
        <v/>
      </c>
      <c r="H47" s="81" t="str">
        <f>IF('Danh mục công việc'!D46="","",'Danh mục công việc'!W46&amp;"")</f>
        <v/>
      </c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</row>
    <row r="48" ht="21.75" customHeight="1">
      <c r="A48" s="41" t="str">
        <f>'Danh mục công việc'!A47</f>
        <v/>
      </c>
      <c r="B48" s="64" t="str">
        <f>IF('Danh mục công việc'!D47="","",'Danh mục công việc'!D47)</f>
        <v/>
      </c>
      <c r="C48" s="65" t="str">
        <f>IF('Danh mục công việc'!D47="","",'Danh mục công việc'!R47)</f>
        <v/>
      </c>
      <c r="D48" s="65" t="str">
        <f>IF('Danh mục công việc'!D47="","",'Danh mục công việc'!S47)</f>
        <v/>
      </c>
      <c r="E48" s="65" t="str">
        <f>IF('Danh mục công việc'!D47="","",'Danh mục công việc'!T47)</f>
        <v/>
      </c>
      <c r="F48" s="41" t="str">
        <f>IF('Danh mục công việc'!D47="","",'Danh mục công việc'!M47)</f>
        <v/>
      </c>
      <c r="G48" s="41" t="str">
        <f>IF('Danh mục công việc'!D47="","",'Danh mục công việc'!V47)</f>
        <v/>
      </c>
      <c r="H48" s="67" t="str">
        <f>IF('Danh mục công việc'!D47="","",'Danh mục công việc'!W47&amp;"")</f>
        <v/>
      </c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</row>
    <row r="49" ht="21.75" customHeight="1">
      <c r="A49" s="56" t="str">
        <f>'Danh mục công việc'!A48</f>
        <v/>
      </c>
      <c r="B49" s="73" t="str">
        <f>IF('Danh mục công việc'!D48="","",'Danh mục công việc'!D48)</f>
        <v/>
      </c>
      <c r="C49" s="75" t="str">
        <f>IF('Danh mục công việc'!D48="","",'Danh mục công việc'!R48)</f>
        <v/>
      </c>
      <c r="D49" s="75" t="str">
        <f>IF('Danh mục công việc'!D48="","",'Danh mục công việc'!S48)</f>
        <v/>
      </c>
      <c r="E49" s="75" t="str">
        <f>IF('Danh mục công việc'!D48="","",'Danh mục công việc'!T48)</f>
        <v/>
      </c>
      <c r="F49" s="56" t="str">
        <f>IF('Danh mục công việc'!D48="","",'Danh mục công việc'!M48)</f>
        <v/>
      </c>
      <c r="G49" s="56" t="str">
        <f>IF('Danh mục công việc'!D48="","",'Danh mục công việc'!V48)</f>
        <v/>
      </c>
      <c r="H49" s="81" t="str">
        <f>IF('Danh mục công việc'!D48="","",'Danh mục công việc'!W48&amp;"")</f>
        <v/>
      </c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</row>
    <row r="50" ht="21.75" customHeight="1">
      <c r="A50" s="41" t="str">
        <f>'Danh mục công việc'!A49</f>
        <v/>
      </c>
      <c r="B50" s="64" t="str">
        <f>IF('Danh mục công việc'!D49="","",'Danh mục công việc'!D49)</f>
        <v/>
      </c>
      <c r="C50" s="65" t="str">
        <f>IF('Danh mục công việc'!D49="","",'Danh mục công việc'!R49)</f>
        <v/>
      </c>
      <c r="D50" s="65" t="str">
        <f>IF('Danh mục công việc'!D49="","",'Danh mục công việc'!S49)</f>
        <v/>
      </c>
      <c r="E50" s="65" t="str">
        <f>IF('Danh mục công việc'!D49="","",'Danh mục công việc'!T49)</f>
        <v/>
      </c>
      <c r="F50" s="41" t="str">
        <f>IF('Danh mục công việc'!D49="","",'Danh mục công việc'!M49)</f>
        <v/>
      </c>
      <c r="G50" s="41" t="str">
        <f>IF('Danh mục công việc'!D49="","",'Danh mục công việc'!V49)</f>
        <v/>
      </c>
      <c r="H50" s="67" t="str">
        <f>IF('Danh mục công việc'!D49="","",'Danh mục công việc'!W49&amp;"")</f>
        <v/>
      </c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</row>
    <row r="51" ht="21.75" customHeight="1">
      <c r="A51" s="56" t="str">
        <f>'Danh mục công việc'!A50</f>
        <v/>
      </c>
      <c r="B51" s="73" t="str">
        <f>IF('Danh mục công việc'!D50="","",'Danh mục công việc'!D50)</f>
        <v/>
      </c>
      <c r="C51" s="75" t="str">
        <f>IF('Danh mục công việc'!D50="","",'Danh mục công việc'!R50)</f>
        <v/>
      </c>
      <c r="D51" s="75" t="str">
        <f>IF('Danh mục công việc'!D50="","",'Danh mục công việc'!S50)</f>
        <v/>
      </c>
      <c r="E51" s="75" t="str">
        <f>IF('Danh mục công việc'!D50="","",'Danh mục công việc'!T50)</f>
        <v/>
      </c>
      <c r="F51" s="56" t="str">
        <f>IF('Danh mục công việc'!D50="","",'Danh mục công việc'!M50)</f>
        <v/>
      </c>
      <c r="G51" s="56" t="str">
        <f>IF('Danh mục công việc'!D50="","",'Danh mục công việc'!V50)</f>
        <v/>
      </c>
      <c r="H51" s="81" t="str">
        <f>IF('Danh mục công việc'!D50="","",'Danh mục công việc'!W50&amp;"")</f>
        <v/>
      </c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</row>
    <row r="52" ht="21.75" customHeight="1">
      <c r="A52" s="41" t="str">
        <f>'Danh mục công việc'!A51</f>
        <v/>
      </c>
      <c r="B52" s="64" t="str">
        <f>IF('Danh mục công việc'!D51="","",'Danh mục công việc'!D51)</f>
        <v/>
      </c>
      <c r="C52" s="65" t="str">
        <f>IF('Danh mục công việc'!D51="","",'Danh mục công việc'!R51)</f>
        <v/>
      </c>
      <c r="D52" s="65" t="str">
        <f>IF('Danh mục công việc'!D51="","",'Danh mục công việc'!S51)</f>
        <v/>
      </c>
      <c r="E52" s="65" t="str">
        <f>IF('Danh mục công việc'!D51="","",'Danh mục công việc'!T51)</f>
        <v/>
      </c>
      <c r="F52" s="41" t="str">
        <f>IF('Danh mục công việc'!D51="","",'Danh mục công việc'!M51)</f>
        <v/>
      </c>
      <c r="G52" s="41" t="str">
        <f>IF('Danh mục công việc'!D51="","",'Danh mục công việc'!V51)</f>
        <v/>
      </c>
      <c r="H52" s="67" t="str">
        <f>IF('Danh mục công việc'!D51="","",'Danh mục công việc'!W51&amp;"")</f>
        <v/>
      </c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</row>
    <row r="53" ht="21.75" customHeight="1">
      <c r="A53" s="56" t="str">
        <f>'Danh mục công việc'!A52</f>
        <v/>
      </c>
      <c r="B53" s="73" t="str">
        <f>IF('Danh mục công việc'!D52="","",'Danh mục công việc'!D52)</f>
        <v/>
      </c>
      <c r="C53" s="75" t="str">
        <f>IF('Danh mục công việc'!D52="","",'Danh mục công việc'!R52)</f>
        <v/>
      </c>
      <c r="D53" s="75" t="str">
        <f>IF('Danh mục công việc'!D52="","",'Danh mục công việc'!S52)</f>
        <v/>
      </c>
      <c r="E53" s="75" t="str">
        <f>IF('Danh mục công việc'!D52="","",'Danh mục công việc'!T52)</f>
        <v/>
      </c>
      <c r="F53" s="56" t="str">
        <f>IF('Danh mục công việc'!D52="","",'Danh mục công việc'!M52)</f>
        <v/>
      </c>
      <c r="G53" s="56" t="str">
        <f>IF('Danh mục công việc'!D52="","",'Danh mục công việc'!V52)</f>
        <v/>
      </c>
      <c r="H53" s="81" t="str">
        <f>IF('Danh mục công việc'!D52="","",'Danh mục công việc'!W52&amp;"")</f>
        <v/>
      </c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70"/>
    </row>
    <row r="54" ht="21.75" customHeight="1">
      <c r="A54" s="41" t="str">
        <f>'Danh mục công việc'!A53</f>
        <v/>
      </c>
      <c r="B54" s="64" t="str">
        <f>IF('Danh mục công việc'!D53="","",'Danh mục công việc'!D53)</f>
        <v/>
      </c>
      <c r="C54" s="65" t="str">
        <f>IF('Danh mục công việc'!D53="","",'Danh mục công việc'!R53)</f>
        <v/>
      </c>
      <c r="D54" s="65" t="str">
        <f>IF('Danh mục công việc'!D53="","",'Danh mục công việc'!S53)</f>
        <v/>
      </c>
      <c r="E54" s="65" t="str">
        <f>IF('Danh mục công việc'!D53="","",'Danh mục công việc'!T53)</f>
        <v/>
      </c>
      <c r="F54" s="41" t="str">
        <f>IF('Danh mục công việc'!D53="","",'Danh mục công việc'!M53)</f>
        <v/>
      </c>
      <c r="G54" s="41" t="str">
        <f>IF('Danh mục công việc'!D53="","",'Danh mục công việc'!V53)</f>
        <v/>
      </c>
      <c r="H54" s="67" t="str">
        <f>IF('Danh mục công việc'!D53="","",'Danh mục công việc'!W53&amp;"")</f>
        <v/>
      </c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</row>
    <row r="55" ht="21.75" customHeight="1">
      <c r="A55" s="56" t="str">
        <f>'Danh mục công việc'!A54</f>
        <v/>
      </c>
      <c r="B55" s="73" t="str">
        <f>IF('Danh mục công việc'!D54="","",'Danh mục công việc'!D54)</f>
        <v/>
      </c>
      <c r="C55" s="75" t="str">
        <f>IF('Danh mục công việc'!D54="","",'Danh mục công việc'!R54)</f>
        <v/>
      </c>
      <c r="D55" s="75" t="str">
        <f>IF('Danh mục công việc'!D54="","",'Danh mục công việc'!S54)</f>
        <v/>
      </c>
      <c r="E55" s="75" t="str">
        <f>IF('Danh mục công việc'!D54="","",'Danh mục công việc'!T54)</f>
        <v/>
      </c>
      <c r="F55" s="56" t="str">
        <f>IF('Danh mục công việc'!D54="","",'Danh mục công việc'!M54)</f>
        <v/>
      </c>
      <c r="G55" s="56" t="str">
        <f>IF('Danh mục công việc'!D54="","",'Danh mục công việc'!V54)</f>
        <v/>
      </c>
      <c r="H55" s="81" t="str">
        <f>IF('Danh mục công việc'!D54="","",'Danh mục công việc'!W54&amp;"")</f>
        <v/>
      </c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</row>
    <row r="56" ht="21.75" customHeight="1">
      <c r="A56" s="41" t="str">
        <f>'Danh mục công việc'!A55</f>
        <v/>
      </c>
      <c r="B56" s="64" t="str">
        <f>IF('Danh mục công việc'!D55="","",'Danh mục công việc'!D55)</f>
        <v/>
      </c>
      <c r="C56" s="65" t="str">
        <f>IF('Danh mục công việc'!D55="","",'Danh mục công việc'!R55)</f>
        <v/>
      </c>
      <c r="D56" s="65" t="str">
        <f>IF('Danh mục công việc'!D55="","",'Danh mục công việc'!S55)</f>
        <v/>
      </c>
      <c r="E56" s="65" t="str">
        <f>IF('Danh mục công việc'!D55="","",'Danh mục công việc'!T55)</f>
        <v/>
      </c>
      <c r="F56" s="41" t="str">
        <f>IF('Danh mục công việc'!D55="","",'Danh mục công việc'!M55)</f>
        <v/>
      </c>
      <c r="G56" s="41" t="str">
        <f>IF('Danh mục công việc'!D55="","",'Danh mục công việc'!V55)</f>
        <v/>
      </c>
      <c r="H56" s="67" t="str">
        <f>IF('Danh mục công việc'!D55="","",'Danh mục công việc'!W55&amp;"")</f>
        <v/>
      </c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</row>
    <row r="57" ht="21.75" customHeight="1">
      <c r="A57" s="56" t="str">
        <f>'Danh mục công việc'!A56</f>
        <v/>
      </c>
      <c r="B57" s="73" t="str">
        <f>IF('Danh mục công việc'!D56="","",'Danh mục công việc'!D56)</f>
        <v/>
      </c>
      <c r="C57" s="75" t="str">
        <f>IF('Danh mục công việc'!D56="","",'Danh mục công việc'!R56)</f>
        <v/>
      </c>
      <c r="D57" s="75" t="str">
        <f>IF('Danh mục công việc'!D56="","",'Danh mục công việc'!S56)</f>
        <v/>
      </c>
      <c r="E57" s="75" t="str">
        <f>IF('Danh mục công việc'!D56="","",'Danh mục công việc'!T56)</f>
        <v/>
      </c>
      <c r="F57" s="56" t="str">
        <f>IF('Danh mục công việc'!D56="","",'Danh mục công việc'!M56)</f>
        <v/>
      </c>
      <c r="G57" s="56" t="str">
        <f>IF('Danh mục công việc'!D56="","",'Danh mục công việc'!V56)</f>
        <v/>
      </c>
      <c r="H57" s="81" t="str">
        <f>IF('Danh mục công việc'!D56="","",'Danh mục công việc'!W56&amp;"")</f>
        <v/>
      </c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  <c r="BM57" s="70"/>
      <c r="BN57" s="70"/>
      <c r="BO57" s="70"/>
      <c r="BP57" s="70"/>
    </row>
    <row r="58" ht="21.75" customHeight="1">
      <c r="A58" s="41" t="str">
        <f>'Danh mục công việc'!A57</f>
        <v/>
      </c>
      <c r="B58" s="64" t="str">
        <f>IF('Danh mục công việc'!D57="","",'Danh mục công việc'!D57)</f>
        <v/>
      </c>
      <c r="C58" s="65" t="str">
        <f>IF('Danh mục công việc'!D57="","",'Danh mục công việc'!R57)</f>
        <v/>
      </c>
      <c r="D58" s="65" t="str">
        <f>IF('Danh mục công việc'!D57="","",'Danh mục công việc'!S57)</f>
        <v/>
      </c>
      <c r="E58" s="65" t="str">
        <f>IF('Danh mục công việc'!D57="","",'Danh mục công việc'!T57)</f>
        <v/>
      </c>
      <c r="F58" s="41" t="str">
        <f>IF('Danh mục công việc'!D57="","",'Danh mục công việc'!M57)</f>
        <v/>
      </c>
      <c r="G58" s="41" t="str">
        <f>IF('Danh mục công việc'!D57="","",'Danh mục công việc'!V57)</f>
        <v/>
      </c>
      <c r="H58" s="67" t="str">
        <f>IF('Danh mục công việc'!D57="","",'Danh mục công việc'!W57&amp;"")</f>
        <v/>
      </c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0"/>
      <c r="BM58" s="70"/>
      <c r="BN58" s="70"/>
      <c r="BO58" s="70"/>
      <c r="BP58" s="70"/>
    </row>
    <row r="59" ht="21.75" customHeight="1">
      <c r="A59" s="56" t="str">
        <f>'Danh mục công việc'!A58</f>
        <v/>
      </c>
      <c r="B59" s="73" t="str">
        <f>IF('Danh mục công việc'!D58="","",'Danh mục công việc'!D58)</f>
        <v/>
      </c>
      <c r="C59" s="75" t="str">
        <f>IF('Danh mục công việc'!D58="","",'Danh mục công việc'!R58)</f>
        <v/>
      </c>
      <c r="D59" s="75" t="str">
        <f>IF('Danh mục công việc'!D58="","",'Danh mục công việc'!S58)</f>
        <v/>
      </c>
      <c r="E59" s="75" t="str">
        <f>IF('Danh mục công việc'!D58="","",'Danh mục công việc'!T58)</f>
        <v/>
      </c>
      <c r="F59" s="56" t="str">
        <f>IF('Danh mục công việc'!D58="","",'Danh mục công việc'!M58)</f>
        <v/>
      </c>
      <c r="G59" s="56" t="str">
        <f>IF('Danh mục công việc'!D58="","",'Danh mục công việc'!V58)</f>
        <v/>
      </c>
      <c r="H59" s="81" t="str">
        <f>IF('Danh mục công việc'!D58="","",'Danh mục công việc'!W58&amp;"")</f>
        <v/>
      </c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/>
      <c r="BM59" s="70"/>
      <c r="BN59" s="70"/>
      <c r="BO59" s="70"/>
      <c r="BP59" s="70"/>
    </row>
    <row r="60" ht="21.75" customHeight="1">
      <c r="A60" s="41" t="str">
        <f>'Danh mục công việc'!A59</f>
        <v/>
      </c>
      <c r="B60" s="64" t="str">
        <f>IF('Danh mục công việc'!D59="","",'Danh mục công việc'!D59)</f>
        <v/>
      </c>
      <c r="C60" s="65" t="str">
        <f>IF('Danh mục công việc'!D59="","",'Danh mục công việc'!R59)</f>
        <v/>
      </c>
      <c r="D60" s="65" t="str">
        <f>IF('Danh mục công việc'!D59="","",'Danh mục công việc'!S59)</f>
        <v/>
      </c>
      <c r="E60" s="65" t="str">
        <f>IF('Danh mục công việc'!D59="","",'Danh mục công việc'!T59)</f>
        <v/>
      </c>
      <c r="F60" s="41" t="str">
        <f>IF('Danh mục công việc'!D59="","",'Danh mục công việc'!M59)</f>
        <v/>
      </c>
      <c r="G60" s="41" t="str">
        <f>IF('Danh mục công việc'!D59="","",'Danh mục công việc'!V59)</f>
        <v/>
      </c>
      <c r="H60" s="67" t="str">
        <f>IF('Danh mục công việc'!D59="","",'Danh mục công việc'!W59&amp;"")</f>
        <v/>
      </c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</row>
    <row r="61" ht="21.75" customHeight="1">
      <c r="A61" s="56" t="str">
        <f>'Danh mục công việc'!A60</f>
        <v/>
      </c>
      <c r="B61" s="73" t="str">
        <f>IF('Danh mục công việc'!D60="","",'Danh mục công việc'!D60)</f>
        <v/>
      </c>
      <c r="C61" s="75" t="str">
        <f>IF('Danh mục công việc'!D60="","",'Danh mục công việc'!R60)</f>
        <v/>
      </c>
      <c r="D61" s="75" t="str">
        <f>IF('Danh mục công việc'!D60="","",'Danh mục công việc'!S60)</f>
        <v/>
      </c>
      <c r="E61" s="75" t="str">
        <f>IF('Danh mục công việc'!D60="","",'Danh mục công việc'!T60)</f>
        <v/>
      </c>
      <c r="F61" s="56" t="str">
        <f>IF('Danh mục công việc'!D60="","",'Danh mục công việc'!M60)</f>
        <v/>
      </c>
      <c r="G61" s="56" t="str">
        <f>IF('Danh mục công việc'!D60="","",'Danh mục công việc'!V60)</f>
        <v/>
      </c>
      <c r="H61" s="81" t="str">
        <f>IF('Danh mục công việc'!D60="","",'Danh mục công việc'!W60&amp;"")</f>
        <v/>
      </c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70"/>
      <c r="BN61" s="70"/>
      <c r="BO61" s="70"/>
      <c r="BP61" s="70"/>
    </row>
    <row r="62" ht="21.75" customHeight="1">
      <c r="A62" s="41" t="str">
        <f>'Danh mục công việc'!A61</f>
        <v/>
      </c>
      <c r="B62" s="64" t="str">
        <f>IF('Danh mục công việc'!D61="","",'Danh mục công việc'!D61)</f>
        <v/>
      </c>
      <c r="C62" s="65" t="str">
        <f>IF('Danh mục công việc'!D61="","",'Danh mục công việc'!R61)</f>
        <v/>
      </c>
      <c r="D62" s="65" t="str">
        <f>IF('Danh mục công việc'!D61="","",'Danh mục công việc'!S61)</f>
        <v/>
      </c>
      <c r="E62" s="65" t="str">
        <f>IF('Danh mục công việc'!D61="","",'Danh mục công việc'!T61)</f>
        <v/>
      </c>
      <c r="F62" s="41" t="str">
        <f>IF('Danh mục công việc'!D61="","",'Danh mục công việc'!M61)</f>
        <v/>
      </c>
      <c r="G62" s="41" t="str">
        <f>IF('Danh mục công việc'!D61="","",'Danh mục công việc'!V61)</f>
        <v/>
      </c>
      <c r="H62" s="67" t="str">
        <f>IF('Danh mục công việc'!D61="","",'Danh mục công việc'!W61&amp;"")</f>
        <v/>
      </c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</row>
    <row r="63" ht="21.75" customHeight="1">
      <c r="A63" s="56" t="str">
        <f>'Danh mục công việc'!A62</f>
        <v/>
      </c>
      <c r="B63" s="73" t="str">
        <f>IF('Danh mục công việc'!D62="","",'Danh mục công việc'!D62)</f>
        <v/>
      </c>
      <c r="C63" s="75" t="str">
        <f>IF('Danh mục công việc'!D62="","",'Danh mục công việc'!R62)</f>
        <v/>
      </c>
      <c r="D63" s="75" t="str">
        <f>IF('Danh mục công việc'!D62="","",'Danh mục công việc'!S62)</f>
        <v/>
      </c>
      <c r="E63" s="75" t="str">
        <f>IF('Danh mục công việc'!D62="","",'Danh mục công việc'!T62)</f>
        <v/>
      </c>
      <c r="F63" s="56" t="str">
        <f>IF('Danh mục công việc'!D62="","",'Danh mục công việc'!M62)</f>
        <v/>
      </c>
      <c r="G63" s="56" t="str">
        <f>IF('Danh mục công việc'!D62="","",'Danh mục công việc'!V62)</f>
        <v/>
      </c>
      <c r="H63" s="81" t="str">
        <f>IF('Danh mục công việc'!D62="","",'Danh mục công việc'!W62&amp;"")</f>
        <v/>
      </c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</row>
    <row r="64" ht="21.75" customHeight="1">
      <c r="A64" s="41" t="str">
        <f>'Danh mục công việc'!A63</f>
        <v/>
      </c>
      <c r="B64" s="64" t="str">
        <f>IF('Danh mục công việc'!D63="","",'Danh mục công việc'!D63)</f>
        <v/>
      </c>
      <c r="C64" s="65" t="str">
        <f>IF('Danh mục công việc'!D63="","",'Danh mục công việc'!R63)</f>
        <v/>
      </c>
      <c r="D64" s="65" t="str">
        <f>IF('Danh mục công việc'!D63="","",'Danh mục công việc'!S63)</f>
        <v/>
      </c>
      <c r="E64" s="65" t="str">
        <f>IF('Danh mục công việc'!D63="","",'Danh mục công việc'!T63)</f>
        <v/>
      </c>
      <c r="F64" s="41" t="str">
        <f>IF('Danh mục công việc'!D63="","",'Danh mục công việc'!M63)</f>
        <v/>
      </c>
      <c r="G64" s="41" t="str">
        <f>IF('Danh mục công việc'!D63="","",'Danh mục công việc'!V63)</f>
        <v/>
      </c>
      <c r="H64" s="67" t="str">
        <f>IF('Danh mục công việc'!D63="","",'Danh mục công việc'!W63&amp;"")</f>
        <v/>
      </c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</row>
    <row r="65" ht="21.75" customHeight="1">
      <c r="A65" s="56" t="str">
        <f>'Danh mục công việc'!A64</f>
        <v/>
      </c>
      <c r="B65" s="73" t="str">
        <f>IF('Danh mục công việc'!D64="","",'Danh mục công việc'!D64)</f>
        <v/>
      </c>
      <c r="C65" s="75" t="str">
        <f>IF('Danh mục công việc'!D64="","",'Danh mục công việc'!R64)</f>
        <v/>
      </c>
      <c r="D65" s="75" t="str">
        <f>IF('Danh mục công việc'!D64="","",'Danh mục công việc'!S64)</f>
        <v/>
      </c>
      <c r="E65" s="75" t="str">
        <f>IF('Danh mục công việc'!D64="","",'Danh mục công việc'!T64)</f>
        <v/>
      </c>
      <c r="F65" s="56" t="str">
        <f>IF('Danh mục công việc'!D64="","",'Danh mục công việc'!M64)</f>
        <v/>
      </c>
      <c r="G65" s="56" t="str">
        <f>IF('Danh mục công việc'!D64="","",'Danh mục công việc'!V64)</f>
        <v/>
      </c>
      <c r="H65" s="81" t="str">
        <f>IF('Danh mục công việc'!D64="","",'Danh mục công việc'!W64&amp;"")</f>
        <v/>
      </c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</row>
    <row r="66" ht="21.75" customHeight="1">
      <c r="A66" s="41" t="str">
        <f>'Danh mục công việc'!A65</f>
        <v/>
      </c>
      <c r="B66" s="64" t="str">
        <f>IF('Danh mục công việc'!D65="","",'Danh mục công việc'!D65)</f>
        <v/>
      </c>
      <c r="C66" s="65" t="str">
        <f>IF('Danh mục công việc'!D65="","",'Danh mục công việc'!R65)</f>
        <v/>
      </c>
      <c r="D66" s="65" t="str">
        <f>IF('Danh mục công việc'!D65="","",'Danh mục công việc'!S65)</f>
        <v/>
      </c>
      <c r="E66" s="65" t="str">
        <f>IF('Danh mục công việc'!D65="","",'Danh mục công việc'!T65)</f>
        <v/>
      </c>
      <c r="F66" s="41" t="str">
        <f>IF('Danh mục công việc'!D65="","",'Danh mục công việc'!M65)</f>
        <v/>
      </c>
      <c r="G66" s="41" t="str">
        <f>IF('Danh mục công việc'!D65="","",'Danh mục công việc'!V65)</f>
        <v/>
      </c>
      <c r="H66" s="67" t="str">
        <f>IF('Danh mục công việc'!D65="","",'Danh mục công việc'!W65&amp;"")</f>
        <v/>
      </c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0"/>
      <c r="BL66" s="70"/>
      <c r="BM66" s="70"/>
      <c r="BN66" s="70"/>
      <c r="BO66" s="70"/>
      <c r="BP66" s="70"/>
    </row>
    <row r="67" ht="21.75" customHeight="1">
      <c r="A67" s="56" t="str">
        <f>'Danh mục công việc'!A66</f>
        <v/>
      </c>
      <c r="B67" s="73" t="str">
        <f>IF('Danh mục công việc'!D66="","",'Danh mục công việc'!D66)</f>
        <v/>
      </c>
      <c r="C67" s="75" t="str">
        <f>IF('Danh mục công việc'!D66="","",'Danh mục công việc'!R66)</f>
        <v/>
      </c>
      <c r="D67" s="75" t="str">
        <f>IF('Danh mục công việc'!D66="","",'Danh mục công việc'!S66)</f>
        <v/>
      </c>
      <c r="E67" s="75" t="str">
        <f>IF('Danh mục công việc'!D66="","",'Danh mục công việc'!T66)</f>
        <v/>
      </c>
      <c r="F67" s="56" t="str">
        <f>IF('Danh mục công việc'!D66="","",'Danh mục công việc'!M66)</f>
        <v/>
      </c>
      <c r="G67" s="56" t="str">
        <f>IF('Danh mục công việc'!D66="","",'Danh mục công việc'!V66)</f>
        <v/>
      </c>
      <c r="H67" s="81" t="str">
        <f>IF('Danh mục công việc'!D66="","",'Danh mục công việc'!W66&amp;"")</f>
        <v/>
      </c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  <c r="BM67" s="70"/>
      <c r="BN67" s="70"/>
      <c r="BO67" s="70"/>
      <c r="BP67" s="70"/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D6:D7"/>
    <mergeCell ref="E6:E7"/>
    <mergeCell ref="F6:F7"/>
    <mergeCell ref="G6:G7"/>
    <mergeCell ref="AA4:AF4"/>
    <mergeCell ref="I2:AH2"/>
    <mergeCell ref="I4:N4"/>
    <mergeCell ref="O4:T4"/>
    <mergeCell ref="U4:Z4"/>
    <mergeCell ref="A6:A7"/>
    <mergeCell ref="B6:B7"/>
    <mergeCell ref="C6:C7"/>
    <mergeCell ref="H6:H7"/>
  </mergeCells>
  <conditionalFormatting sqref="I8:BP67">
    <cfRule type="expression" dxfId="5" priority="1">
      <formula>AND($C8&lt;&gt;"",$H8="Găng",$C8&lt;=I$7+6,$D8&gt;=I$7)</formula>
    </cfRule>
  </conditionalFormatting>
  <conditionalFormatting sqref="I8:BP67">
    <cfRule type="expression" dxfId="6" priority="2">
      <formula>AND($C8&lt;&gt;"",$C8&lt;=I$7+6,$D8&gt;=I$7)</formula>
    </cfRule>
  </conditionalFormatting>
  <conditionalFormatting sqref="I8:BP67">
    <cfRule type="expression" dxfId="7" priority="3">
      <formula>AND($C8&lt;&gt;"",$D8&lt;I$7+6,$E8&gt;=I$7)</formula>
    </cfRule>
  </conditionalFormatting>
  <conditionalFormatting sqref="I8:BP67">
    <cfRule type="expression" dxfId="8" priority="4">
      <formula>AND($B8&lt;&gt;"",$C$4&gt;=I$7,$C$4&lt;=I$7+6)</formula>
    </cfRule>
  </conditionalFormatting>
  <conditionalFormatting sqref="I7:BP7">
    <cfRule type="expression" dxfId="9" priority="5">
      <formula>AND($C$4&gt;=I7,$C$4&lt;=I7+6)</formula>
    </cfRule>
  </conditionalFormatting>
  <conditionalFormatting sqref="H8:H67">
    <cfRule type="cellIs" dxfId="1" priority="6" operator="equal">
      <formula>"Găng"</formula>
    </cfRule>
  </conditionalFormatting>
  <printOptions/>
  <pageMargins bottom="1.0" footer="0.0" header="0.0" left="0.4" right="0.4" top="1.0"/>
  <pageSetup fitToHeight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A6A6"/>
    <pageSetUpPr fitToPage="1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7.0"/>
    <col customWidth="1" min="2" max="4" width="13.0"/>
    <col customWidth="1" min="5" max="5" width="15.0"/>
    <col customWidth="1" min="6" max="7" width="20.0"/>
    <col customWidth="1" min="8" max="8" width="12.0"/>
    <col customWidth="1" min="9" max="26" width="8.57"/>
  </cols>
  <sheetData>
    <row r="2" ht="31.5" customHeight="1">
      <c r="A2" s="1" t="s">
        <v>84</v>
      </c>
    </row>
    <row r="3">
      <c r="A3" s="16" t="str">
        <f>"Công trình: "&amp;IF('Cấu hình'!C6="","(chưa nhập)",'Cấu hình'!C6)</f>
        <v>Công trình: Tòa nhà văn phòng ABC – 8 tầng (dữ liệu mẫu)</v>
      </c>
    </row>
    <row r="5">
      <c r="A5" s="33" t="s">
        <v>103</v>
      </c>
    </row>
    <row r="7" ht="43.5" customHeight="1">
      <c r="A7" s="5" t="s">
        <v>104</v>
      </c>
      <c r="B7" s="5" t="s">
        <v>106</v>
      </c>
      <c r="C7" s="5" t="s">
        <v>108</v>
      </c>
      <c r="D7" s="5" t="s">
        <v>110</v>
      </c>
      <c r="E7" s="5" t="s">
        <v>114</v>
      </c>
      <c r="F7" s="5" t="s">
        <v>115</v>
      </c>
      <c r="G7" s="5" t="s">
        <v>116</v>
      </c>
      <c r="H7" s="5" t="s">
        <v>117</v>
      </c>
    </row>
    <row r="8" ht="19.5" customHeight="1">
      <c r="A8" s="41">
        <v>1.0</v>
      </c>
      <c r="B8" s="42">
        <f>'Cấu hình'!$C$15-WEEKDAY('Cấu hình'!$C$15,2)+1</f>
        <v>46328</v>
      </c>
      <c r="C8" s="42">
        <f t="shared" ref="C8:C67" si="1">B8+6</f>
        <v>46334</v>
      </c>
      <c r="D8" s="41">
        <f>SUMPRODUCT(('Danh mục công việc'!$AC$7:$AC$66&gt;0)*('Danh mục công việc'!$AC$7:$AC$66&lt;=C8)*('Danh mục công việc'!$AD$7:$AD$66&gt;=B8))</f>
        <v>1</v>
      </c>
      <c r="E8" s="49">
        <f>SUMPRODUCT(('Danh mục công việc'!$AC$7:$AC$66&gt;0)*('Danh mục công việc'!$AC$7:$AC$66&lt;=C8)*('Danh mục công việc'!$AD$7:$AD$66&gt;=B8)*'Danh mục công việc'!$AF$7:$AF$66)</f>
        <v>15</v>
      </c>
      <c r="F8" s="47">
        <f>SUMPRODUCT(('Danh mục công việc'!$AC$7:$AC$66&gt;0)*'Danh mục công việc'!$AE$7:$AE$66/('Danh mục công việc'!$AD$7:$AD$66-'Danh mục công việc'!$AC$7:$AC$66+1)*(((('Danh mục công việc'!$AD$7:$AD$66&lt;C8)*'Danh mục công việc'!$AD$7:$AD$66+('Danh mục công việc'!$AD$7:$AD$66&gt;=C8)*C8)-(('Danh mục công việc'!$AC$7:$AC$66&gt;B8)*'Danh mục công việc'!$AC$7:$AC$66+('Danh mục công việc'!$AC$7:$AC$66&lt;=B8)*B8)+1)&gt;0)*((('Danh mục công việc'!$AD$7:$AD$66&lt;C8)*'Danh mục công việc'!$AD$7:$AD$66+('Danh mục công việc'!$AD$7:$AD$66&gt;=C8)*C8)-(('Danh mục công việc'!$AC$7:$AC$66&gt;B8)*'Danh mục công việc'!$AC$7:$AC$66+('Danh mục công việc'!$AC$7:$AC$66&lt;=B8)*B8)+1))</f>
        <v>225000000</v>
      </c>
      <c r="G8" s="47">
        <f>F8</f>
        <v>225000000</v>
      </c>
      <c r="H8" s="55">
        <f>IF('Danh mục công việc'!$H$67=0,0,G8/'Danh mục công việc'!$H$67)</f>
        <v>0.006060442816</v>
      </c>
    </row>
    <row r="9" ht="19.5" customHeight="1">
      <c r="A9" s="56">
        <v>2.0</v>
      </c>
      <c r="B9" s="57">
        <f t="shared" ref="B9:B67" si="2">B8+7</f>
        <v>46335</v>
      </c>
      <c r="C9" s="57">
        <f t="shared" si="1"/>
        <v>46341</v>
      </c>
      <c r="D9" s="56">
        <f>SUMPRODUCT(('Danh mục công việc'!$AC$7:$AC$66&gt;0)*('Danh mục công việc'!$AC$7:$AC$66&lt;=C9)*('Danh mục công việc'!$AD$7:$AD$66&gt;=B9))</f>
        <v>1</v>
      </c>
      <c r="E9" s="61">
        <f>SUMPRODUCT(('Danh mục công việc'!$AC$7:$AC$66&gt;0)*('Danh mục công việc'!$AC$7:$AC$66&lt;=C9)*('Danh mục công việc'!$AD$7:$AD$66&gt;=B9)*'Danh mục công việc'!$AF$7:$AF$66)</f>
        <v>6</v>
      </c>
      <c r="F9" s="66">
        <f>SUMPRODUCT(('Danh mục công việc'!$AC$7:$AC$66&gt;0)*'Danh mục công việc'!$AE$7:$AE$66/('Danh mục công việc'!$AD$7:$AD$66-'Danh mục công việc'!$AC$7:$AC$66+1)*(((('Danh mục công việc'!$AD$7:$AD$66&lt;C9)*'Danh mục công việc'!$AD$7:$AD$66+('Danh mục công việc'!$AD$7:$AD$66&gt;=C9)*C9)-(('Danh mục công việc'!$AC$7:$AC$66&gt;B9)*'Danh mục công việc'!$AC$7:$AC$66+('Danh mục công việc'!$AC$7:$AC$66&lt;=B9)*B9)+1)&gt;0)*((('Danh mục công việc'!$AD$7:$AD$66&lt;C9)*'Danh mục công việc'!$AD$7:$AD$66+('Danh mục công việc'!$AD$7:$AD$66&gt;=C9)*C9)-(('Danh mục công việc'!$AC$7:$AC$66&gt;B9)*'Danh mục công việc'!$AC$7:$AC$66+('Danh mục công việc'!$AC$7:$AC$66&lt;=B9)*B9)+1))</f>
        <v>85000000</v>
      </c>
      <c r="G9" s="66">
        <f t="shared" ref="G9:G67" si="3">G8+F9</f>
        <v>310000000</v>
      </c>
      <c r="H9" s="69">
        <f>IF('Danh mục công việc'!$H$67=0,0,G9/'Danh mục công việc'!$H$67)</f>
        <v>0.008349943436</v>
      </c>
    </row>
    <row r="10" ht="19.5" customHeight="1">
      <c r="A10" s="41">
        <v>3.0</v>
      </c>
      <c r="B10" s="42">
        <f t="shared" si="2"/>
        <v>46342</v>
      </c>
      <c r="C10" s="42">
        <f t="shared" si="1"/>
        <v>46348</v>
      </c>
      <c r="D10" s="41">
        <f>SUMPRODUCT(('Danh mục công việc'!$AC$7:$AC$66&gt;0)*('Danh mục công việc'!$AC$7:$AC$66&lt;=C10)*('Danh mục công việc'!$AD$7:$AD$66&gt;=B10))</f>
        <v>2</v>
      </c>
      <c r="E10" s="49">
        <f>SUMPRODUCT(('Danh mục công việc'!$AC$7:$AC$66&gt;0)*('Danh mục công việc'!$AC$7:$AC$66&lt;=C10)*('Danh mục công việc'!$AD$7:$AD$66&gt;=B10)*'Danh mục công việc'!$AF$7:$AF$66)</f>
        <v>16</v>
      </c>
      <c r="F10" s="47">
        <f>SUMPRODUCT(('Danh mục công việc'!$AC$7:$AC$66&gt;0)*'Danh mục công việc'!$AE$7:$AE$66/('Danh mục công việc'!$AD$7:$AD$66-'Danh mục công việc'!$AC$7:$AC$66+1)*(((('Danh mục công việc'!$AD$7:$AD$66&lt;C10)*'Danh mục công việc'!$AD$7:$AD$66+('Danh mục công việc'!$AD$7:$AD$66&gt;=C10)*C10)-(('Danh mục công việc'!$AC$7:$AC$66&gt;B10)*'Danh mục công việc'!$AC$7:$AC$66+('Danh mục công việc'!$AC$7:$AC$66&lt;=B10)*B10)+1)&gt;0)*((('Danh mục công việc'!$AD$7:$AD$66&lt;C10)*'Danh mục công việc'!$AD$7:$AD$66+('Danh mục công việc'!$AD$7:$AD$66&gt;=C10)*C10)-(('Danh mục công việc'!$AC$7:$AC$66&gt;B10)*'Danh mục công việc'!$AC$7:$AC$66+('Danh mục công việc'!$AC$7:$AC$66&lt;=B10)*B10)+1))</f>
        <v>778857142.9</v>
      </c>
      <c r="G10" s="47">
        <f t="shared" si="3"/>
        <v>1088857143</v>
      </c>
      <c r="H10" s="55">
        <f>IF('Danh mục công việc'!$H$67=0,0,G10/'Danh mục công việc'!$H$67)</f>
        <v>0.02932869533</v>
      </c>
    </row>
    <row r="11" ht="19.5" customHeight="1">
      <c r="A11" s="56">
        <v>4.0</v>
      </c>
      <c r="B11" s="57">
        <f t="shared" si="2"/>
        <v>46349</v>
      </c>
      <c r="C11" s="57">
        <f t="shared" si="1"/>
        <v>46355</v>
      </c>
      <c r="D11" s="56">
        <f>SUMPRODUCT(('Danh mục công việc'!$AC$7:$AC$66&gt;0)*('Danh mục công việc'!$AC$7:$AC$66&lt;=C11)*('Danh mục công việc'!$AD$7:$AD$66&gt;=B11))</f>
        <v>3</v>
      </c>
      <c r="E11" s="61">
        <f>SUMPRODUCT(('Danh mục công việc'!$AC$7:$AC$66&gt;0)*('Danh mục công việc'!$AC$7:$AC$66&lt;=C11)*('Danh mục công việc'!$AD$7:$AD$66&gt;=B11)*'Danh mục công việc'!$AF$7:$AF$66)</f>
        <v>58</v>
      </c>
      <c r="F11" s="66">
        <f>SUMPRODUCT(('Danh mục công việc'!$AC$7:$AC$66&gt;0)*'Danh mục công việc'!$AE$7:$AE$66/('Danh mục công việc'!$AD$7:$AD$66-'Danh mục công việc'!$AC$7:$AC$66+1)*(((('Danh mục công việc'!$AD$7:$AD$66&lt;C11)*'Danh mục công việc'!$AD$7:$AD$66+('Danh mục công việc'!$AD$7:$AD$66&gt;=C11)*C11)-(('Danh mục công việc'!$AC$7:$AC$66&gt;B11)*'Danh mục công việc'!$AC$7:$AC$66+('Danh mục công việc'!$AC$7:$AC$66&lt;=B11)*B11)+1)&gt;0)*((('Danh mục công việc'!$AD$7:$AD$66&lt;C11)*'Danh mục công việc'!$AD$7:$AD$66+('Danh mục công việc'!$AD$7:$AD$66&gt;=C11)*C11)-(('Danh mục công việc'!$AC$7:$AC$66&gt;B11)*'Danh mục công việc'!$AC$7:$AC$66+('Danh mục công việc'!$AC$7:$AC$66&lt;=B11)*B11)+1))</f>
        <v>613743506.5</v>
      </c>
      <c r="G11" s="66">
        <f t="shared" si="3"/>
        <v>1702600649</v>
      </c>
      <c r="H11" s="69">
        <f>IF('Danh mục công việc'!$H$67=0,0,G11/'Danh mục công việc'!$H$67)</f>
        <v>0.04586006166</v>
      </c>
    </row>
    <row r="12" ht="19.5" customHeight="1">
      <c r="A12" s="41">
        <v>5.0</v>
      </c>
      <c r="B12" s="42">
        <f t="shared" si="2"/>
        <v>46356</v>
      </c>
      <c r="C12" s="42">
        <f t="shared" si="1"/>
        <v>46362</v>
      </c>
      <c r="D12" s="41">
        <f>SUMPRODUCT(('Danh mục công việc'!$AC$7:$AC$66&gt;0)*('Danh mục công việc'!$AC$7:$AC$66&lt;=C12)*('Danh mục công việc'!$AD$7:$AD$66&gt;=B12))</f>
        <v>2</v>
      </c>
      <c r="E12" s="49">
        <f>SUMPRODUCT(('Danh mục công việc'!$AC$7:$AC$66&gt;0)*('Danh mục công việc'!$AC$7:$AC$66&lt;=C12)*('Danh mục công việc'!$AD$7:$AD$66&gt;=B12)*'Danh mục công việc'!$AF$7:$AF$66)</f>
        <v>48</v>
      </c>
      <c r="F12" s="47">
        <f>SUMPRODUCT(('Danh mục công việc'!$AC$7:$AC$66&gt;0)*'Danh mục công việc'!$AE$7:$AE$66/('Danh mục công việc'!$AD$7:$AD$66-'Danh mục công việc'!$AC$7:$AC$66+1)*(((('Danh mục công việc'!$AD$7:$AD$66&lt;C12)*'Danh mục công việc'!$AD$7:$AD$66+('Danh mục công việc'!$AD$7:$AD$66&gt;=C12)*C12)-(('Danh mục công việc'!$AC$7:$AC$66&gt;B12)*'Danh mục công việc'!$AC$7:$AC$66+('Danh mục công việc'!$AC$7:$AC$66&lt;=B12)*B12)+1)&gt;0)*((('Danh mục công việc'!$AD$7:$AD$66&lt;C12)*'Danh mục công việc'!$AD$7:$AD$66+('Danh mục công việc'!$AD$7:$AD$66&gt;=C12)*C12)-(('Danh mục công việc'!$AC$7:$AC$66&gt;B12)*'Danh mục công việc'!$AC$7:$AC$66+('Danh mục công việc'!$AC$7:$AC$66&lt;=B12)*B12)+1))</f>
        <v>1000068182</v>
      </c>
      <c r="G12" s="47">
        <f t="shared" si="3"/>
        <v>2702668831</v>
      </c>
      <c r="H12" s="55">
        <f>IF('Danh mục công việc'!$H$67=0,0,G12/'Danh mục công việc'!$H$67)</f>
        <v>0.07279719957</v>
      </c>
    </row>
    <row r="13" ht="19.5" customHeight="1">
      <c r="A13" s="56">
        <v>6.0</v>
      </c>
      <c r="B13" s="57">
        <f t="shared" si="2"/>
        <v>46363</v>
      </c>
      <c r="C13" s="57">
        <f t="shared" si="1"/>
        <v>46369</v>
      </c>
      <c r="D13" s="56">
        <f>SUMPRODUCT(('Danh mục công việc'!$AC$7:$AC$66&gt;0)*('Danh mục công việc'!$AC$7:$AC$66&lt;=C13)*('Danh mục công việc'!$AD$7:$AD$66&gt;=B13))</f>
        <v>3</v>
      </c>
      <c r="E13" s="61">
        <f>SUMPRODUCT(('Danh mục công việc'!$AC$7:$AC$66&gt;0)*('Danh mục công việc'!$AC$7:$AC$66&lt;=C13)*('Danh mục công việc'!$AD$7:$AD$66&gt;=B13)*'Danh mục công việc'!$AF$7:$AF$66)</f>
        <v>63</v>
      </c>
      <c r="F13" s="66">
        <f>SUMPRODUCT(('Danh mục công việc'!$AC$7:$AC$66&gt;0)*'Danh mục công việc'!$AE$7:$AE$66/('Danh mục công việc'!$AD$7:$AD$66-'Danh mục công việc'!$AC$7:$AC$66+1)*(((('Danh mục công việc'!$AD$7:$AD$66&lt;C13)*'Danh mục công việc'!$AD$7:$AD$66+('Danh mục công việc'!$AD$7:$AD$66&gt;=C13)*C13)-(('Danh mục công việc'!$AC$7:$AC$66&gt;B13)*'Danh mục công việc'!$AC$7:$AC$66+('Danh mục công việc'!$AC$7:$AC$66&lt;=B13)*B13)+1)&gt;0)*((('Danh mục công việc'!$AD$7:$AD$66&lt;C13)*'Danh mục công việc'!$AD$7:$AD$66+('Danh mục công việc'!$AD$7:$AD$66&gt;=C13)*C13)-(('Danh mục công việc'!$AC$7:$AC$66&gt;B13)*'Danh mục công việc'!$AC$7:$AC$66+('Danh mục công việc'!$AC$7:$AC$66&lt;=B13)*B13)+1))</f>
        <v>942956168.8</v>
      </c>
      <c r="G13" s="66">
        <f t="shared" si="3"/>
        <v>3645625000</v>
      </c>
      <c r="H13" s="69">
        <f>IF('Danh mục công việc'!$H$67=0,0,G13/'Danh mục công việc'!$H$67)</f>
        <v>0.09819600819</v>
      </c>
    </row>
    <row r="14" ht="19.5" customHeight="1">
      <c r="A14" s="41">
        <v>7.0</v>
      </c>
      <c r="B14" s="42">
        <f t="shared" si="2"/>
        <v>46370</v>
      </c>
      <c r="C14" s="42">
        <f t="shared" si="1"/>
        <v>46376</v>
      </c>
      <c r="D14" s="41">
        <f>SUMPRODUCT(('Danh mục công việc'!$AC$7:$AC$66&gt;0)*('Danh mục công việc'!$AC$7:$AC$66&lt;=C14)*('Danh mục công việc'!$AD$7:$AD$66&gt;=B14))</f>
        <v>1</v>
      </c>
      <c r="E14" s="49">
        <f>SUMPRODUCT(('Danh mục công việc'!$AC$7:$AC$66&gt;0)*('Danh mục công việc'!$AC$7:$AC$66&lt;=C14)*('Danh mục công việc'!$AD$7:$AD$66&gt;=B14)*'Danh mục công việc'!$AF$7:$AF$66)</f>
        <v>15</v>
      </c>
      <c r="F14" s="47">
        <f>SUMPRODUCT(('Danh mục công việc'!$AC$7:$AC$66&gt;0)*'Danh mục công việc'!$AE$7:$AE$66/('Danh mục công việc'!$AD$7:$AD$66-'Danh mục công việc'!$AC$7:$AC$66+1)*(((('Danh mục công việc'!$AD$7:$AD$66&lt;C14)*'Danh mục công việc'!$AD$7:$AD$66+('Danh mục công việc'!$AD$7:$AD$66&gt;=C14)*C14)-(('Danh mục công việc'!$AC$7:$AC$66&gt;B14)*'Danh mục công việc'!$AC$7:$AC$66+('Danh mục công việc'!$AC$7:$AC$66&lt;=B14)*B14)+1)&gt;0)*((('Danh mục công việc'!$AD$7:$AD$66&lt;C14)*'Danh mục công việc'!$AD$7:$AD$66+('Danh mục công việc'!$AD$7:$AD$66&gt;=C14)*C14)-(('Danh mục công việc'!$AC$7:$AC$66&gt;B14)*'Danh mục công việc'!$AC$7:$AC$66+('Danh mục công việc'!$AC$7:$AC$66&lt;=B14)*B14)+1))</f>
        <v>1080625000</v>
      </c>
      <c r="G14" s="47">
        <f t="shared" si="3"/>
        <v>4726250000</v>
      </c>
      <c r="H14" s="55">
        <f>IF('Danh mục công việc'!$H$67=0,0,G14/'Danh mục công việc'!$H$67)</f>
        <v>0.1273029683</v>
      </c>
    </row>
    <row r="15" ht="19.5" customHeight="1">
      <c r="A15" s="56">
        <v>8.0</v>
      </c>
      <c r="B15" s="57">
        <f t="shared" si="2"/>
        <v>46377</v>
      </c>
      <c r="C15" s="57">
        <f t="shared" si="1"/>
        <v>46383</v>
      </c>
      <c r="D15" s="56">
        <f>SUMPRODUCT(('Danh mục công việc'!$AC$7:$AC$66&gt;0)*('Danh mục công việc'!$AC$7:$AC$66&lt;=C15)*('Danh mục công việc'!$AD$7:$AD$66&gt;=B15))</f>
        <v>1</v>
      </c>
      <c r="E15" s="61">
        <f>SUMPRODUCT(('Danh mục công việc'!$AC$7:$AC$66&gt;0)*('Danh mục công việc'!$AC$7:$AC$66&lt;=C15)*('Danh mục công việc'!$AD$7:$AD$66&gt;=B15)*'Danh mục công việc'!$AF$7:$AF$66)</f>
        <v>15</v>
      </c>
      <c r="F15" s="66">
        <f>SUMPRODUCT(('Danh mục công việc'!$AC$7:$AC$66&gt;0)*'Danh mục công việc'!$AE$7:$AE$66/('Danh mục công việc'!$AD$7:$AD$66-'Danh mục công việc'!$AC$7:$AC$66+1)*(((('Danh mục công việc'!$AD$7:$AD$66&lt;C15)*'Danh mục công việc'!$AD$7:$AD$66+('Danh mục công việc'!$AD$7:$AD$66&gt;=C15)*C15)-(('Danh mục công việc'!$AC$7:$AC$66&gt;B15)*'Danh mục công việc'!$AC$7:$AC$66+('Danh mục công việc'!$AC$7:$AC$66&lt;=B15)*B15)+1)&gt;0)*((('Danh mục công việc'!$AD$7:$AD$66&lt;C15)*'Danh mục công việc'!$AD$7:$AD$66+('Danh mục công việc'!$AD$7:$AD$66&gt;=C15)*C15)-(('Danh mục công việc'!$AC$7:$AC$66&gt;B15)*'Danh mục công việc'!$AC$7:$AC$66+('Danh mục công việc'!$AC$7:$AC$66&lt;=B15)*B15)+1))</f>
        <v>308750000</v>
      </c>
      <c r="G15" s="66">
        <f t="shared" si="3"/>
        <v>5035000000</v>
      </c>
      <c r="H15" s="69">
        <f>IF('Danh mục công việc'!$H$67=0,0,G15/'Danh mục công việc'!$H$67)</f>
        <v>0.1356192426</v>
      </c>
    </row>
    <row r="16" ht="19.5" customHeight="1">
      <c r="A16" s="41">
        <v>9.0</v>
      </c>
      <c r="B16" s="42">
        <f t="shared" si="2"/>
        <v>46384</v>
      </c>
      <c r="C16" s="42">
        <f t="shared" si="1"/>
        <v>46390</v>
      </c>
      <c r="D16" s="41">
        <f>SUMPRODUCT(('Danh mục công việc'!$AC$7:$AC$66&gt;0)*('Danh mục công việc'!$AC$7:$AC$66&lt;=C16)*('Danh mục công việc'!$AD$7:$AD$66&gt;=B16))</f>
        <v>1</v>
      </c>
      <c r="E16" s="49">
        <f>SUMPRODUCT(('Danh mục công việc'!$AC$7:$AC$66&gt;0)*('Danh mục công việc'!$AC$7:$AC$66&lt;=C16)*('Danh mục công việc'!$AD$7:$AD$66&gt;=B16)*'Danh mục công việc'!$AF$7:$AF$66)</f>
        <v>6</v>
      </c>
      <c r="F16" s="47">
        <f>SUMPRODUCT(('Danh mục công việc'!$AC$7:$AC$66&gt;0)*'Danh mục công việc'!$AE$7:$AE$66/('Danh mục công việc'!$AD$7:$AD$66-'Danh mục công việc'!$AC$7:$AC$66+1)*(((('Danh mục công việc'!$AD$7:$AD$66&lt;C16)*'Danh mục công việc'!$AD$7:$AD$66+('Danh mục công việc'!$AD$7:$AD$66&gt;=C16)*C16)-(('Danh mục công việc'!$AC$7:$AC$66&gt;B16)*'Danh mục công việc'!$AC$7:$AC$66+('Danh mục công việc'!$AC$7:$AC$66&lt;=B16)*B16)+1)&gt;0)*((('Danh mục công việc'!$AD$7:$AD$66&lt;C16)*'Danh mục công việc'!$AD$7:$AD$66+('Danh mục công việc'!$AD$7:$AD$66&gt;=C16)*C16)-(('Danh mục công việc'!$AC$7:$AC$66&gt;B16)*'Danh mục công việc'!$AC$7:$AC$66+('Danh mục công việc'!$AC$7:$AC$66&lt;=B16)*B16)+1))</f>
        <v>126000000</v>
      </c>
      <c r="G16" s="47">
        <f t="shared" si="3"/>
        <v>5161000000</v>
      </c>
      <c r="H16" s="55">
        <f>IF('Danh mục công việc'!$H$67=0,0,G16/'Danh mục công việc'!$H$67)</f>
        <v>0.1390130906</v>
      </c>
    </row>
    <row r="17" ht="19.5" customHeight="1">
      <c r="A17" s="56">
        <v>10.0</v>
      </c>
      <c r="B17" s="57">
        <f t="shared" si="2"/>
        <v>46391</v>
      </c>
      <c r="C17" s="57">
        <f t="shared" si="1"/>
        <v>46397</v>
      </c>
      <c r="D17" s="56">
        <f>SUMPRODUCT(('Danh mục công việc'!$AC$7:$AC$66&gt;0)*('Danh mục công việc'!$AC$7:$AC$66&lt;=C17)*('Danh mục công việc'!$AD$7:$AD$66&gt;=B17))</f>
        <v>2</v>
      </c>
      <c r="E17" s="61">
        <f>SUMPRODUCT(('Danh mục công việc'!$AC$7:$AC$66&gt;0)*('Danh mục công việc'!$AC$7:$AC$66&lt;=C17)*('Danh mục công việc'!$AD$7:$AD$66&gt;=B17)*'Danh mục công việc'!$AF$7:$AF$66)</f>
        <v>46</v>
      </c>
      <c r="F17" s="66">
        <f>SUMPRODUCT(('Danh mục công việc'!$AC$7:$AC$66&gt;0)*'Danh mục công việc'!$AE$7:$AE$66/('Danh mục công việc'!$AD$7:$AD$66-'Danh mục công việc'!$AC$7:$AC$66+1)*(((('Danh mục công việc'!$AD$7:$AD$66&lt;C17)*'Danh mục công việc'!$AD$7:$AD$66+('Danh mục công việc'!$AD$7:$AD$66&gt;=C17)*C17)-(('Danh mục công việc'!$AC$7:$AC$66&gt;B17)*'Danh mục công việc'!$AC$7:$AC$66+('Danh mục công việc'!$AC$7:$AC$66&lt;=B17)*B17)+1)&gt;0)*((('Danh mục công việc'!$AD$7:$AD$66&lt;C17)*'Danh mục công việc'!$AD$7:$AD$66+('Danh mục công việc'!$AD$7:$AD$66&gt;=C17)*C17)-(('Danh mục công việc'!$AC$7:$AC$66&gt;B17)*'Danh mục công việc'!$AC$7:$AC$66+('Danh mục công việc'!$AC$7:$AC$66&lt;=B17)*B17)+1))</f>
        <v>678857142.9</v>
      </c>
      <c r="G17" s="66">
        <f t="shared" si="3"/>
        <v>5839857143</v>
      </c>
      <c r="H17" s="69">
        <f>IF('Danh mục công việc'!$H$67=0,0,G17/'Danh mục công việc'!$H$67)</f>
        <v>0.1572983123</v>
      </c>
    </row>
    <row r="18" ht="19.5" customHeight="1">
      <c r="A18" s="41">
        <v>11.0</v>
      </c>
      <c r="B18" s="42">
        <f t="shared" si="2"/>
        <v>46398</v>
      </c>
      <c r="C18" s="42">
        <f t="shared" si="1"/>
        <v>46404</v>
      </c>
      <c r="D18" s="41">
        <f>SUMPRODUCT(('Danh mục công việc'!$AC$7:$AC$66&gt;0)*('Danh mục công việc'!$AC$7:$AC$66&lt;=C18)*('Danh mục công việc'!$AD$7:$AD$66&gt;=B18))</f>
        <v>1</v>
      </c>
      <c r="E18" s="49">
        <f>SUMPRODUCT(('Danh mục công việc'!$AC$7:$AC$66&gt;0)*('Danh mục công việc'!$AC$7:$AC$66&lt;=C18)*('Danh mục công việc'!$AD$7:$AD$66&gt;=B18)*'Danh mục công việc'!$AF$7:$AF$66)</f>
        <v>40</v>
      </c>
      <c r="F18" s="47">
        <f>SUMPRODUCT(('Danh mục công việc'!$AC$7:$AC$66&gt;0)*'Danh mục công việc'!$AE$7:$AE$66/('Danh mục công việc'!$AD$7:$AD$66-'Danh mục công việc'!$AC$7:$AC$66+1)*(((('Danh mục công việc'!$AD$7:$AD$66&lt;C18)*'Danh mục công việc'!$AD$7:$AD$66+('Danh mục công việc'!$AD$7:$AD$66&gt;=C18)*C18)-(('Danh mục công việc'!$AC$7:$AC$66&gt;B18)*'Danh mục công việc'!$AC$7:$AC$66+('Danh mục công việc'!$AC$7:$AC$66&lt;=B18)*B18)+1)&gt;0)*((('Danh mục công việc'!$AD$7:$AD$66&lt;C18)*'Danh mục công việc'!$AD$7:$AD$66+('Danh mục công việc'!$AD$7:$AD$66&gt;=C18)*C18)-(('Danh mục công việc'!$AC$7:$AC$66&gt;B18)*'Danh mục công việc'!$AC$7:$AC$66+('Danh mục công việc'!$AC$7:$AC$66&lt;=B18)*B18)+1))</f>
        <v>900000000</v>
      </c>
      <c r="G18" s="47">
        <f t="shared" si="3"/>
        <v>6739857143</v>
      </c>
      <c r="H18" s="55">
        <f>IF('Danh mục công việc'!$H$67=0,0,G18/'Danh mục công việc'!$H$67)</f>
        <v>0.1815400836</v>
      </c>
    </row>
    <row r="19" ht="19.5" customHeight="1">
      <c r="A19" s="56">
        <v>12.0</v>
      </c>
      <c r="B19" s="57">
        <f t="shared" si="2"/>
        <v>46405</v>
      </c>
      <c r="C19" s="57">
        <f t="shared" si="1"/>
        <v>46411</v>
      </c>
      <c r="D19" s="56">
        <f>SUMPRODUCT(('Danh mục công việc'!$AC$7:$AC$66&gt;0)*('Danh mục công việc'!$AC$7:$AC$66&lt;=C19)*('Danh mục công việc'!$AD$7:$AD$66&gt;=B19))</f>
        <v>1</v>
      </c>
      <c r="E19" s="61">
        <f>SUMPRODUCT(('Danh mục công việc'!$AC$7:$AC$66&gt;0)*('Danh mục công việc'!$AC$7:$AC$66&lt;=C19)*('Danh mục công việc'!$AD$7:$AD$66&gt;=B19)*'Danh mục công việc'!$AF$7:$AF$66)</f>
        <v>40</v>
      </c>
      <c r="F19" s="66">
        <f>SUMPRODUCT(('Danh mục công việc'!$AC$7:$AC$66&gt;0)*'Danh mục công việc'!$AE$7:$AE$66/('Danh mục công việc'!$AD$7:$AD$66-'Danh mục công việc'!$AC$7:$AC$66+1)*(((('Danh mục công việc'!$AD$7:$AD$66&lt;C19)*'Danh mục công việc'!$AD$7:$AD$66+('Danh mục công việc'!$AD$7:$AD$66&gt;=C19)*C19)-(('Danh mục công việc'!$AC$7:$AC$66&gt;B19)*'Danh mục công việc'!$AC$7:$AC$66+('Danh mục công việc'!$AC$7:$AC$66&lt;=B19)*B19)+1)&gt;0)*((('Danh mục công việc'!$AD$7:$AD$66&lt;C19)*'Danh mục công việc'!$AD$7:$AD$66+('Danh mục công việc'!$AD$7:$AD$66&gt;=C19)*C19)-(('Danh mục công việc'!$AC$7:$AC$66&gt;B19)*'Danh mục công việc'!$AC$7:$AC$66+('Danh mục công việc'!$AC$7:$AC$66&lt;=B19)*B19)+1))</f>
        <v>900000000</v>
      </c>
      <c r="G19" s="66">
        <f t="shared" si="3"/>
        <v>7639857143</v>
      </c>
      <c r="H19" s="69">
        <f>IF('Danh mục công việc'!$H$67=0,0,G19/'Danh mục công việc'!$H$67)</f>
        <v>0.2057818548</v>
      </c>
    </row>
    <row r="20" ht="19.5" customHeight="1">
      <c r="A20" s="41">
        <v>13.0</v>
      </c>
      <c r="B20" s="42">
        <f t="shared" si="2"/>
        <v>46412</v>
      </c>
      <c r="C20" s="42">
        <f t="shared" si="1"/>
        <v>46418</v>
      </c>
      <c r="D20" s="41">
        <f>SUMPRODUCT(('Danh mục công việc'!$AC$7:$AC$66&gt;0)*('Danh mục công việc'!$AC$7:$AC$66&lt;=C20)*('Danh mục công việc'!$AD$7:$AD$66&gt;=B20))</f>
        <v>2</v>
      </c>
      <c r="E20" s="49">
        <f>SUMPRODUCT(('Danh mục công việc'!$AC$7:$AC$66&gt;0)*('Danh mục công việc'!$AC$7:$AC$66&lt;=C20)*('Danh mục công việc'!$AD$7:$AD$66&gt;=B20)*'Danh mục công việc'!$AF$7:$AF$66)</f>
        <v>80</v>
      </c>
      <c r="F20" s="47">
        <f>SUMPRODUCT(('Danh mục công việc'!$AC$7:$AC$66&gt;0)*'Danh mục công việc'!$AE$7:$AE$66/('Danh mục công việc'!$AD$7:$AD$66-'Danh mục công việc'!$AC$7:$AC$66+1)*(((('Danh mục công việc'!$AD$7:$AD$66&lt;C20)*'Danh mục công việc'!$AD$7:$AD$66+('Danh mục công việc'!$AD$7:$AD$66&gt;=C20)*C20)-(('Danh mục công việc'!$AC$7:$AC$66&gt;B20)*'Danh mục công việc'!$AC$7:$AC$66+('Danh mục công việc'!$AC$7:$AC$66&lt;=B20)*B20)+1)&gt;0)*((('Danh mục công việc'!$AD$7:$AD$66&lt;C20)*'Danh mục công việc'!$AD$7:$AD$66+('Danh mục công việc'!$AD$7:$AD$66&gt;=C20)*C20)-(('Danh mục công việc'!$AC$7:$AC$66&gt;B20)*'Danh mục công việc'!$AC$7:$AC$66+('Danh mục công việc'!$AC$7:$AC$66&lt;=B20)*B20)+1))</f>
        <v>739285714.3</v>
      </c>
      <c r="G20" s="47">
        <f t="shared" si="3"/>
        <v>8379142857</v>
      </c>
      <c r="H20" s="55">
        <f>IF('Danh mục công việc'!$H$67=0,0,G20/'Danh mục công việc'!$H$67)</f>
        <v>0.2256947384</v>
      </c>
    </row>
    <row r="21" ht="19.5" customHeight="1">
      <c r="A21" s="56">
        <v>14.0</v>
      </c>
      <c r="B21" s="57">
        <f t="shared" si="2"/>
        <v>46419</v>
      </c>
      <c r="C21" s="57">
        <f t="shared" si="1"/>
        <v>46425</v>
      </c>
      <c r="D21" s="56">
        <f>SUMPRODUCT(('Danh mục công việc'!$AC$7:$AC$66&gt;0)*('Danh mục công việc'!$AC$7:$AC$66&lt;=C21)*('Danh mục công việc'!$AD$7:$AD$66&gt;=B21))</f>
        <v>1</v>
      </c>
      <c r="E21" s="61">
        <f>SUMPRODUCT(('Danh mục công việc'!$AC$7:$AC$66&gt;0)*('Danh mục công việc'!$AC$7:$AC$66&lt;=C21)*('Danh mục công việc'!$AD$7:$AD$66&gt;=B21)*'Danh mục công việc'!$AF$7:$AF$66)</f>
        <v>40</v>
      </c>
      <c r="F21" s="66">
        <f>SUMPRODUCT(('Danh mục công việc'!$AC$7:$AC$66&gt;0)*'Danh mục công việc'!$AE$7:$AE$66/('Danh mục công việc'!$AD$7:$AD$66-'Danh mục công việc'!$AC$7:$AC$66+1)*(((('Danh mục công việc'!$AD$7:$AD$66&lt;C21)*'Danh mục công việc'!$AD$7:$AD$66+('Danh mục công việc'!$AD$7:$AD$66&gt;=C21)*C21)-(('Danh mục công việc'!$AC$7:$AC$66&gt;B21)*'Danh mục công việc'!$AC$7:$AC$66+('Danh mục công việc'!$AC$7:$AC$66&lt;=B21)*B21)+1)&gt;0)*((('Danh mục công việc'!$AD$7:$AD$66&lt;C21)*'Danh mục công việc'!$AD$7:$AD$66+('Danh mục công việc'!$AD$7:$AD$66&gt;=C21)*C21)-(('Danh mục công việc'!$AC$7:$AC$66&gt;B21)*'Danh mục công việc'!$AC$7:$AC$66+('Danh mục công việc'!$AC$7:$AC$66&lt;=B21)*B21)+1))</f>
        <v>675000000</v>
      </c>
      <c r="G21" s="66">
        <f t="shared" si="3"/>
        <v>9054142857</v>
      </c>
      <c r="H21" s="69">
        <f>IF('Danh mục công việc'!$H$67=0,0,G21/'Danh mục công việc'!$H$67)</f>
        <v>0.2438760668</v>
      </c>
    </row>
    <row r="22" ht="19.5" customHeight="1">
      <c r="A22" s="41">
        <v>15.0</v>
      </c>
      <c r="B22" s="42">
        <f t="shared" si="2"/>
        <v>46426</v>
      </c>
      <c r="C22" s="42">
        <f t="shared" si="1"/>
        <v>46432</v>
      </c>
      <c r="D22" s="41">
        <f>SUMPRODUCT(('Danh mục công việc'!$AC$7:$AC$66&gt;0)*('Danh mục công việc'!$AC$7:$AC$66&lt;=C22)*('Danh mục công việc'!$AD$7:$AD$66&gt;=B22))</f>
        <v>1</v>
      </c>
      <c r="E22" s="49">
        <f>SUMPRODUCT(('Danh mục công việc'!$AC$7:$AC$66&gt;0)*('Danh mục công việc'!$AC$7:$AC$66&lt;=C22)*('Danh mục công việc'!$AD$7:$AD$66&gt;=B22)*'Danh mục công việc'!$AF$7:$AF$66)</f>
        <v>40</v>
      </c>
      <c r="F22" s="47">
        <f>SUMPRODUCT(('Danh mục công việc'!$AC$7:$AC$66&gt;0)*'Danh mục công việc'!$AE$7:$AE$66/('Danh mục công việc'!$AD$7:$AD$66-'Danh mục công việc'!$AC$7:$AC$66+1)*(((('Danh mục công việc'!$AD$7:$AD$66&lt;C22)*'Danh mục công việc'!$AD$7:$AD$66+('Danh mục công việc'!$AD$7:$AD$66&gt;=C22)*C22)-(('Danh mục công việc'!$AC$7:$AC$66&gt;B22)*'Danh mục công việc'!$AC$7:$AC$66+('Danh mục công việc'!$AC$7:$AC$66&lt;=B22)*B22)+1)&gt;0)*((('Danh mục công việc'!$AD$7:$AD$66&lt;C22)*'Danh mục công việc'!$AD$7:$AD$66+('Danh mục công việc'!$AD$7:$AD$66&gt;=C22)*C22)-(('Danh mục công việc'!$AC$7:$AC$66&gt;B22)*'Danh mục công việc'!$AC$7:$AC$66+('Danh mục công việc'!$AC$7:$AC$66&lt;=B22)*B22)+1))</f>
        <v>675000000</v>
      </c>
      <c r="G22" s="47">
        <f t="shared" si="3"/>
        <v>9729142857</v>
      </c>
      <c r="H22" s="55">
        <f>IF('Danh mục công việc'!$H$67=0,0,G22/'Danh mục công việc'!$H$67)</f>
        <v>0.2620573953</v>
      </c>
    </row>
    <row r="23" ht="19.5" customHeight="1">
      <c r="A23" s="56">
        <v>16.0</v>
      </c>
      <c r="B23" s="57">
        <f t="shared" si="2"/>
        <v>46433</v>
      </c>
      <c r="C23" s="57">
        <f t="shared" si="1"/>
        <v>46439</v>
      </c>
      <c r="D23" s="56">
        <f>SUMPRODUCT(('Danh mục công việc'!$AC$7:$AC$66&gt;0)*('Danh mục công việc'!$AC$7:$AC$66&lt;=C23)*('Danh mục công việc'!$AD$7:$AD$66&gt;=B23))</f>
        <v>1</v>
      </c>
      <c r="E23" s="61">
        <f>SUMPRODUCT(('Danh mục công việc'!$AC$7:$AC$66&gt;0)*('Danh mục công việc'!$AC$7:$AC$66&lt;=C23)*('Danh mục công việc'!$AD$7:$AD$66&gt;=B23)*'Danh mục công việc'!$AF$7:$AF$66)</f>
        <v>40</v>
      </c>
      <c r="F23" s="66">
        <f>SUMPRODUCT(('Danh mục công việc'!$AC$7:$AC$66&gt;0)*'Danh mục công việc'!$AE$7:$AE$66/('Danh mục công việc'!$AD$7:$AD$66-'Danh mục công việc'!$AC$7:$AC$66+1)*(((('Danh mục công việc'!$AD$7:$AD$66&lt;C23)*'Danh mục công việc'!$AD$7:$AD$66+('Danh mục công việc'!$AD$7:$AD$66&gt;=C23)*C23)-(('Danh mục công việc'!$AC$7:$AC$66&gt;B23)*'Danh mục công việc'!$AC$7:$AC$66+('Danh mục công việc'!$AC$7:$AC$66&lt;=B23)*B23)+1)&gt;0)*((('Danh mục công việc'!$AD$7:$AD$66&lt;C23)*'Danh mục công việc'!$AD$7:$AD$66+('Danh mục công việc'!$AD$7:$AD$66&gt;=C23)*C23)-(('Danh mục công việc'!$AC$7:$AC$66&gt;B23)*'Danh mục công việc'!$AC$7:$AC$66+('Danh mục công việc'!$AC$7:$AC$66&lt;=B23)*B23)+1))</f>
        <v>675000000</v>
      </c>
      <c r="G23" s="66">
        <f t="shared" si="3"/>
        <v>10404142857</v>
      </c>
      <c r="H23" s="69">
        <f>IF('Danh mục công việc'!$H$67=0,0,G23/'Danh mục công việc'!$H$67)</f>
        <v>0.2802387237</v>
      </c>
    </row>
    <row r="24" ht="19.5" customHeight="1">
      <c r="A24" s="41">
        <v>17.0</v>
      </c>
      <c r="B24" s="42">
        <f t="shared" si="2"/>
        <v>46440</v>
      </c>
      <c r="C24" s="42">
        <f t="shared" si="1"/>
        <v>46446</v>
      </c>
      <c r="D24" s="41">
        <f>SUMPRODUCT(('Danh mục công việc'!$AC$7:$AC$66&gt;0)*('Danh mục công việc'!$AC$7:$AC$66&lt;=C24)*('Danh mục công việc'!$AD$7:$AD$66&gt;=B24))</f>
        <v>2</v>
      </c>
      <c r="E24" s="49">
        <f>SUMPRODUCT(('Danh mục công việc'!$AC$7:$AC$66&gt;0)*('Danh mục công việc'!$AC$7:$AC$66&lt;=C24)*('Danh mục công việc'!$AD$7:$AD$66&gt;=B24)*'Danh mục công việc'!$AF$7:$AF$66)</f>
        <v>80</v>
      </c>
      <c r="F24" s="47">
        <f>SUMPRODUCT(('Danh mục công việc'!$AC$7:$AC$66&gt;0)*'Danh mục công việc'!$AE$7:$AE$66/('Danh mục công việc'!$AD$7:$AD$66-'Danh mục công việc'!$AC$7:$AC$66+1)*(((('Danh mục công việc'!$AD$7:$AD$66&lt;C24)*'Danh mục công việc'!$AD$7:$AD$66+('Danh mục công việc'!$AD$7:$AD$66&gt;=C24)*C24)-(('Danh mục công việc'!$AC$7:$AC$66&gt;B24)*'Danh mục công việc'!$AC$7:$AC$66+('Danh mục công việc'!$AC$7:$AC$66&lt;=B24)*B24)+1)&gt;0)*((('Danh mục công việc'!$AD$7:$AD$66&lt;C24)*'Danh mục công việc'!$AD$7:$AD$66+('Danh mục công việc'!$AD$7:$AD$66&gt;=C24)*C24)-(('Danh mục công việc'!$AC$7:$AC$66&gt;B24)*'Danh mục công việc'!$AC$7:$AC$66+('Danh mục công việc'!$AC$7:$AC$66&lt;=B24)*B24)+1))</f>
        <v>835714285.7</v>
      </c>
      <c r="G24" s="47">
        <f t="shared" si="3"/>
        <v>11239857143</v>
      </c>
      <c r="H24" s="55">
        <f>IF('Danh mục công việc'!$H$67=0,0,G24/'Danh mục công việc'!$H$67)</f>
        <v>0.3027489399</v>
      </c>
    </row>
    <row r="25" ht="19.5" customHeight="1">
      <c r="A25" s="56">
        <v>18.0</v>
      </c>
      <c r="B25" s="57">
        <f t="shared" si="2"/>
        <v>46447</v>
      </c>
      <c r="C25" s="57">
        <f t="shared" si="1"/>
        <v>46453</v>
      </c>
      <c r="D25" s="56">
        <f>SUMPRODUCT(('Danh mục công việc'!$AC$7:$AC$66&gt;0)*('Danh mục công việc'!$AC$7:$AC$66&lt;=C25)*('Danh mục công việc'!$AD$7:$AD$66&gt;=B25))</f>
        <v>2</v>
      </c>
      <c r="E25" s="61">
        <f>SUMPRODUCT(('Danh mục công việc'!$AC$7:$AC$66&gt;0)*('Danh mục công việc'!$AC$7:$AC$66&lt;=C25)*('Danh mục công việc'!$AD$7:$AD$66&gt;=B25)*'Danh mục công việc'!$AF$7:$AF$66)</f>
        <v>64</v>
      </c>
      <c r="F25" s="66">
        <f>SUMPRODUCT(('Danh mục công việc'!$AC$7:$AC$66&gt;0)*'Danh mục công việc'!$AE$7:$AE$66/('Danh mục công việc'!$AD$7:$AD$66-'Danh mục công việc'!$AC$7:$AC$66+1)*(((('Danh mục công việc'!$AD$7:$AD$66&lt;C25)*'Danh mục công việc'!$AD$7:$AD$66+('Danh mục công việc'!$AD$7:$AD$66&gt;=C25)*C25)-(('Danh mục công việc'!$AC$7:$AC$66&gt;B25)*'Danh mục công việc'!$AC$7:$AC$66+('Danh mục công việc'!$AC$7:$AC$66&lt;=B25)*B25)+1)&gt;0)*((('Danh mục công việc'!$AD$7:$AD$66&lt;C25)*'Danh mục công việc'!$AD$7:$AD$66+('Danh mục công việc'!$AD$7:$AD$66&gt;=C25)*C25)-(('Danh mục công việc'!$AC$7:$AC$66&gt;B25)*'Danh mục công việc'!$AC$7:$AC$66+('Danh mục công việc'!$AC$7:$AC$66&lt;=B25)*B25)+1))</f>
        <v>981896551.7</v>
      </c>
      <c r="G25" s="66">
        <f t="shared" si="3"/>
        <v>12221753695</v>
      </c>
      <c r="H25" s="69">
        <f>IF('Danh mục công việc'!$H$67=0,0,G25/'Danh mục công việc'!$H$67)</f>
        <v>0.3291966195</v>
      </c>
    </row>
    <row r="26" ht="19.5" customHeight="1">
      <c r="A26" s="41">
        <v>19.0</v>
      </c>
      <c r="B26" s="42">
        <f t="shared" si="2"/>
        <v>46454</v>
      </c>
      <c r="C26" s="42">
        <f t="shared" si="1"/>
        <v>46460</v>
      </c>
      <c r="D26" s="41">
        <f>SUMPRODUCT(('Danh mục công việc'!$AC$7:$AC$66&gt;0)*('Danh mục công việc'!$AC$7:$AC$66&lt;=C26)*('Danh mục công việc'!$AD$7:$AD$66&gt;=B26))</f>
        <v>2</v>
      </c>
      <c r="E26" s="49">
        <f>SUMPRODUCT(('Danh mục công việc'!$AC$7:$AC$66&gt;0)*('Danh mục công việc'!$AC$7:$AC$66&lt;=C26)*('Danh mục công việc'!$AD$7:$AD$66&gt;=B26)*'Danh mục công việc'!$AF$7:$AF$66)</f>
        <v>64</v>
      </c>
      <c r="F26" s="47">
        <f>SUMPRODUCT(('Danh mục công việc'!$AC$7:$AC$66&gt;0)*'Danh mục công việc'!$AE$7:$AE$66/('Danh mục công việc'!$AD$7:$AD$66-'Danh mục công việc'!$AC$7:$AC$66+1)*(((('Danh mục công việc'!$AD$7:$AD$66&lt;C26)*'Danh mục công việc'!$AD$7:$AD$66+('Danh mục công việc'!$AD$7:$AD$66&gt;=C26)*C26)-(('Danh mục công việc'!$AC$7:$AC$66&gt;B26)*'Danh mục công việc'!$AC$7:$AC$66+('Danh mục công việc'!$AC$7:$AC$66&lt;=B26)*B26)+1)&gt;0)*((('Danh mục công việc'!$AD$7:$AD$66&lt;C26)*'Danh mục công việc'!$AD$7:$AD$66+('Danh mục công việc'!$AD$7:$AD$66&gt;=C26)*C26)-(('Danh mục công việc'!$AC$7:$AC$66&gt;B26)*'Danh mục công việc'!$AC$7:$AC$66+('Danh mục công việc'!$AC$7:$AC$66&lt;=B26)*B26)+1))</f>
        <v>1014655172</v>
      </c>
      <c r="G26" s="47">
        <f t="shared" si="3"/>
        <v>13236408867</v>
      </c>
      <c r="H26" s="55">
        <f>IF('Danh mục công việc'!$H$67=0,0,G26/'Danh mục công việc'!$H$67)</f>
        <v>0.3565266624</v>
      </c>
    </row>
    <row r="27" ht="19.5" customHeight="1">
      <c r="A27" s="56">
        <v>20.0</v>
      </c>
      <c r="B27" s="57">
        <f t="shared" si="2"/>
        <v>46461</v>
      </c>
      <c r="C27" s="57">
        <f t="shared" si="1"/>
        <v>46467</v>
      </c>
      <c r="D27" s="56">
        <f>SUMPRODUCT(('Danh mục công việc'!$AC$7:$AC$66&gt;0)*('Danh mục công việc'!$AC$7:$AC$66&lt;=C27)*('Danh mục công việc'!$AD$7:$AD$66&gt;=B27))</f>
        <v>3</v>
      </c>
      <c r="E27" s="61">
        <f>SUMPRODUCT(('Danh mục công việc'!$AC$7:$AC$66&gt;0)*('Danh mục công việc'!$AC$7:$AC$66&lt;=C27)*('Danh mục công việc'!$AD$7:$AD$66&gt;=B27)*'Danh mục công việc'!$AF$7:$AF$66)</f>
        <v>104</v>
      </c>
      <c r="F27" s="66">
        <f>SUMPRODUCT(('Danh mục công việc'!$AC$7:$AC$66&gt;0)*'Danh mục công việc'!$AE$7:$AE$66/('Danh mục công việc'!$AD$7:$AD$66-'Danh mục công việc'!$AC$7:$AC$66+1)*(((('Danh mục công việc'!$AD$7:$AD$66&lt;C27)*'Danh mục công việc'!$AD$7:$AD$66+('Danh mục công việc'!$AD$7:$AD$66&gt;=C27)*C27)-(('Danh mục công việc'!$AC$7:$AC$66&gt;B27)*'Danh mục công việc'!$AC$7:$AC$66+('Danh mục công việc'!$AC$7:$AC$66&lt;=B27)*B27)+1)&gt;0)*((('Danh mục công việc'!$AD$7:$AD$66&lt;C27)*'Danh mục công việc'!$AD$7:$AD$66+('Danh mục công việc'!$AD$7:$AD$66&gt;=C27)*C27)-(('Danh mục công việc'!$AC$7:$AC$66&gt;B27)*'Danh mục công việc'!$AC$7:$AC$66+('Danh mục công việc'!$AC$7:$AC$66&lt;=B27)*B27)+1))</f>
        <v>1014655172</v>
      </c>
      <c r="G27" s="66">
        <f t="shared" si="3"/>
        <v>14251064039</v>
      </c>
      <c r="H27" s="69">
        <f>IF('Danh mục công việc'!$H$67=0,0,G27/'Danh mục công việc'!$H$67)</f>
        <v>0.3838567053</v>
      </c>
    </row>
    <row r="28" ht="19.5" customHeight="1">
      <c r="A28" s="41">
        <v>21.0</v>
      </c>
      <c r="B28" s="42">
        <f t="shared" si="2"/>
        <v>46468</v>
      </c>
      <c r="C28" s="42">
        <f t="shared" si="1"/>
        <v>46474</v>
      </c>
      <c r="D28" s="41">
        <f>SUMPRODUCT(('Danh mục công việc'!$AC$7:$AC$66&gt;0)*('Danh mục công việc'!$AC$7:$AC$66&lt;=C28)*('Danh mục công việc'!$AD$7:$AD$66&gt;=B28))</f>
        <v>2</v>
      </c>
      <c r="E28" s="49">
        <f>SUMPRODUCT(('Danh mục công việc'!$AC$7:$AC$66&gt;0)*('Danh mục công việc'!$AC$7:$AC$66&lt;=C28)*('Danh mục công việc'!$AD$7:$AD$66&gt;=B28)*'Danh mục công việc'!$AF$7:$AF$66)</f>
        <v>64</v>
      </c>
      <c r="F28" s="47">
        <f>SUMPRODUCT(('Danh mục công việc'!$AC$7:$AC$66&gt;0)*'Danh mục công việc'!$AE$7:$AE$66/('Danh mục công việc'!$AD$7:$AD$66-'Danh mục công việc'!$AC$7:$AC$66+1)*(((('Danh mục công việc'!$AD$7:$AD$66&lt;C28)*'Danh mục công việc'!$AD$7:$AD$66+('Danh mục công việc'!$AD$7:$AD$66&gt;=C28)*C28)-(('Danh mục công việc'!$AC$7:$AC$66&gt;B28)*'Danh mục công việc'!$AC$7:$AC$66+('Danh mục công việc'!$AC$7:$AC$66&lt;=B28)*B28)+1)&gt;0)*((('Danh mục công việc'!$AD$7:$AD$66&lt;C28)*'Danh mục công việc'!$AD$7:$AD$66+('Danh mục công việc'!$AD$7:$AD$66&gt;=C28)*C28)-(('Danh mục công việc'!$AC$7:$AC$66&gt;B28)*'Danh mục công việc'!$AC$7:$AC$66+('Danh mục công việc'!$AC$7:$AC$66&lt;=B28)*B28)+1))</f>
        <v>1014655172</v>
      </c>
      <c r="G28" s="47">
        <f t="shared" si="3"/>
        <v>15265719212</v>
      </c>
      <c r="H28" s="55">
        <f>IF('Danh mục công việc'!$H$67=0,0,G28/'Danh mục công việc'!$H$67)</f>
        <v>0.4111867482</v>
      </c>
    </row>
    <row r="29" ht="19.5" customHeight="1">
      <c r="A29" s="56">
        <v>22.0</v>
      </c>
      <c r="B29" s="57">
        <f t="shared" si="2"/>
        <v>46475</v>
      </c>
      <c r="C29" s="57">
        <f t="shared" si="1"/>
        <v>46481</v>
      </c>
      <c r="D29" s="56">
        <f>SUMPRODUCT(('Danh mục công việc'!$AC$7:$AC$66&gt;0)*('Danh mục công việc'!$AC$7:$AC$66&lt;=C29)*('Danh mục công việc'!$AD$7:$AD$66&gt;=B29))</f>
        <v>2</v>
      </c>
      <c r="E29" s="61">
        <f>SUMPRODUCT(('Danh mục công việc'!$AC$7:$AC$66&gt;0)*('Danh mục công việc'!$AC$7:$AC$66&lt;=C29)*('Danh mục công việc'!$AD$7:$AD$66&gt;=B29)*'Danh mục công việc'!$AF$7:$AF$66)</f>
        <v>64</v>
      </c>
      <c r="F29" s="66">
        <f>SUMPRODUCT(('Danh mục công việc'!$AC$7:$AC$66&gt;0)*'Danh mục công việc'!$AE$7:$AE$66/('Danh mục công việc'!$AD$7:$AD$66-'Danh mục công việc'!$AC$7:$AC$66+1)*(((('Danh mục công việc'!$AD$7:$AD$66&lt;C29)*'Danh mục công việc'!$AD$7:$AD$66+('Danh mục công việc'!$AD$7:$AD$66&gt;=C29)*C29)-(('Danh mục công việc'!$AC$7:$AC$66&gt;B29)*'Danh mục công việc'!$AC$7:$AC$66+('Danh mục công việc'!$AC$7:$AC$66&lt;=B29)*B29)+1)&gt;0)*((('Danh mục công việc'!$AD$7:$AD$66&lt;C29)*'Danh mục công việc'!$AD$7:$AD$66+('Danh mục công việc'!$AD$7:$AD$66&gt;=C29)*C29)-(('Danh mục công việc'!$AC$7:$AC$66&gt;B29)*'Danh mục công việc'!$AC$7:$AC$66+('Danh mục công việc'!$AC$7:$AC$66&lt;=B29)*B29)+1))</f>
        <v>1014655172</v>
      </c>
      <c r="G29" s="66">
        <f t="shared" si="3"/>
        <v>16280374384</v>
      </c>
      <c r="H29" s="69">
        <f>IF('Danh mục công việc'!$H$67=0,0,G29/'Danh mục công việc'!$H$67)</f>
        <v>0.438516791</v>
      </c>
    </row>
    <row r="30" ht="19.5" customHeight="1">
      <c r="A30" s="41">
        <v>23.0</v>
      </c>
      <c r="B30" s="42">
        <f t="shared" si="2"/>
        <v>46482</v>
      </c>
      <c r="C30" s="42">
        <f t="shared" si="1"/>
        <v>46488</v>
      </c>
      <c r="D30" s="41">
        <f>SUMPRODUCT(('Danh mục công việc'!$AC$7:$AC$66&gt;0)*('Danh mục công việc'!$AC$7:$AC$66&lt;=C30)*('Danh mục công việc'!$AD$7:$AD$66&gt;=B30))</f>
        <v>3</v>
      </c>
      <c r="E30" s="49">
        <f>SUMPRODUCT(('Danh mục công việc'!$AC$7:$AC$66&gt;0)*('Danh mục công việc'!$AC$7:$AC$66&lt;=C30)*('Danh mục công việc'!$AD$7:$AD$66&gt;=B30)*'Danh mục công việc'!$AF$7:$AF$66)</f>
        <v>84</v>
      </c>
      <c r="F30" s="47">
        <f>SUMPRODUCT(('Danh mục công việc'!$AC$7:$AC$66&gt;0)*'Danh mục công việc'!$AE$7:$AE$66/('Danh mục công việc'!$AD$7:$AD$66-'Danh mục công việc'!$AC$7:$AC$66+1)*(((('Danh mục công việc'!$AD$7:$AD$66&lt;C30)*'Danh mục công việc'!$AD$7:$AD$66+('Danh mục công việc'!$AD$7:$AD$66&gt;=C30)*C30)-(('Danh mục công việc'!$AC$7:$AC$66&gt;B30)*'Danh mục công việc'!$AC$7:$AC$66+('Danh mục công việc'!$AC$7:$AC$66&lt;=B30)*B30)+1)&gt;0)*((('Danh mục công việc'!$AD$7:$AD$66&lt;C30)*'Danh mục công việc'!$AD$7:$AD$66+('Danh mục công việc'!$AD$7:$AD$66&gt;=C30)*C30)-(('Danh mục công việc'!$AC$7:$AC$66&gt;B30)*'Danh mục công việc'!$AC$7:$AC$66+('Danh mục công việc'!$AC$7:$AC$66&lt;=B30)*B30)+1))</f>
        <v>701798029.6</v>
      </c>
      <c r="G30" s="47">
        <f t="shared" si="3"/>
        <v>16982172414</v>
      </c>
      <c r="H30" s="55">
        <f>IF('Danh mục công việc'!$H$67=0,0,G30/'Danh mục công việc'!$H$67)</f>
        <v>0.4574199325</v>
      </c>
    </row>
    <row r="31" ht="19.5" customHeight="1">
      <c r="A31" s="56">
        <v>24.0</v>
      </c>
      <c r="B31" s="57">
        <f t="shared" si="2"/>
        <v>46489</v>
      </c>
      <c r="C31" s="57">
        <f t="shared" si="1"/>
        <v>46495</v>
      </c>
      <c r="D31" s="56">
        <f>SUMPRODUCT(('Danh mục công việc'!$AC$7:$AC$66&gt;0)*('Danh mục công việc'!$AC$7:$AC$66&lt;=C31)*('Danh mục công việc'!$AD$7:$AD$66&gt;=B31))</f>
        <v>2</v>
      </c>
      <c r="E31" s="61">
        <f>SUMPRODUCT(('Danh mục công việc'!$AC$7:$AC$66&gt;0)*('Danh mục công việc'!$AC$7:$AC$66&lt;=C31)*('Danh mục công việc'!$AD$7:$AD$66&gt;=B31)*'Danh mục công việc'!$AF$7:$AF$66)</f>
        <v>44</v>
      </c>
      <c r="F31" s="66">
        <f>SUMPRODUCT(('Danh mục công việc'!$AC$7:$AC$66&gt;0)*'Danh mục công việc'!$AE$7:$AE$66/('Danh mục công việc'!$AD$7:$AD$66-'Danh mục công việc'!$AC$7:$AC$66+1)*(((('Danh mục công việc'!$AD$7:$AD$66&lt;C31)*'Danh mục công việc'!$AD$7:$AD$66+('Danh mục công việc'!$AD$7:$AD$66&gt;=C31)*C31)-(('Danh mục công việc'!$AC$7:$AC$66&gt;B31)*'Danh mục công việc'!$AC$7:$AC$66+('Danh mục công việc'!$AC$7:$AC$66&lt;=B31)*B31)+1)&gt;0)*((('Danh mục công việc'!$AD$7:$AD$66&lt;C31)*'Danh mục công việc'!$AD$7:$AD$66+('Danh mục công việc'!$AD$7:$AD$66&gt;=C31)*C31)-(('Danh mục công việc'!$AC$7:$AC$66&gt;B31)*'Danh mục công việc'!$AC$7:$AC$66+('Danh mục công việc'!$AC$7:$AC$66&lt;=B31)*B31)+1))</f>
        <v>576655172.4</v>
      </c>
      <c r="G31" s="66">
        <f t="shared" si="3"/>
        <v>17558827586</v>
      </c>
      <c r="H31" s="69">
        <f>IF('Danh mục công việc'!$H$67=0,0,G31/'Danh mục công việc'!$H$67)</f>
        <v>0.4729523134</v>
      </c>
    </row>
    <row r="32" ht="19.5" customHeight="1">
      <c r="A32" s="41">
        <v>25.0</v>
      </c>
      <c r="B32" s="42">
        <f t="shared" si="2"/>
        <v>46496</v>
      </c>
      <c r="C32" s="42">
        <f t="shared" si="1"/>
        <v>46502</v>
      </c>
      <c r="D32" s="41">
        <f>SUMPRODUCT(('Danh mục công việc'!$AC$7:$AC$66&gt;0)*('Danh mục công việc'!$AC$7:$AC$66&lt;=C32)*('Danh mục công việc'!$AD$7:$AD$66&gt;=B32))</f>
        <v>2</v>
      </c>
      <c r="E32" s="49">
        <f>SUMPRODUCT(('Danh mục công việc'!$AC$7:$AC$66&gt;0)*('Danh mục công việc'!$AC$7:$AC$66&lt;=C32)*('Danh mục công việc'!$AD$7:$AD$66&gt;=B32)*'Danh mục công việc'!$AF$7:$AF$66)</f>
        <v>44</v>
      </c>
      <c r="F32" s="47">
        <f>SUMPRODUCT(('Danh mục công việc'!$AC$7:$AC$66&gt;0)*'Danh mục công việc'!$AE$7:$AE$66/('Danh mục công việc'!$AD$7:$AD$66-'Danh mục công việc'!$AC$7:$AC$66+1)*(((('Danh mục công việc'!$AD$7:$AD$66&lt;C32)*'Danh mục công việc'!$AD$7:$AD$66+('Danh mục công việc'!$AD$7:$AD$66&gt;=C32)*C32)-(('Danh mục công việc'!$AC$7:$AC$66&gt;B32)*'Danh mục công việc'!$AC$7:$AC$66+('Danh mục công việc'!$AC$7:$AC$66&lt;=B32)*B32)+1)&gt;0)*((('Danh mục công việc'!$AD$7:$AD$66&lt;C32)*'Danh mục công việc'!$AD$7:$AD$66+('Danh mục công việc'!$AD$7:$AD$66&gt;=C32)*C32)-(('Danh mục công việc'!$AC$7:$AC$66&gt;B32)*'Danh mục công việc'!$AC$7:$AC$66+('Danh mục công việc'!$AC$7:$AC$66&lt;=B32)*B32)+1))</f>
        <v>312655172.4</v>
      </c>
      <c r="G32" s="47">
        <f t="shared" si="3"/>
        <v>17871482759</v>
      </c>
      <c r="H32" s="55">
        <f>IF('Danh mục công việc'!$H$67=0,0,G32/'Danh mục công việc'!$H$67)</f>
        <v>0.4813737747</v>
      </c>
    </row>
    <row r="33" ht="19.5" customHeight="1">
      <c r="A33" s="56">
        <v>26.0</v>
      </c>
      <c r="B33" s="57">
        <f t="shared" si="2"/>
        <v>46503</v>
      </c>
      <c r="C33" s="57">
        <f t="shared" si="1"/>
        <v>46509</v>
      </c>
      <c r="D33" s="56">
        <f>SUMPRODUCT(('Danh mục công việc'!$AC$7:$AC$66&gt;0)*('Danh mục công việc'!$AC$7:$AC$66&lt;=C33)*('Danh mục công việc'!$AD$7:$AD$66&gt;=B33))</f>
        <v>1</v>
      </c>
      <c r="E33" s="61">
        <f>SUMPRODUCT(('Danh mục công việc'!$AC$7:$AC$66&gt;0)*('Danh mục công việc'!$AC$7:$AC$66&lt;=C33)*('Danh mục công việc'!$AD$7:$AD$66&gt;=B33)*'Danh mục công việc'!$AF$7:$AF$66)</f>
        <v>24</v>
      </c>
      <c r="F33" s="66">
        <f>SUMPRODUCT(('Danh mục công việc'!$AC$7:$AC$66&gt;0)*'Danh mục công việc'!$AE$7:$AE$66/('Danh mục công việc'!$AD$7:$AD$66-'Danh mục công việc'!$AC$7:$AC$66+1)*(((('Danh mục công việc'!$AD$7:$AD$66&lt;C33)*'Danh mục công việc'!$AD$7:$AD$66+('Danh mục công việc'!$AD$7:$AD$66&gt;=C33)*C33)-(('Danh mục công việc'!$AC$7:$AC$66&gt;B33)*'Danh mục công việc'!$AC$7:$AC$66+('Danh mục công việc'!$AC$7:$AC$66&lt;=B33)*B33)+1)&gt;0)*((('Danh mục công việc'!$AD$7:$AD$66&lt;C33)*'Danh mục công việc'!$AD$7:$AD$66+('Danh mục công việc'!$AD$7:$AD$66&gt;=C33)*C33)-(('Danh mục công việc'!$AC$7:$AC$66&gt;B33)*'Danh mục công việc'!$AC$7:$AC$66+('Danh mục công việc'!$AC$7:$AC$66&lt;=B33)*B33)+1))</f>
        <v>65517241.38</v>
      </c>
      <c r="G33" s="66">
        <f t="shared" si="3"/>
        <v>17937000000</v>
      </c>
      <c r="H33" s="69">
        <f>IF('Danh mục công việc'!$H$67=0,0,G33/'Danh mục công việc'!$H$67)</f>
        <v>0.4831385013</v>
      </c>
    </row>
    <row r="34" ht="19.5" customHeight="1">
      <c r="A34" s="41">
        <v>27.0</v>
      </c>
      <c r="B34" s="42">
        <f t="shared" si="2"/>
        <v>46510</v>
      </c>
      <c r="C34" s="42">
        <f t="shared" si="1"/>
        <v>46516</v>
      </c>
      <c r="D34" s="41">
        <f>SUMPRODUCT(('Danh mục công việc'!$AC$7:$AC$66&gt;0)*('Danh mục công việc'!$AC$7:$AC$66&lt;=C34)*('Danh mục công việc'!$AD$7:$AD$66&gt;=B34))</f>
        <v>3</v>
      </c>
      <c r="E34" s="49">
        <f>SUMPRODUCT(('Danh mục công việc'!$AC$7:$AC$66&gt;0)*('Danh mục công việc'!$AC$7:$AC$66&lt;=C34)*('Danh mục công việc'!$AD$7:$AD$66&gt;=B34)*'Danh mục công việc'!$AF$7:$AF$66)</f>
        <v>48</v>
      </c>
      <c r="F34" s="47">
        <f>SUMPRODUCT(('Danh mục công việc'!$AC$7:$AC$66&gt;0)*'Danh mục công việc'!$AE$7:$AE$66/('Danh mục công việc'!$AD$7:$AD$66-'Danh mục công việc'!$AC$7:$AC$66+1)*(((('Danh mục công việc'!$AD$7:$AD$66&lt;C34)*'Danh mục công việc'!$AD$7:$AD$66+('Danh mục công việc'!$AD$7:$AD$66&gt;=C34)*C34)-(('Danh mục công việc'!$AC$7:$AC$66&gt;B34)*'Danh mục công việc'!$AC$7:$AC$66+('Danh mục công việc'!$AC$7:$AC$66&lt;=B34)*B34)+1)&gt;0)*((('Danh mục công việc'!$AD$7:$AD$66&lt;C34)*'Danh mục công việc'!$AD$7:$AD$66+('Danh mục công việc'!$AD$7:$AD$66&gt;=C34)*C34)-(('Danh mục công việc'!$AC$7:$AC$66&gt;B34)*'Danh mục công việc'!$AC$7:$AC$66+('Danh mục công việc'!$AC$7:$AC$66&lt;=B34)*B34)+1))</f>
        <v>1835361305</v>
      </c>
      <c r="G34" s="47">
        <f t="shared" si="3"/>
        <v>19772361305</v>
      </c>
      <c r="H34" s="55">
        <f>IF('Danh mục công việc'!$H$67=0,0,G34/'Danh mục công việc'!$H$67)</f>
        <v>0.5325745113</v>
      </c>
    </row>
    <row r="35" ht="19.5" customHeight="1">
      <c r="A35" s="56">
        <v>28.0</v>
      </c>
      <c r="B35" s="57">
        <f t="shared" si="2"/>
        <v>46517</v>
      </c>
      <c r="C35" s="57">
        <f t="shared" si="1"/>
        <v>46523</v>
      </c>
      <c r="D35" s="56">
        <f>SUMPRODUCT(('Danh mục công việc'!$AC$7:$AC$66&gt;0)*('Danh mục công việc'!$AC$7:$AC$66&lt;=C35)*('Danh mục công việc'!$AD$7:$AD$66&gt;=B35))</f>
        <v>3</v>
      </c>
      <c r="E35" s="61">
        <f>SUMPRODUCT(('Danh mục công việc'!$AC$7:$AC$66&gt;0)*('Danh mục công việc'!$AC$7:$AC$66&lt;=C35)*('Danh mục công việc'!$AD$7:$AD$66&gt;=B35)*'Danh mục công việc'!$AF$7:$AF$66)</f>
        <v>48</v>
      </c>
      <c r="F35" s="66">
        <f>SUMPRODUCT(('Danh mục công việc'!$AC$7:$AC$66&gt;0)*'Danh mục công việc'!$AE$7:$AE$66/('Danh mục công việc'!$AD$7:$AD$66-'Danh mục công việc'!$AC$7:$AC$66+1)*(((('Danh mục công việc'!$AD$7:$AD$66&lt;C35)*'Danh mục công việc'!$AD$7:$AD$66+('Danh mục công việc'!$AD$7:$AD$66&gt;=C35)*C35)-(('Danh mục công việc'!$AC$7:$AC$66&gt;B35)*'Danh mục công việc'!$AC$7:$AC$66+('Danh mục công việc'!$AC$7:$AC$66&lt;=B35)*B35)+1)&gt;0)*((('Danh mục công việc'!$AD$7:$AD$66&lt;C35)*'Danh mục công việc'!$AD$7:$AD$66+('Danh mục công việc'!$AD$7:$AD$66&gt;=C35)*C35)-(('Danh mục công việc'!$AC$7:$AC$66&gt;B35)*'Danh mục công việc'!$AC$7:$AC$66+('Danh mục công việc'!$AC$7:$AC$66&lt;=B35)*B35)+1))</f>
        <v>1882861305</v>
      </c>
      <c r="G35" s="66">
        <f t="shared" si="3"/>
        <v>21655222611</v>
      </c>
      <c r="H35" s="69">
        <f>IF('Danh mục công việc'!$H$67=0,0,G35/'Danh mục công việc'!$H$67)</f>
        <v>0.583289948</v>
      </c>
    </row>
    <row r="36" ht="19.5" customHeight="1">
      <c r="A36" s="41">
        <v>29.0</v>
      </c>
      <c r="B36" s="42">
        <f t="shared" si="2"/>
        <v>46524</v>
      </c>
      <c r="C36" s="42">
        <f t="shared" si="1"/>
        <v>46530</v>
      </c>
      <c r="D36" s="41">
        <f>SUMPRODUCT(('Danh mục công việc'!$AC$7:$AC$66&gt;0)*('Danh mục công việc'!$AC$7:$AC$66&lt;=C36)*('Danh mục công việc'!$AD$7:$AD$66&gt;=B36))</f>
        <v>4</v>
      </c>
      <c r="E36" s="49">
        <f>SUMPRODUCT(('Danh mục công việc'!$AC$7:$AC$66&gt;0)*('Danh mục công việc'!$AC$7:$AC$66&lt;=C36)*('Danh mục công việc'!$AD$7:$AD$66&gt;=B36)*'Danh mục công việc'!$AF$7:$AF$66)</f>
        <v>56</v>
      </c>
      <c r="F36" s="47">
        <f>SUMPRODUCT(('Danh mục công việc'!$AC$7:$AC$66&gt;0)*'Danh mục công việc'!$AE$7:$AE$66/('Danh mục công việc'!$AD$7:$AD$66-'Danh mục công việc'!$AC$7:$AC$66+1)*(((('Danh mục công việc'!$AD$7:$AD$66&lt;C36)*'Danh mục công việc'!$AD$7:$AD$66+('Danh mục công việc'!$AD$7:$AD$66&gt;=C36)*C36)-(('Danh mục công việc'!$AC$7:$AC$66&gt;B36)*'Danh mục công việc'!$AC$7:$AC$66+('Danh mục công việc'!$AC$7:$AC$66&lt;=B36)*B36)+1)&gt;0)*((('Danh mục công việc'!$AD$7:$AD$66&lt;C36)*'Danh mục công việc'!$AD$7:$AD$66+('Danh mục công việc'!$AD$7:$AD$66&gt;=C36)*C36)-(('Danh mục công việc'!$AC$7:$AC$66&gt;B36)*'Danh mục công việc'!$AC$7:$AC$66+('Danh mục công việc'!$AC$7:$AC$66&lt;=B36)*B36)+1))</f>
        <v>1987623210</v>
      </c>
      <c r="G36" s="47">
        <f t="shared" si="3"/>
        <v>23642845821</v>
      </c>
      <c r="H36" s="55">
        <f>IF('Danh mục công việc'!$H$67=0,0,G36/'Danh mục công việc'!$H$67)</f>
        <v>0.6368271783</v>
      </c>
    </row>
    <row r="37" ht="19.5" customHeight="1">
      <c r="A37" s="56">
        <v>30.0</v>
      </c>
      <c r="B37" s="57">
        <f t="shared" si="2"/>
        <v>46531</v>
      </c>
      <c r="C37" s="57">
        <f t="shared" si="1"/>
        <v>46537</v>
      </c>
      <c r="D37" s="56">
        <f>SUMPRODUCT(('Danh mục công việc'!$AC$7:$AC$66&gt;0)*('Danh mục công việc'!$AC$7:$AC$66&lt;=C37)*('Danh mục công việc'!$AD$7:$AD$66&gt;=B37))</f>
        <v>4</v>
      </c>
      <c r="E37" s="61">
        <f>SUMPRODUCT(('Danh mục công việc'!$AC$7:$AC$66&gt;0)*('Danh mục công việc'!$AC$7:$AC$66&lt;=C37)*('Danh mục công việc'!$AD$7:$AD$66&gt;=B37)*'Danh mục công việc'!$AF$7:$AF$66)</f>
        <v>56</v>
      </c>
      <c r="F37" s="66">
        <f>SUMPRODUCT(('Danh mục công việc'!$AC$7:$AC$66&gt;0)*'Danh mục công việc'!$AE$7:$AE$66/('Danh mục công việc'!$AD$7:$AD$66-'Danh mục công việc'!$AC$7:$AC$66+1)*(((('Danh mục công việc'!$AD$7:$AD$66&lt;C37)*'Danh mục công việc'!$AD$7:$AD$66+('Danh mục công việc'!$AD$7:$AD$66&gt;=C37)*C37)-(('Danh mục công việc'!$AC$7:$AC$66&gt;B37)*'Danh mục công việc'!$AC$7:$AC$66+('Danh mục công việc'!$AC$7:$AC$66&lt;=B37)*B37)+1)&gt;0)*((('Danh mục công việc'!$AD$7:$AD$66&lt;C37)*'Danh mục công việc'!$AD$7:$AD$66+('Danh mục công việc'!$AD$7:$AD$66&gt;=C37)*C37)-(('Danh mục công việc'!$AC$7:$AC$66&gt;B37)*'Danh mục công việc'!$AC$7:$AC$66+('Danh mục công việc'!$AC$7:$AC$66&lt;=B37)*B37)+1))</f>
        <v>1039193862</v>
      </c>
      <c r="G37" s="66">
        <f t="shared" si="3"/>
        <v>24682039683</v>
      </c>
      <c r="H37" s="69">
        <f>IF('Danh mục công việc'!$H$67=0,0,G37/'Danh mục công việc'!$H$67)</f>
        <v>0.6648181782</v>
      </c>
    </row>
    <row r="38" ht="19.5" customHeight="1">
      <c r="A38" s="41">
        <v>31.0</v>
      </c>
      <c r="B38" s="42">
        <f t="shared" si="2"/>
        <v>46538</v>
      </c>
      <c r="C38" s="42">
        <f t="shared" si="1"/>
        <v>46544</v>
      </c>
      <c r="D38" s="41">
        <f>SUMPRODUCT(('Danh mục công việc'!$AC$7:$AC$66&gt;0)*('Danh mục công việc'!$AC$7:$AC$66&lt;=C38)*('Danh mục công việc'!$AD$7:$AD$66&gt;=B38))</f>
        <v>2</v>
      </c>
      <c r="E38" s="49">
        <f>SUMPRODUCT(('Danh mục công việc'!$AC$7:$AC$66&gt;0)*('Danh mục công việc'!$AC$7:$AC$66&lt;=C38)*('Danh mục công việc'!$AD$7:$AD$66&gt;=B38)*'Danh mục công việc'!$AF$7:$AF$66)</f>
        <v>32</v>
      </c>
      <c r="F38" s="47">
        <f>SUMPRODUCT(('Danh mục công việc'!$AC$7:$AC$66&gt;0)*'Danh mục công việc'!$AE$7:$AE$66/('Danh mục công việc'!$AD$7:$AD$66-'Danh mục công việc'!$AC$7:$AC$66+1)*(((('Danh mục công việc'!$AD$7:$AD$66&lt;C38)*'Danh mục công việc'!$AD$7:$AD$66+('Danh mục công việc'!$AD$7:$AD$66&gt;=C38)*C38)-(('Danh mục công việc'!$AC$7:$AC$66&gt;B38)*'Danh mục công việc'!$AC$7:$AC$66+('Danh mục công việc'!$AC$7:$AC$66&lt;=B38)*B38)+1)&gt;0)*((('Danh mục công việc'!$AD$7:$AD$66&lt;C38)*'Danh mục công việc'!$AD$7:$AD$66+('Danh mục công việc'!$AD$7:$AD$66&gt;=C38)*C38)-(('Danh mục công việc'!$AC$7:$AC$66&gt;B38)*'Danh mục công việc'!$AC$7:$AC$66+('Danh mục công việc'!$AC$7:$AC$66&lt;=B38)*B38)+1))</f>
        <v>355277777.8</v>
      </c>
      <c r="G38" s="47">
        <f t="shared" si="3"/>
        <v>25037317460</v>
      </c>
      <c r="H38" s="55">
        <f>IF('Danh mục công việc'!$H$67=0,0,G38/'Danh mục công việc'!$H$67)</f>
        <v>0.6743876922</v>
      </c>
    </row>
    <row r="39" ht="19.5" customHeight="1">
      <c r="A39" s="56">
        <v>32.0</v>
      </c>
      <c r="B39" s="57">
        <f t="shared" si="2"/>
        <v>46545</v>
      </c>
      <c r="C39" s="57">
        <f t="shared" si="1"/>
        <v>46551</v>
      </c>
      <c r="D39" s="56">
        <f>SUMPRODUCT(('Danh mục công việc'!$AC$7:$AC$66&gt;0)*('Danh mục công việc'!$AC$7:$AC$66&lt;=C39)*('Danh mục công việc'!$AD$7:$AD$66&gt;=B39))</f>
        <v>2</v>
      </c>
      <c r="E39" s="61">
        <f>SUMPRODUCT(('Danh mục công việc'!$AC$7:$AC$66&gt;0)*('Danh mục công việc'!$AC$7:$AC$66&lt;=C39)*('Danh mục công việc'!$AD$7:$AD$66&gt;=B39)*'Danh mục công việc'!$AF$7:$AF$66)</f>
        <v>32</v>
      </c>
      <c r="F39" s="66">
        <f>SUMPRODUCT(('Danh mục công việc'!$AC$7:$AC$66&gt;0)*'Danh mục công việc'!$AE$7:$AE$66/('Danh mục công việc'!$AD$7:$AD$66-'Danh mục công việc'!$AC$7:$AC$66+1)*(((('Danh mục công việc'!$AD$7:$AD$66&lt;C39)*'Danh mục công việc'!$AD$7:$AD$66+('Danh mục công việc'!$AD$7:$AD$66&gt;=C39)*C39)-(('Danh mục công việc'!$AC$7:$AC$66&gt;B39)*'Danh mục công việc'!$AC$7:$AC$66+('Danh mục công việc'!$AC$7:$AC$66&lt;=B39)*B39)+1)&gt;0)*((('Danh mục công việc'!$AD$7:$AD$66&lt;C39)*'Danh mục công việc'!$AD$7:$AD$66+('Danh mục công việc'!$AD$7:$AD$66&gt;=C39)*C39)-(('Danh mục công việc'!$AC$7:$AC$66&gt;B39)*'Danh mục công việc'!$AC$7:$AC$66+('Danh mục công việc'!$AC$7:$AC$66&lt;=B39)*B39)+1))</f>
        <v>355277777.8</v>
      </c>
      <c r="G39" s="66">
        <f t="shared" si="3"/>
        <v>25392595238</v>
      </c>
      <c r="H39" s="69">
        <f>IF('Danh mục công việc'!$H$67=0,0,G39/'Danh mục công việc'!$H$67)</f>
        <v>0.6839572062</v>
      </c>
    </row>
    <row r="40" ht="19.5" customHeight="1">
      <c r="A40" s="41">
        <v>33.0</v>
      </c>
      <c r="B40" s="42">
        <f t="shared" si="2"/>
        <v>46552</v>
      </c>
      <c r="C40" s="42">
        <f t="shared" si="1"/>
        <v>46558</v>
      </c>
      <c r="D40" s="41">
        <f>SUMPRODUCT(('Danh mục công việc'!$AC$7:$AC$66&gt;0)*('Danh mục công việc'!$AC$7:$AC$66&lt;=C40)*('Danh mục công việc'!$AD$7:$AD$66&gt;=B40))</f>
        <v>3</v>
      </c>
      <c r="E40" s="49">
        <f>SUMPRODUCT(('Danh mục công việc'!$AC$7:$AC$66&gt;0)*('Danh mục công việc'!$AC$7:$AC$66&lt;=C40)*('Danh mục công việc'!$AD$7:$AD$66&gt;=B40)*'Danh mục công việc'!$AF$7:$AF$66)</f>
        <v>72</v>
      </c>
      <c r="F40" s="47">
        <f>SUMPRODUCT(('Danh mục công việc'!$AC$7:$AC$66&gt;0)*'Danh mục công việc'!$AE$7:$AE$66/('Danh mục công việc'!$AD$7:$AD$66-'Danh mục công việc'!$AC$7:$AC$66+1)*(((('Danh mục công việc'!$AD$7:$AD$66&lt;C40)*'Danh mục công việc'!$AD$7:$AD$66+('Danh mục công việc'!$AD$7:$AD$66&gt;=C40)*C40)-(('Danh mục công việc'!$AC$7:$AC$66&gt;B40)*'Danh mục công việc'!$AC$7:$AC$66+('Danh mục công việc'!$AC$7:$AC$66&lt;=B40)*B40)+1)&gt;0)*((('Danh mục công việc'!$AD$7:$AD$66&lt;C40)*'Danh mục công việc'!$AD$7:$AD$66+('Danh mục công việc'!$AD$7:$AD$66&gt;=C40)*C40)-(('Danh mục công việc'!$AC$7:$AC$66&gt;B40)*'Danh mục công việc'!$AC$7:$AC$66+('Danh mục công việc'!$AC$7:$AC$66&lt;=B40)*B40)+1))</f>
        <v>442706349.2</v>
      </c>
      <c r="G40" s="47">
        <f t="shared" si="3"/>
        <v>25835301587</v>
      </c>
      <c r="H40" s="55">
        <f>IF('Danh mục công việc'!$H$67=0,0,G40/'Danh mục công việc'!$H$67)</f>
        <v>0.6958816352</v>
      </c>
    </row>
    <row r="41" ht="19.5" customHeight="1">
      <c r="A41" s="56">
        <v>34.0</v>
      </c>
      <c r="B41" s="57">
        <f t="shared" si="2"/>
        <v>46559</v>
      </c>
      <c r="C41" s="57">
        <f t="shared" si="1"/>
        <v>46565</v>
      </c>
      <c r="D41" s="56">
        <f>SUMPRODUCT(('Danh mục công việc'!$AC$7:$AC$66&gt;0)*('Danh mục công việc'!$AC$7:$AC$66&lt;=C41)*('Danh mục công việc'!$AD$7:$AD$66&gt;=B41))</f>
        <v>3</v>
      </c>
      <c r="E41" s="61">
        <f>SUMPRODUCT(('Danh mục công việc'!$AC$7:$AC$66&gt;0)*('Danh mục công việc'!$AC$7:$AC$66&lt;=C41)*('Danh mục công việc'!$AD$7:$AD$66&gt;=B41)*'Danh mục công việc'!$AF$7:$AF$66)</f>
        <v>72</v>
      </c>
      <c r="F41" s="66">
        <f>SUMPRODUCT(('Danh mục công việc'!$AC$7:$AC$66&gt;0)*'Danh mục công việc'!$AE$7:$AE$66/('Danh mục công việc'!$AD$7:$AD$66-'Danh mục công việc'!$AC$7:$AC$66+1)*(((('Danh mục công việc'!$AD$7:$AD$66&lt;C41)*'Danh mục công việc'!$AD$7:$AD$66+('Danh mục công việc'!$AD$7:$AD$66&gt;=C41)*C41)-(('Danh mục công việc'!$AC$7:$AC$66&gt;B41)*'Danh mục công việc'!$AC$7:$AC$66+('Danh mục công việc'!$AC$7:$AC$66&lt;=B41)*B41)+1)&gt;0)*((('Danh mục công việc'!$AD$7:$AD$66&lt;C41)*'Danh mục công việc'!$AD$7:$AD$66+('Danh mục công việc'!$AD$7:$AD$66&gt;=C41)*C41)-(('Danh mục công việc'!$AC$7:$AC$66&gt;B41)*'Danh mục công việc'!$AC$7:$AC$66+('Danh mục công việc'!$AC$7:$AC$66&lt;=B41)*B41)+1))</f>
        <v>457277777.8</v>
      </c>
      <c r="G41" s="66">
        <f t="shared" si="3"/>
        <v>26292579365</v>
      </c>
      <c r="H41" s="69">
        <f>IF('Danh mục công việc'!$H$67=0,0,G41/'Danh mục công việc'!$H$67)</f>
        <v>0.7081985499</v>
      </c>
    </row>
    <row r="42" ht="19.5" customHeight="1">
      <c r="A42" s="41">
        <v>35.0</v>
      </c>
      <c r="B42" s="42">
        <f t="shared" si="2"/>
        <v>46566</v>
      </c>
      <c r="C42" s="42">
        <f t="shared" si="1"/>
        <v>46572</v>
      </c>
      <c r="D42" s="41">
        <f>SUMPRODUCT(('Danh mục công việc'!$AC$7:$AC$66&gt;0)*('Danh mục công việc'!$AC$7:$AC$66&lt;=C42)*('Danh mục công việc'!$AD$7:$AD$66&gt;=B42))</f>
        <v>3</v>
      </c>
      <c r="E42" s="49">
        <f>SUMPRODUCT(('Danh mục công việc'!$AC$7:$AC$66&gt;0)*('Danh mục công việc'!$AC$7:$AC$66&lt;=C42)*('Danh mục công việc'!$AD$7:$AD$66&gt;=B42)*'Danh mục công việc'!$AF$7:$AF$66)</f>
        <v>72</v>
      </c>
      <c r="F42" s="47">
        <f>SUMPRODUCT(('Danh mục công việc'!$AC$7:$AC$66&gt;0)*'Danh mục công việc'!$AE$7:$AE$66/('Danh mục công việc'!$AD$7:$AD$66-'Danh mục công việc'!$AC$7:$AC$66+1)*(((('Danh mục công việc'!$AD$7:$AD$66&lt;C42)*'Danh mục công việc'!$AD$7:$AD$66+('Danh mục công việc'!$AD$7:$AD$66&gt;=C42)*C42)-(('Danh mục công việc'!$AC$7:$AC$66&gt;B42)*'Danh mục công việc'!$AC$7:$AC$66+('Danh mục công việc'!$AC$7:$AC$66&lt;=B42)*B42)+1)&gt;0)*((('Danh mục công việc'!$AD$7:$AD$66&lt;C42)*'Danh mục công việc'!$AD$7:$AD$66+('Danh mục công việc'!$AD$7:$AD$66&gt;=C42)*C42)-(('Danh mục công việc'!$AC$7:$AC$66&gt;B42)*'Danh mục công việc'!$AC$7:$AC$66+('Danh mục công việc'!$AC$7:$AC$66&lt;=B42)*B42)+1))</f>
        <v>362277777.8</v>
      </c>
      <c r="G42" s="47">
        <f t="shared" si="3"/>
        <v>26654857143</v>
      </c>
      <c r="H42" s="55">
        <f>IF('Danh mục công việc'!$H$67=0,0,G42/'Danh mục công việc'!$H$67)</f>
        <v>0.7179566111</v>
      </c>
    </row>
    <row r="43" ht="19.5" customHeight="1">
      <c r="A43" s="56">
        <v>36.0</v>
      </c>
      <c r="B43" s="57">
        <f t="shared" si="2"/>
        <v>46573</v>
      </c>
      <c r="C43" s="57">
        <f t="shared" si="1"/>
        <v>46579</v>
      </c>
      <c r="D43" s="56">
        <f>SUMPRODUCT(('Danh mục công việc'!$AC$7:$AC$66&gt;0)*('Danh mục công việc'!$AC$7:$AC$66&lt;=C43)*('Danh mục công việc'!$AD$7:$AD$66&gt;=B43))</f>
        <v>2</v>
      </c>
      <c r="E43" s="61">
        <f>SUMPRODUCT(('Danh mục công việc'!$AC$7:$AC$66&gt;0)*('Danh mục công việc'!$AC$7:$AC$66&lt;=C43)*('Danh mục công việc'!$AD$7:$AD$66&gt;=B43)*'Danh mục công việc'!$AF$7:$AF$66)</f>
        <v>48</v>
      </c>
      <c r="F43" s="66">
        <f>SUMPRODUCT(('Danh mục công việc'!$AC$7:$AC$66&gt;0)*'Danh mục công việc'!$AE$7:$AE$66/('Danh mục công việc'!$AD$7:$AD$66-'Danh mục công việc'!$AC$7:$AC$66+1)*(((('Danh mục công việc'!$AD$7:$AD$66&lt;C43)*'Danh mục công việc'!$AD$7:$AD$66+('Danh mục công việc'!$AD$7:$AD$66&gt;=C43)*C43)-(('Danh mục công việc'!$AC$7:$AC$66&gt;B43)*'Danh mục công việc'!$AC$7:$AC$66+('Danh mục công việc'!$AC$7:$AC$66&lt;=B43)*B43)+1)&gt;0)*((('Danh mục công việc'!$AD$7:$AD$66&lt;C43)*'Danh mục công việc'!$AD$7:$AD$66+('Danh mục công việc'!$AD$7:$AD$66&gt;=C43)*C43)-(('Danh mục công việc'!$AC$7:$AC$66&gt;B43)*'Danh mục công việc'!$AC$7:$AC$66+('Danh mục công việc'!$AC$7:$AC$66&lt;=B43)*B43)+1))</f>
        <v>346444444.4</v>
      </c>
      <c r="G43" s="66">
        <f t="shared" si="3"/>
        <v>27001301587</v>
      </c>
      <c r="H43" s="69">
        <f>IF('Danh mục công việc'!$H$67=0,0,G43/'Danh mục công việc'!$H$67)</f>
        <v>0.7272881966</v>
      </c>
    </row>
    <row r="44" ht="19.5" customHeight="1">
      <c r="A44" s="41">
        <v>37.0</v>
      </c>
      <c r="B44" s="42">
        <f t="shared" si="2"/>
        <v>46580</v>
      </c>
      <c r="C44" s="42">
        <f t="shared" si="1"/>
        <v>46586</v>
      </c>
      <c r="D44" s="41">
        <f>SUMPRODUCT(('Danh mục công việc'!$AC$7:$AC$66&gt;0)*('Danh mục công việc'!$AC$7:$AC$66&lt;=C44)*('Danh mục công việc'!$AD$7:$AD$66&gt;=B44))</f>
        <v>2</v>
      </c>
      <c r="E44" s="49">
        <f>SUMPRODUCT(('Danh mục công việc'!$AC$7:$AC$66&gt;0)*('Danh mục công việc'!$AC$7:$AC$66&lt;=C44)*('Danh mục công việc'!$AD$7:$AD$66&gt;=B44)*'Danh mục công việc'!$AF$7:$AF$66)</f>
        <v>48</v>
      </c>
      <c r="F44" s="47">
        <f>SUMPRODUCT(('Danh mục công việc'!$AC$7:$AC$66&gt;0)*'Danh mục công việc'!$AE$7:$AE$66/('Danh mục công việc'!$AD$7:$AD$66-'Danh mục công việc'!$AC$7:$AC$66+1)*(((('Danh mục công việc'!$AD$7:$AD$66&lt;C44)*'Danh mục công việc'!$AD$7:$AD$66+('Danh mục công việc'!$AD$7:$AD$66&gt;=C44)*C44)-(('Danh mục công việc'!$AC$7:$AC$66&gt;B44)*'Danh mục công việc'!$AC$7:$AC$66+('Danh mục công việc'!$AC$7:$AC$66&lt;=B44)*B44)+1)&gt;0)*((('Danh mục công việc'!$AD$7:$AD$66&lt;C44)*'Danh mục công việc'!$AD$7:$AD$66+('Danh mục công việc'!$AD$7:$AD$66&gt;=C44)*C44)-(('Danh mục công việc'!$AC$7:$AC$66&gt;B44)*'Danh mục công việc'!$AC$7:$AC$66+('Danh mục công việc'!$AC$7:$AC$66&lt;=B44)*B44)+1))</f>
        <v>346444444.4</v>
      </c>
      <c r="G44" s="47">
        <f t="shared" si="3"/>
        <v>27347746032</v>
      </c>
      <c r="H44" s="55">
        <f>IF('Danh mục công việc'!$H$67=0,0,G44/'Danh mục công việc'!$H$67)</f>
        <v>0.7366197821</v>
      </c>
    </row>
    <row r="45" ht="19.5" customHeight="1">
      <c r="A45" s="56">
        <v>38.0</v>
      </c>
      <c r="B45" s="57">
        <f t="shared" si="2"/>
        <v>46587</v>
      </c>
      <c r="C45" s="57">
        <f t="shared" si="1"/>
        <v>46593</v>
      </c>
      <c r="D45" s="56">
        <f>SUMPRODUCT(('Danh mục công việc'!$AC$7:$AC$66&gt;0)*('Danh mục công việc'!$AC$7:$AC$66&lt;=C45)*('Danh mục công việc'!$AD$7:$AD$66&gt;=B45))</f>
        <v>2</v>
      </c>
      <c r="E45" s="61">
        <f>SUMPRODUCT(('Danh mục công việc'!$AC$7:$AC$66&gt;0)*('Danh mục công việc'!$AC$7:$AC$66&lt;=C45)*('Danh mục công việc'!$AD$7:$AD$66&gt;=B45)*'Danh mục công việc'!$AF$7:$AF$66)</f>
        <v>48</v>
      </c>
      <c r="F45" s="66">
        <f>SUMPRODUCT(('Danh mục công việc'!$AC$7:$AC$66&gt;0)*'Danh mục công việc'!$AE$7:$AE$66/('Danh mục công việc'!$AD$7:$AD$66-'Danh mục công việc'!$AC$7:$AC$66+1)*(((('Danh mục công việc'!$AD$7:$AD$66&lt;C45)*'Danh mục công việc'!$AD$7:$AD$66+('Danh mục công việc'!$AD$7:$AD$66&gt;=C45)*C45)-(('Danh mục công việc'!$AC$7:$AC$66&gt;B45)*'Danh mục công việc'!$AC$7:$AC$66+('Danh mục công việc'!$AC$7:$AC$66&lt;=B45)*B45)+1)&gt;0)*((('Danh mục công việc'!$AD$7:$AD$66&lt;C45)*'Danh mục công việc'!$AD$7:$AD$66+('Danh mục công việc'!$AD$7:$AD$66&gt;=C45)*C45)-(('Danh mục công việc'!$AC$7:$AC$66&gt;B45)*'Danh mục công việc'!$AC$7:$AC$66+('Danh mục công việc'!$AC$7:$AC$66&lt;=B45)*B45)+1))</f>
        <v>241682539.7</v>
      </c>
      <c r="G45" s="66">
        <f t="shared" si="3"/>
        <v>27589428571</v>
      </c>
      <c r="H45" s="69">
        <f>IF('Danh mục công việc'!$H$67=0,0,G45/'Danh mục công việc'!$H$67)</f>
        <v>0.7431295742</v>
      </c>
    </row>
    <row r="46" ht="19.5" customHeight="1">
      <c r="A46" s="41">
        <v>39.0</v>
      </c>
      <c r="B46" s="42">
        <f t="shared" si="2"/>
        <v>46594</v>
      </c>
      <c r="C46" s="42">
        <f t="shared" si="1"/>
        <v>46600</v>
      </c>
      <c r="D46" s="41">
        <f>SUMPRODUCT(('Danh mục công việc'!$AC$7:$AC$66&gt;0)*('Danh mục công việc'!$AC$7:$AC$66&lt;=C46)*('Danh mục công việc'!$AD$7:$AD$66&gt;=B46))</f>
        <v>2</v>
      </c>
      <c r="E46" s="49">
        <f>SUMPRODUCT(('Danh mục công việc'!$AC$7:$AC$66&gt;0)*('Danh mục công việc'!$AC$7:$AC$66&lt;=C46)*('Danh mục công việc'!$AD$7:$AD$66&gt;=B46)*'Danh mục công việc'!$AF$7:$AF$66)</f>
        <v>64</v>
      </c>
      <c r="F46" s="47">
        <f>SUMPRODUCT(('Danh mục công việc'!$AC$7:$AC$66&gt;0)*'Danh mục công việc'!$AE$7:$AE$66/('Danh mục công việc'!$AD$7:$AD$66-'Danh mục công việc'!$AC$7:$AC$66+1)*(((('Danh mục công việc'!$AD$7:$AD$66&lt;C46)*'Danh mục công việc'!$AD$7:$AD$66+('Danh mục công việc'!$AD$7:$AD$66&gt;=C46)*C46)-(('Danh mục công việc'!$AC$7:$AC$66&gt;B46)*'Danh mục công việc'!$AC$7:$AC$66+('Danh mục công việc'!$AC$7:$AC$66&lt;=B46)*B46)+1)&gt;0)*((('Danh mục công việc'!$AD$7:$AD$66&lt;C46)*'Danh mục công việc'!$AD$7:$AD$66+('Danh mục công việc'!$AD$7:$AD$66&gt;=C46)*C46)-(('Danh mục công việc'!$AC$7:$AC$66&gt;B46)*'Danh mục công việc'!$AC$7:$AC$66+('Danh mục công việc'!$AC$7:$AC$66&lt;=B46)*B46)+1))</f>
        <v>237000000</v>
      </c>
      <c r="G46" s="47">
        <f t="shared" si="3"/>
        <v>27826428571</v>
      </c>
      <c r="H46" s="55">
        <f>IF('Danh mục công việc'!$H$67=0,0,G46/'Danh mục công việc'!$H$67)</f>
        <v>0.7495132406</v>
      </c>
    </row>
    <row r="47" ht="19.5" customHeight="1">
      <c r="A47" s="56">
        <v>40.0</v>
      </c>
      <c r="B47" s="57">
        <f t="shared" si="2"/>
        <v>46601</v>
      </c>
      <c r="C47" s="57">
        <f t="shared" si="1"/>
        <v>46607</v>
      </c>
      <c r="D47" s="56">
        <f>SUMPRODUCT(('Danh mục công việc'!$AC$7:$AC$66&gt;0)*('Danh mục công việc'!$AC$7:$AC$66&lt;=C47)*('Danh mục công việc'!$AD$7:$AD$66&gt;=B47))</f>
        <v>2</v>
      </c>
      <c r="E47" s="61">
        <f>SUMPRODUCT(('Danh mục công việc'!$AC$7:$AC$66&gt;0)*('Danh mục công việc'!$AC$7:$AC$66&lt;=C47)*('Danh mục công việc'!$AD$7:$AD$66&gt;=B47)*'Danh mục công việc'!$AF$7:$AF$66)</f>
        <v>64</v>
      </c>
      <c r="F47" s="66">
        <f>SUMPRODUCT(('Danh mục công việc'!$AC$7:$AC$66&gt;0)*'Danh mục công việc'!$AE$7:$AE$66/('Danh mục công việc'!$AD$7:$AD$66-'Danh mục công việc'!$AC$7:$AC$66+1)*(((('Danh mục công việc'!$AD$7:$AD$66&lt;C47)*'Danh mục công việc'!$AD$7:$AD$66+('Danh mục công việc'!$AD$7:$AD$66&gt;=C47)*C47)-(('Danh mục công việc'!$AC$7:$AC$66&gt;B47)*'Danh mục công việc'!$AC$7:$AC$66+('Danh mục công việc'!$AC$7:$AC$66&lt;=B47)*B47)+1)&gt;0)*((('Danh mục công việc'!$AD$7:$AD$66&lt;C47)*'Danh mục công việc'!$AD$7:$AD$66+('Danh mục công việc'!$AD$7:$AD$66&gt;=C47)*C47)-(('Danh mục công việc'!$AC$7:$AC$66&gt;B47)*'Danh mục công việc'!$AC$7:$AC$66+('Danh mục công việc'!$AC$7:$AC$66&lt;=B47)*B47)+1))</f>
        <v>259500000</v>
      </c>
      <c r="G47" s="66">
        <f t="shared" si="3"/>
        <v>28085928571</v>
      </c>
      <c r="H47" s="69">
        <f>IF('Danh mục công việc'!$H$67=0,0,G47/'Danh mục công việc'!$H$67)</f>
        <v>0.7565029513</v>
      </c>
    </row>
    <row r="48" ht="19.5" customHeight="1">
      <c r="A48" s="41">
        <v>41.0</v>
      </c>
      <c r="B48" s="42">
        <f t="shared" si="2"/>
        <v>46608</v>
      </c>
      <c r="C48" s="42">
        <f t="shared" si="1"/>
        <v>46614</v>
      </c>
      <c r="D48" s="41">
        <f>SUMPRODUCT(('Danh mục công việc'!$AC$7:$AC$66&gt;0)*('Danh mục công việc'!$AC$7:$AC$66&lt;=C48)*('Danh mục công việc'!$AD$7:$AD$66&gt;=B48))</f>
        <v>2</v>
      </c>
      <c r="E48" s="49">
        <f>SUMPRODUCT(('Danh mục công việc'!$AC$7:$AC$66&gt;0)*('Danh mục công việc'!$AC$7:$AC$66&lt;=C48)*('Danh mục công việc'!$AD$7:$AD$66&gt;=B48)*'Danh mục công việc'!$AF$7:$AF$66)</f>
        <v>64</v>
      </c>
      <c r="F48" s="47">
        <f>SUMPRODUCT(('Danh mục công việc'!$AC$7:$AC$66&gt;0)*'Danh mục công việc'!$AE$7:$AE$66/('Danh mục công việc'!$AD$7:$AD$66-'Danh mục công việc'!$AC$7:$AC$66+1)*(((('Danh mục công việc'!$AD$7:$AD$66&lt;C48)*'Danh mục công việc'!$AD$7:$AD$66+('Danh mục công việc'!$AD$7:$AD$66&gt;=C48)*C48)-(('Danh mục công việc'!$AC$7:$AC$66&gt;B48)*'Danh mục công việc'!$AC$7:$AC$66+('Danh mục công việc'!$AC$7:$AC$66&lt;=B48)*B48)+1)&gt;0)*((('Danh mục công việc'!$AD$7:$AD$66&lt;C48)*'Danh mục công việc'!$AD$7:$AD$66+('Danh mục công việc'!$AD$7:$AD$66&gt;=C48)*C48)-(('Danh mục công việc'!$AC$7:$AC$66&gt;B48)*'Danh mục công việc'!$AC$7:$AC$66+('Danh mục công việc'!$AC$7:$AC$66&lt;=B48)*B48)+1))</f>
        <v>259500000</v>
      </c>
      <c r="G48" s="47">
        <f t="shared" si="3"/>
        <v>28345428571</v>
      </c>
      <c r="H48" s="55">
        <f>IF('Danh mục công việc'!$H$67=0,0,G48/'Danh mục công việc'!$H$67)</f>
        <v>0.7634926621</v>
      </c>
    </row>
    <row r="49" ht="19.5" customHeight="1">
      <c r="A49" s="56">
        <v>42.0</v>
      </c>
      <c r="B49" s="57">
        <f t="shared" si="2"/>
        <v>46615</v>
      </c>
      <c r="C49" s="57">
        <f t="shared" si="1"/>
        <v>46621</v>
      </c>
      <c r="D49" s="56">
        <f>SUMPRODUCT(('Danh mục công việc'!$AC$7:$AC$66&gt;0)*('Danh mục công việc'!$AC$7:$AC$66&lt;=C49)*('Danh mục công việc'!$AD$7:$AD$66&gt;=B49))</f>
        <v>2</v>
      </c>
      <c r="E49" s="61">
        <f>SUMPRODUCT(('Danh mục công việc'!$AC$7:$AC$66&gt;0)*('Danh mục công việc'!$AC$7:$AC$66&lt;=C49)*('Danh mục công việc'!$AD$7:$AD$66&gt;=B49)*'Danh mục công việc'!$AF$7:$AF$66)</f>
        <v>64</v>
      </c>
      <c r="F49" s="66">
        <f>SUMPRODUCT(('Danh mục công việc'!$AC$7:$AC$66&gt;0)*'Danh mục công việc'!$AE$7:$AE$66/('Danh mục công việc'!$AD$7:$AD$66-'Danh mục công việc'!$AC$7:$AC$66+1)*(((('Danh mục công việc'!$AD$7:$AD$66&lt;C49)*'Danh mục công việc'!$AD$7:$AD$66+('Danh mục công việc'!$AD$7:$AD$66&gt;=C49)*C49)-(('Danh mục công việc'!$AC$7:$AC$66&gt;B49)*'Danh mục công việc'!$AC$7:$AC$66+('Danh mục công việc'!$AC$7:$AC$66&lt;=B49)*B49)+1)&gt;0)*((('Danh mục công việc'!$AD$7:$AD$66&lt;C49)*'Danh mục công việc'!$AD$7:$AD$66+('Danh mục công việc'!$AD$7:$AD$66&gt;=C49)*C49)-(('Danh mục công việc'!$AC$7:$AC$66&gt;B49)*'Danh mục công việc'!$AC$7:$AC$66+('Danh mục công việc'!$AC$7:$AC$66&lt;=B49)*B49)+1))</f>
        <v>259500000</v>
      </c>
      <c r="G49" s="66">
        <f t="shared" si="3"/>
        <v>28604928571</v>
      </c>
      <c r="H49" s="69">
        <f>IF('Danh mục công việc'!$H$67=0,0,G49/'Danh mục công việc'!$H$67)</f>
        <v>0.7704823728</v>
      </c>
    </row>
    <row r="50" ht="19.5" customHeight="1">
      <c r="A50" s="41">
        <v>43.0</v>
      </c>
      <c r="B50" s="42">
        <f t="shared" si="2"/>
        <v>46622</v>
      </c>
      <c r="C50" s="42">
        <f t="shared" si="1"/>
        <v>46628</v>
      </c>
      <c r="D50" s="41">
        <f>SUMPRODUCT(('Danh mục công việc'!$AC$7:$AC$66&gt;0)*('Danh mục công việc'!$AC$7:$AC$66&lt;=C50)*('Danh mục công việc'!$AD$7:$AD$66&gt;=B50))</f>
        <v>2</v>
      </c>
      <c r="E50" s="49">
        <f>SUMPRODUCT(('Danh mục công việc'!$AC$7:$AC$66&gt;0)*('Danh mục công việc'!$AC$7:$AC$66&lt;=C50)*('Danh mục công việc'!$AD$7:$AD$66&gt;=B50)*'Danh mục công việc'!$AF$7:$AF$66)</f>
        <v>64</v>
      </c>
      <c r="F50" s="47">
        <f>SUMPRODUCT(('Danh mục công việc'!$AC$7:$AC$66&gt;0)*'Danh mục công việc'!$AE$7:$AE$66/('Danh mục công việc'!$AD$7:$AD$66-'Danh mục công việc'!$AC$7:$AC$66+1)*(((('Danh mục công việc'!$AD$7:$AD$66&lt;C50)*'Danh mục công việc'!$AD$7:$AD$66+('Danh mục công việc'!$AD$7:$AD$66&gt;=C50)*C50)-(('Danh mục công việc'!$AC$7:$AC$66&gt;B50)*'Danh mục công việc'!$AC$7:$AC$66+('Danh mục công việc'!$AC$7:$AC$66&lt;=B50)*B50)+1)&gt;0)*((('Danh mục công việc'!$AD$7:$AD$66&lt;C50)*'Danh mục công việc'!$AD$7:$AD$66+('Danh mục công việc'!$AD$7:$AD$66&gt;=C50)*C50)-(('Danh mục công việc'!$AC$7:$AC$66&gt;B50)*'Danh mục công việc'!$AC$7:$AC$66+('Danh mục công việc'!$AC$7:$AC$66&lt;=B50)*B50)+1))</f>
        <v>172071428.6</v>
      </c>
      <c r="G50" s="47">
        <f t="shared" si="3"/>
        <v>28777000000</v>
      </c>
      <c r="H50" s="55">
        <f>IF('Danh mục công việc'!$H$67=0,0,G50/'Danh mục công việc'!$H$67)</f>
        <v>0.7751171686</v>
      </c>
    </row>
    <row r="51" ht="19.5" customHeight="1">
      <c r="A51" s="56">
        <v>44.0</v>
      </c>
      <c r="B51" s="57">
        <f t="shared" si="2"/>
        <v>46629</v>
      </c>
      <c r="C51" s="57">
        <f t="shared" si="1"/>
        <v>46635</v>
      </c>
      <c r="D51" s="56">
        <f>SUMPRODUCT(('Danh mục công việc'!$AC$7:$AC$66&gt;0)*('Danh mục công việc'!$AC$7:$AC$66&lt;=C51)*('Danh mục công việc'!$AD$7:$AD$66&gt;=B51))</f>
        <v>2</v>
      </c>
      <c r="E51" s="61">
        <f>SUMPRODUCT(('Danh mục công việc'!$AC$7:$AC$66&gt;0)*('Danh mục công việc'!$AC$7:$AC$66&lt;=C51)*('Danh mục công việc'!$AD$7:$AD$66&gt;=B51)*'Danh mục công việc'!$AF$7:$AF$66)</f>
        <v>44</v>
      </c>
      <c r="F51" s="66">
        <f>SUMPRODUCT(('Danh mục công việc'!$AC$7:$AC$66&gt;0)*'Danh mục công việc'!$AE$7:$AE$66/('Danh mục công việc'!$AD$7:$AD$66-'Danh mục công việc'!$AC$7:$AC$66+1)*(((('Danh mục công việc'!$AD$7:$AD$66&lt;C51)*'Danh mục công việc'!$AD$7:$AD$66+('Danh mục công việc'!$AD$7:$AD$66&gt;=C51)*C51)-(('Danh mục công việc'!$AC$7:$AC$66&gt;B51)*'Danh mục công việc'!$AC$7:$AC$66+('Danh mục công việc'!$AC$7:$AC$66&lt;=B51)*B51)+1)&gt;0)*((('Danh mục công việc'!$AD$7:$AD$66&lt;C51)*'Danh mục công việc'!$AD$7:$AD$66+('Danh mục công việc'!$AD$7:$AD$66&gt;=C51)*C51)-(('Danh mục công việc'!$AC$7:$AC$66&gt;B51)*'Danh mục công việc'!$AC$7:$AC$66+('Danh mục công việc'!$AC$7:$AC$66&lt;=B51)*B51)+1))</f>
        <v>260357142.9</v>
      </c>
      <c r="G51" s="66">
        <f t="shared" si="3"/>
        <v>29037357143</v>
      </c>
      <c r="H51" s="69">
        <f>IF('Danh mục công việc'!$H$67=0,0,G51/'Danh mục công việc'!$H$67)</f>
        <v>0.7821299667</v>
      </c>
    </row>
    <row r="52" ht="19.5" customHeight="1">
      <c r="A52" s="41">
        <v>45.0</v>
      </c>
      <c r="B52" s="42">
        <f t="shared" si="2"/>
        <v>46636</v>
      </c>
      <c r="C52" s="42">
        <f t="shared" si="1"/>
        <v>46642</v>
      </c>
      <c r="D52" s="41">
        <f>SUMPRODUCT(('Danh mục công việc'!$AC$7:$AC$66&gt;0)*('Danh mục công việc'!$AC$7:$AC$66&lt;=C52)*('Danh mục công việc'!$AD$7:$AD$66&gt;=B52))</f>
        <v>2</v>
      </c>
      <c r="E52" s="49">
        <f>SUMPRODUCT(('Danh mục công việc'!$AC$7:$AC$66&gt;0)*('Danh mục công việc'!$AC$7:$AC$66&lt;=C52)*('Danh mục công việc'!$AD$7:$AD$66&gt;=B52)*'Danh mục công việc'!$AF$7:$AF$66)</f>
        <v>44</v>
      </c>
      <c r="F52" s="47">
        <f>SUMPRODUCT(('Danh mục công việc'!$AC$7:$AC$66&gt;0)*'Danh mục công việc'!$AE$7:$AE$66/('Danh mục công việc'!$AD$7:$AD$66-'Danh mục công việc'!$AC$7:$AC$66+1)*(((('Danh mục công việc'!$AD$7:$AD$66&lt;C52)*'Danh mục công việc'!$AD$7:$AD$66+('Danh mục công việc'!$AD$7:$AD$66&gt;=C52)*C52)-(('Danh mục công việc'!$AC$7:$AC$66&gt;B52)*'Danh mục công việc'!$AC$7:$AC$66+('Danh mục công việc'!$AC$7:$AC$66&lt;=B52)*B52)+1)&gt;0)*((('Danh mục công việc'!$AD$7:$AD$66&lt;C52)*'Danh mục công việc'!$AD$7:$AD$66+('Danh mục công việc'!$AD$7:$AD$66&gt;=C52)*C52)-(('Danh mục công việc'!$AC$7:$AC$66&gt;B52)*'Danh mục công việc'!$AC$7:$AC$66+('Danh mục công việc'!$AC$7:$AC$66&lt;=B52)*B52)+1))</f>
        <v>277500000</v>
      </c>
      <c r="G52" s="47">
        <f t="shared" si="3"/>
        <v>29314857143</v>
      </c>
      <c r="H52" s="55">
        <f>IF('Danh mục công việc'!$H$67=0,0,G52/'Danh mục công việc'!$H$67)</f>
        <v>0.7896045128</v>
      </c>
    </row>
    <row r="53" ht="19.5" customHeight="1">
      <c r="A53" s="56">
        <v>46.0</v>
      </c>
      <c r="B53" s="57">
        <f t="shared" si="2"/>
        <v>46643</v>
      </c>
      <c r="C53" s="57">
        <f t="shared" si="1"/>
        <v>46649</v>
      </c>
      <c r="D53" s="56">
        <f>SUMPRODUCT(('Danh mục công việc'!$AC$7:$AC$66&gt;0)*('Danh mục công việc'!$AC$7:$AC$66&lt;=C53)*('Danh mục công việc'!$AD$7:$AD$66&gt;=B53))</f>
        <v>2</v>
      </c>
      <c r="E53" s="61">
        <f>SUMPRODUCT(('Danh mục công việc'!$AC$7:$AC$66&gt;0)*('Danh mục công việc'!$AC$7:$AC$66&lt;=C53)*('Danh mục công việc'!$AD$7:$AD$66&gt;=B53)*'Danh mục công việc'!$AF$7:$AF$66)</f>
        <v>44</v>
      </c>
      <c r="F53" s="66">
        <f>SUMPRODUCT(('Danh mục công việc'!$AC$7:$AC$66&gt;0)*'Danh mục công việc'!$AE$7:$AE$66/('Danh mục công việc'!$AD$7:$AD$66-'Danh mục công việc'!$AC$7:$AC$66+1)*(((('Danh mục công việc'!$AD$7:$AD$66&lt;C53)*'Danh mục công việc'!$AD$7:$AD$66+('Danh mục công việc'!$AD$7:$AD$66&gt;=C53)*C53)-(('Danh mục công việc'!$AC$7:$AC$66&gt;B53)*'Danh mục công việc'!$AC$7:$AC$66+('Danh mục công việc'!$AC$7:$AC$66&lt;=B53)*B53)+1)&gt;0)*((('Danh mục công việc'!$AD$7:$AD$66&lt;C53)*'Danh mục công việc'!$AD$7:$AD$66+('Danh mục công việc'!$AD$7:$AD$66&gt;=C53)*C53)-(('Danh mục công việc'!$AC$7:$AC$66&gt;B53)*'Danh mục công việc'!$AC$7:$AC$66+('Danh mục công việc'!$AC$7:$AC$66&lt;=B53)*B53)+1))</f>
        <v>277500000</v>
      </c>
      <c r="G53" s="66">
        <f t="shared" si="3"/>
        <v>29592357143</v>
      </c>
      <c r="H53" s="69">
        <f>IF('Danh mục công việc'!$H$67=0,0,G53/'Danh mục công việc'!$H$67)</f>
        <v>0.797079059</v>
      </c>
    </row>
    <row r="54" ht="19.5" customHeight="1">
      <c r="A54" s="41">
        <v>47.0</v>
      </c>
      <c r="B54" s="42">
        <f t="shared" si="2"/>
        <v>46650</v>
      </c>
      <c r="C54" s="42">
        <f t="shared" si="1"/>
        <v>46656</v>
      </c>
      <c r="D54" s="41">
        <f>SUMPRODUCT(('Danh mục công việc'!$AC$7:$AC$66&gt;0)*('Danh mục công việc'!$AC$7:$AC$66&lt;=C54)*('Danh mục công việc'!$AD$7:$AD$66&gt;=B54))</f>
        <v>3</v>
      </c>
      <c r="E54" s="49">
        <f>SUMPRODUCT(('Danh mục công việc'!$AC$7:$AC$66&gt;0)*('Danh mục công việc'!$AC$7:$AC$66&lt;=C54)*('Danh mục công việc'!$AD$7:$AD$66&gt;=B54)*'Danh mục công việc'!$AF$7:$AF$66)</f>
        <v>60</v>
      </c>
      <c r="F54" s="47">
        <f>SUMPRODUCT(('Danh mục công việc'!$AC$7:$AC$66&gt;0)*'Danh mục công việc'!$AE$7:$AE$66/('Danh mục công việc'!$AD$7:$AD$66-'Danh mục công việc'!$AC$7:$AC$66+1)*(((('Danh mục công việc'!$AD$7:$AD$66&lt;C54)*'Danh mục công việc'!$AD$7:$AD$66+('Danh mục công việc'!$AD$7:$AD$66&gt;=C54)*C54)-(('Danh mục công việc'!$AC$7:$AC$66&gt;B54)*'Danh mục công việc'!$AC$7:$AC$66+('Danh mục công việc'!$AC$7:$AC$66&lt;=B54)*B54)+1)&gt;0)*((('Danh mục công việc'!$AD$7:$AD$66&lt;C54)*'Danh mục công việc'!$AD$7:$AD$66+('Danh mục công việc'!$AD$7:$AD$66&gt;=C54)*C54)-(('Danh mục công việc'!$AC$7:$AC$66&gt;B54)*'Danh mục công việc'!$AC$7:$AC$66+('Danh mục công việc'!$AC$7:$AC$66&lt;=B54)*B54)+1))</f>
        <v>555568965.5</v>
      </c>
      <c r="G54" s="47">
        <f t="shared" si="3"/>
        <v>30147926108</v>
      </c>
      <c r="H54" s="55">
        <f>IF('Danh mục công việc'!$H$67=0,0,G54/'Danh mục công việc'!$H$67)</f>
        <v>0.8120434765</v>
      </c>
    </row>
    <row r="55" ht="19.5" customHeight="1">
      <c r="A55" s="56">
        <v>48.0</v>
      </c>
      <c r="B55" s="57">
        <f t="shared" si="2"/>
        <v>46657</v>
      </c>
      <c r="C55" s="57">
        <f t="shared" si="1"/>
        <v>46663</v>
      </c>
      <c r="D55" s="56">
        <f>SUMPRODUCT(('Danh mục công việc'!$AC$7:$AC$66&gt;0)*('Danh mục công việc'!$AC$7:$AC$66&lt;=C55)*('Danh mục công việc'!$AD$7:$AD$66&gt;=B55))</f>
        <v>3</v>
      </c>
      <c r="E55" s="61">
        <f>SUMPRODUCT(('Danh mục công việc'!$AC$7:$AC$66&gt;0)*('Danh mục công việc'!$AC$7:$AC$66&lt;=C55)*('Danh mục công việc'!$AD$7:$AD$66&gt;=B55)*'Danh mục công việc'!$AF$7:$AF$66)</f>
        <v>60</v>
      </c>
      <c r="F55" s="66">
        <f>SUMPRODUCT(('Danh mục công việc'!$AC$7:$AC$66&gt;0)*'Danh mục công việc'!$AE$7:$AE$66/('Danh mục công việc'!$AD$7:$AD$66-'Danh mục công việc'!$AC$7:$AC$66+1)*(((('Danh mục công việc'!$AD$7:$AD$66&lt;C55)*'Danh mục công việc'!$AD$7:$AD$66+('Danh mục công việc'!$AD$7:$AD$66&gt;=C55)*C55)-(('Danh mục công việc'!$AC$7:$AC$66&gt;B55)*'Danh mục công việc'!$AC$7:$AC$66+('Danh mục công việc'!$AC$7:$AC$66&lt;=B55)*B55)+1)&gt;0)*((('Danh mục công việc'!$AD$7:$AD$66&lt;C55)*'Danh mục công việc'!$AD$7:$AD$66+('Danh mục công việc'!$AD$7:$AD$66&gt;=C55)*C55)-(('Danh mục công việc'!$AC$7:$AC$66&gt;B55)*'Danh mục công việc'!$AC$7:$AC$66+('Danh mục công việc'!$AC$7:$AC$66&lt;=B55)*B55)+1))</f>
        <v>601913793.1</v>
      </c>
      <c r="G55" s="66">
        <f t="shared" si="3"/>
        <v>30749839901</v>
      </c>
      <c r="H55" s="69">
        <f>IF('Danh mục công việc'!$H$67=0,0,G55/'Danh mục công việc'!$H$67)</f>
        <v>0.8282562059</v>
      </c>
    </row>
    <row r="56" ht="19.5" customHeight="1">
      <c r="A56" s="41">
        <v>49.0</v>
      </c>
      <c r="B56" s="42">
        <f t="shared" si="2"/>
        <v>46664</v>
      </c>
      <c r="C56" s="42">
        <f t="shared" si="1"/>
        <v>46670</v>
      </c>
      <c r="D56" s="41">
        <f>SUMPRODUCT(('Danh mục công việc'!$AC$7:$AC$66&gt;0)*('Danh mục công việc'!$AC$7:$AC$66&lt;=C56)*('Danh mục công việc'!$AD$7:$AD$66&gt;=B56))</f>
        <v>3</v>
      </c>
      <c r="E56" s="49">
        <f>SUMPRODUCT(('Danh mục công việc'!$AC$7:$AC$66&gt;0)*('Danh mục công việc'!$AC$7:$AC$66&lt;=C56)*('Danh mục công việc'!$AD$7:$AD$66&gt;=B56)*'Danh mục công việc'!$AF$7:$AF$66)</f>
        <v>60</v>
      </c>
      <c r="F56" s="47">
        <f>SUMPRODUCT(('Danh mục công việc'!$AC$7:$AC$66&gt;0)*'Danh mục công việc'!$AE$7:$AE$66/('Danh mục công việc'!$AD$7:$AD$66-'Danh mục công việc'!$AC$7:$AC$66+1)*(((('Danh mục công việc'!$AD$7:$AD$66&lt;C56)*'Danh mục công việc'!$AD$7:$AD$66+('Danh mục công việc'!$AD$7:$AD$66&gt;=C56)*C56)-(('Danh mục công việc'!$AC$7:$AC$66&gt;B56)*'Danh mục công việc'!$AC$7:$AC$66+('Danh mục công việc'!$AC$7:$AC$66&lt;=B56)*B56)+1)&gt;0)*((('Danh mục công việc'!$AD$7:$AD$66&lt;C56)*'Danh mục công việc'!$AD$7:$AD$66+('Danh mục công việc'!$AD$7:$AD$66&gt;=C56)*C56)-(('Danh mục công việc'!$AC$7:$AC$66&gt;B56)*'Danh mục công việc'!$AC$7:$AC$66+('Danh mục công việc'!$AC$7:$AC$66&lt;=B56)*B56)+1))</f>
        <v>601913793.1</v>
      </c>
      <c r="G56" s="47">
        <f t="shared" si="3"/>
        <v>31351753695</v>
      </c>
      <c r="H56" s="55">
        <f>IF('Danh mục công việc'!$H$67=0,0,G56/'Danh mục công việc'!$H$67)</f>
        <v>0.8444689354</v>
      </c>
    </row>
    <row r="57" ht="19.5" customHeight="1">
      <c r="A57" s="56">
        <v>50.0</v>
      </c>
      <c r="B57" s="57">
        <f t="shared" si="2"/>
        <v>46671</v>
      </c>
      <c r="C57" s="57">
        <f t="shared" si="1"/>
        <v>46677</v>
      </c>
      <c r="D57" s="56">
        <f>SUMPRODUCT(('Danh mục công việc'!$AC$7:$AC$66&gt;0)*('Danh mục công việc'!$AC$7:$AC$66&lt;=C57)*('Danh mục công việc'!$AD$7:$AD$66&gt;=B57))</f>
        <v>3</v>
      </c>
      <c r="E57" s="61">
        <f>SUMPRODUCT(('Danh mục công việc'!$AC$7:$AC$66&gt;0)*('Danh mục công việc'!$AC$7:$AC$66&lt;=C57)*('Danh mục công việc'!$AD$7:$AD$66&gt;=B57)*'Danh mục công việc'!$AF$7:$AF$66)</f>
        <v>60</v>
      </c>
      <c r="F57" s="66">
        <f>SUMPRODUCT(('Danh mục công việc'!$AC$7:$AC$66&gt;0)*'Danh mục công việc'!$AE$7:$AE$66/('Danh mục công việc'!$AD$7:$AD$66-'Danh mục công việc'!$AC$7:$AC$66+1)*(((('Danh mục công việc'!$AD$7:$AD$66&lt;C57)*'Danh mục công việc'!$AD$7:$AD$66+('Danh mục công việc'!$AD$7:$AD$66&gt;=C57)*C57)-(('Danh mục công việc'!$AC$7:$AC$66&gt;B57)*'Danh mục công việc'!$AC$7:$AC$66+('Danh mục công việc'!$AC$7:$AC$66&lt;=B57)*B57)+1)&gt;0)*((('Danh mục công việc'!$AD$7:$AD$66&lt;C57)*'Danh mục công việc'!$AD$7:$AD$66+('Danh mục công việc'!$AD$7:$AD$66&gt;=C57)*C57)-(('Danh mục công việc'!$AC$7:$AC$66&gt;B57)*'Danh mục công việc'!$AC$7:$AC$66+('Danh mục công việc'!$AC$7:$AC$66&lt;=B57)*B57)+1))</f>
        <v>601913793.1</v>
      </c>
      <c r="G57" s="66">
        <f t="shared" si="3"/>
        <v>31953667488</v>
      </c>
      <c r="H57" s="69">
        <f>IF('Danh mục công việc'!$H$67=0,0,G57/'Danh mục công việc'!$H$67)</f>
        <v>0.8606816648</v>
      </c>
    </row>
    <row r="58" ht="19.5" customHeight="1">
      <c r="A58" s="41">
        <v>51.0</v>
      </c>
      <c r="B58" s="42">
        <f t="shared" si="2"/>
        <v>46678</v>
      </c>
      <c r="C58" s="42">
        <f t="shared" si="1"/>
        <v>46684</v>
      </c>
      <c r="D58" s="41">
        <f>SUMPRODUCT(('Danh mục công việc'!$AC$7:$AC$66&gt;0)*('Danh mục công việc'!$AC$7:$AC$66&lt;=C58)*('Danh mục công việc'!$AD$7:$AD$66&gt;=B58))</f>
        <v>4</v>
      </c>
      <c r="E58" s="49">
        <f>SUMPRODUCT(('Danh mục công việc'!$AC$7:$AC$66&gt;0)*('Danh mục công việc'!$AC$7:$AC$66&lt;=C58)*('Danh mục công việc'!$AD$7:$AD$66&gt;=B58)*'Danh mục công việc'!$AF$7:$AF$66)</f>
        <v>76</v>
      </c>
      <c r="F58" s="47">
        <f>SUMPRODUCT(('Danh mục công việc'!$AC$7:$AC$66&gt;0)*'Danh mục công việc'!$AE$7:$AE$66/('Danh mục công việc'!$AD$7:$AD$66-'Danh mục công việc'!$AC$7:$AC$66+1)*(((('Danh mục công việc'!$AD$7:$AD$66&lt;C58)*'Danh mục công việc'!$AD$7:$AD$66+('Danh mục công việc'!$AD$7:$AD$66&gt;=C58)*C58)-(('Danh mục công việc'!$AC$7:$AC$66&gt;B58)*'Danh mục công việc'!$AC$7:$AC$66+('Danh mục công việc'!$AC$7:$AC$66&lt;=B58)*B58)+1)&gt;0)*((('Danh mục công việc'!$AD$7:$AD$66&lt;C58)*'Danh mục công việc'!$AD$7:$AD$66+('Danh mục công việc'!$AD$7:$AD$66&gt;=C58)*C58)-(('Danh mục công việc'!$AC$7:$AC$66&gt;B58)*'Danh mục công việc'!$AC$7:$AC$66+('Danh mục công việc'!$AC$7:$AC$66&lt;=B58)*B58)+1))</f>
        <v>672689655.2</v>
      </c>
      <c r="G58" s="47">
        <f t="shared" si="3"/>
        <v>32626357143</v>
      </c>
      <c r="H58" s="55">
        <f>IF('Danh mục công việc'!$H$67=0,0,G58/'Danh mục công việc'!$H$67)</f>
        <v>0.8788007634</v>
      </c>
    </row>
    <row r="59" ht="19.5" customHeight="1">
      <c r="A59" s="56">
        <v>52.0</v>
      </c>
      <c r="B59" s="57">
        <f t="shared" si="2"/>
        <v>46685</v>
      </c>
      <c r="C59" s="57">
        <f t="shared" si="1"/>
        <v>46691</v>
      </c>
      <c r="D59" s="56">
        <f>SUMPRODUCT(('Danh mục công việc'!$AC$7:$AC$66&gt;0)*('Danh mục công việc'!$AC$7:$AC$66&lt;=C59)*('Danh mục công việc'!$AD$7:$AD$66&gt;=B59))</f>
        <v>3</v>
      </c>
      <c r="E59" s="61">
        <f>SUMPRODUCT(('Danh mục công việc'!$AC$7:$AC$66&gt;0)*('Danh mục công việc'!$AC$7:$AC$66&lt;=C59)*('Danh mục công việc'!$AD$7:$AD$66&gt;=B59)*'Danh mục công việc'!$AF$7:$AF$66)</f>
        <v>46</v>
      </c>
      <c r="F59" s="66">
        <f>SUMPRODUCT(('Danh mục công việc'!$AC$7:$AC$66&gt;0)*'Danh mục công việc'!$AE$7:$AE$66/('Danh mục công việc'!$AD$7:$AD$66-'Danh mục công việc'!$AC$7:$AC$66+1)*(((('Danh mục công việc'!$AD$7:$AD$66&lt;C59)*'Danh mục công việc'!$AD$7:$AD$66+('Danh mục công việc'!$AD$7:$AD$66&gt;=C59)*C59)-(('Danh mục công việc'!$AC$7:$AC$66&gt;B59)*'Danh mục công việc'!$AC$7:$AC$66+('Danh mục công việc'!$AC$7:$AC$66&lt;=B59)*B59)+1)&gt;0)*((('Danh mục công việc'!$AD$7:$AD$66&lt;C59)*'Danh mục công việc'!$AD$7:$AD$66+('Danh mục công việc'!$AD$7:$AD$66&gt;=C59)*C59)-(('Danh mục công việc'!$AC$7:$AC$66&gt;B59)*'Danh mục công việc'!$AC$7:$AC$66+('Danh mục công việc'!$AC$7:$AC$66&lt;=B59)*B59)+1))</f>
        <v>1532500000</v>
      </c>
      <c r="G59" s="66">
        <f t="shared" si="3"/>
        <v>34158857143</v>
      </c>
      <c r="H59" s="69">
        <f>IF('Danh mục công việc'!$H$67=0,0,G59/'Danh mục công việc'!$H$67)</f>
        <v>0.9200791128</v>
      </c>
    </row>
    <row r="60" ht="19.5" customHeight="1">
      <c r="A60" s="41">
        <v>53.0</v>
      </c>
      <c r="B60" s="42">
        <f t="shared" si="2"/>
        <v>46692</v>
      </c>
      <c r="C60" s="42">
        <f t="shared" si="1"/>
        <v>46698</v>
      </c>
      <c r="D60" s="41">
        <f>SUMPRODUCT(('Danh mục công việc'!$AC$7:$AC$66&gt;0)*('Danh mục công việc'!$AC$7:$AC$66&lt;=C60)*('Danh mục công việc'!$AD$7:$AD$66&gt;=B60))</f>
        <v>3</v>
      </c>
      <c r="E60" s="49">
        <f>SUMPRODUCT(('Danh mục công việc'!$AC$7:$AC$66&gt;0)*('Danh mục công việc'!$AC$7:$AC$66&lt;=C60)*('Danh mục công việc'!$AD$7:$AD$66&gt;=B60)*'Danh mục công việc'!$AF$7:$AF$66)</f>
        <v>46</v>
      </c>
      <c r="F60" s="47">
        <f>SUMPRODUCT(('Danh mục công việc'!$AC$7:$AC$66&gt;0)*'Danh mục công việc'!$AE$7:$AE$66/('Danh mục công việc'!$AD$7:$AD$66-'Danh mục công việc'!$AC$7:$AC$66+1)*(((('Danh mục công việc'!$AD$7:$AD$66&lt;C60)*'Danh mục công việc'!$AD$7:$AD$66+('Danh mục công việc'!$AD$7:$AD$66&gt;=C60)*C60)-(('Danh mục công việc'!$AC$7:$AC$66&gt;B60)*'Danh mục công việc'!$AC$7:$AC$66+('Danh mục công việc'!$AC$7:$AC$66&lt;=B60)*B60)+1)&gt;0)*((('Danh mục công việc'!$AD$7:$AD$66&lt;C60)*'Danh mục công việc'!$AD$7:$AD$66+('Danh mục công việc'!$AD$7:$AD$66&gt;=C60)*C60)-(('Danh mục công việc'!$AC$7:$AC$66&gt;B60)*'Danh mục công việc'!$AC$7:$AC$66+('Danh mục công việc'!$AC$7:$AC$66&lt;=B60)*B60)+1))</f>
        <v>1665833333</v>
      </c>
      <c r="G60" s="47">
        <f t="shared" si="3"/>
        <v>35824690476</v>
      </c>
      <c r="H60" s="55">
        <f>IF('Danh mục công việc'!$H$67=0,0,G60/'Danh mục công việc'!$H$67)</f>
        <v>0.9649488358</v>
      </c>
    </row>
    <row r="61" ht="19.5" customHeight="1">
      <c r="A61" s="56">
        <v>54.0</v>
      </c>
      <c r="B61" s="57">
        <f t="shared" si="2"/>
        <v>46699</v>
      </c>
      <c r="C61" s="57">
        <f t="shared" si="1"/>
        <v>46705</v>
      </c>
      <c r="D61" s="56">
        <f>SUMPRODUCT(('Danh mục công việc'!$AC$7:$AC$66&gt;0)*('Danh mục công việc'!$AC$7:$AC$66&lt;=C61)*('Danh mục công việc'!$AD$7:$AD$66&gt;=B61))</f>
        <v>3</v>
      </c>
      <c r="E61" s="61">
        <f>SUMPRODUCT(('Danh mục công việc'!$AC$7:$AC$66&gt;0)*('Danh mục công việc'!$AC$7:$AC$66&lt;=C61)*('Danh mục công việc'!$AD$7:$AD$66&gt;=B61)*'Danh mục công việc'!$AF$7:$AF$66)</f>
        <v>46</v>
      </c>
      <c r="F61" s="66">
        <f>SUMPRODUCT(('Danh mục công việc'!$AC$7:$AC$66&gt;0)*'Danh mục công việc'!$AE$7:$AE$66/('Danh mục công việc'!$AD$7:$AD$66-'Danh mục công việc'!$AC$7:$AC$66+1)*(((('Danh mục công việc'!$AD$7:$AD$66&lt;C61)*'Danh mục công việc'!$AD$7:$AD$66+('Danh mục công việc'!$AD$7:$AD$66&gt;=C61)*C61)-(('Danh mục công việc'!$AC$7:$AC$66&gt;B61)*'Danh mục công việc'!$AC$7:$AC$66+('Danh mục công việc'!$AC$7:$AC$66&lt;=B61)*B61)+1)&gt;0)*((('Danh mục công việc'!$AD$7:$AD$66&lt;C61)*'Danh mục công việc'!$AD$7:$AD$66+('Danh mục công việc'!$AD$7:$AD$66&gt;=C61)*C61)-(('Danh mục công việc'!$AC$7:$AC$66&gt;B61)*'Danh mục công việc'!$AC$7:$AC$66+('Danh mục công việc'!$AC$7:$AC$66&lt;=B61)*B61)+1))</f>
        <v>1121309524</v>
      </c>
      <c r="G61" s="66">
        <f t="shared" si="3"/>
        <v>36946000000</v>
      </c>
      <c r="H61" s="69">
        <f>IF('Danh mục công việc'!$H$67=0,0,G61/'Danh mục công việc'!$H$67)</f>
        <v>0.9951516457</v>
      </c>
    </row>
    <row r="62" ht="19.5" customHeight="1">
      <c r="A62" s="41">
        <v>55.0</v>
      </c>
      <c r="B62" s="42">
        <f t="shared" si="2"/>
        <v>46706</v>
      </c>
      <c r="C62" s="42">
        <f t="shared" si="1"/>
        <v>46712</v>
      </c>
      <c r="D62" s="41">
        <f>SUMPRODUCT(('Danh mục công việc'!$AC$7:$AC$66&gt;0)*('Danh mục công việc'!$AC$7:$AC$66&lt;=C62)*('Danh mục công việc'!$AD$7:$AD$66&gt;=B62))</f>
        <v>1</v>
      </c>
      <c r="E62" s="49">
        <f>SUMPRODUCT(('Danh mục công việc'!$AC$7:$AC$66&gt;0)*('Danh mục công việc'!$AC$7:$AC$66&lt;=C62)*('Danh mục công việc'!$AD$7:$AD$66&gt;=B62)*'Danh mục công việc'!$AF$7:$AF$66)</f>
        <v>20</v>
      </c>
      <c r="F62" s="47">
        <f>SUMPRODUCT(('Danh mục công việc'!$AC$7:$AC$66&gt;0)*'Danh mục công việc'!$AE$7:$AE$66/('Danh mục công việc'!$AD$7:$AD$66-'Danh mục công việc'!$AC$7:$AC$66+1)*(((('Danh mục công việc'!$AD$7:$AD$66&lt;C62)*'Danh mục công việc'!$AD$7:$AD$66+('Danh mục công việc'!$AD$7:$AD$66&gt;=C62)*C62)-(('Danh mục công việc'!$AC$7:$AC$66&gt;B62)*'Danh mục công việc'!$AC$7:$AC$66+('Danh mục công việc'!$AC$7:$AC$66&lt;=B62)*B62)+1)&gt;0)*((('Danh mục công việc'!$AD$7:$AD$66&lt;C62)*'Danh mục công việc'!$AD$7:$AD$66+('Danh mục công việc'!$AD$7:$AD$66&gt;=C62)*C62)-(('Danh mục công việc'!$AC$7:$AC$66&gt;B62)*'Danh mục công việc'!$AC$7:$AC$66+('Danh mục công việc'!$AC$7:$AC$66&lt;=B62)*B62)+1))</f>
        <v>105000000</v>
      </c>
      <c r="G62" s="47">
        <f t="shared" si="3"/>
        <v>37051000000</v>
      </c>
      <c r="H62" s="55">
        <f>IF('Danh mục công việc'!$H$67=0,0,G62/'Danh mục công việc'!$H$67)</f>
        <v>0.9979798524</v>
      </c>
    </row>
    <row r="63" ht="19.5" customHeight="1">
      <c r="A63" s="56">
        <v>56.0</v>
      </c>
      <c r="B63" s="57">
        <f t="shared" si="2"/>
        <v>46713</v>
      </c>
      <c r="C63" s="57">
        <f t="shared" si="1"/>
        <v>46719</v>
      </c>
      <c r="D63" s="56">
        <f>SUMPRODUCT(('Danh mục công việc'!$AC$7:$AC$66&gt;0)*('Danh mục công việc'!$AC$7:$AC$66&lt;=C63)*('Danh mục công việc'!$AD$7:$AD$66&gt;=B63))</f>
        <v>1</v>
      </c>
      <c r="E63" s="61">
        <f>SUMPRODUCT(('Danh mục công việc'!$AC$7:$AC$66&gt;0)*('Danh mục công việc'!$AC$7:$AC$66&lt;=C63)*('Danh mục công việc'!$AD$7:$AD$66&gt;=B63)*'Danh mục công việc'!$AF$7:$AF$66)</f>
        <v>20</v>
      </c>
      <c r="F63" s="66">
        <f>SUMPRODUCT(('Danh mục công việc'!$AC$7:$AC$66&gt;0)*'Danh mục công việc'!$AE$7:$AE$66/('Danh mục công việc'!$AD$7:$AD$66-'Danh mục công việc'!$AC$7:$AC$66+1)*(((('Danh mục công việc'!$AD$7:$AD$66&lt;C63)*'Danh mục công việc'!$AD$7:$AD$66+('Danh mục công việc'!$AD$7:$AD$66&gt;=C63)*C63)-(('Danh mục công việc'!$AC$7:$AC$66&gt;B63)*'Danh mục công việc'!$AC$7:$AC$66+('Danh mục công việc'!$AC$7:$AC$66&lt;=B63)*B63)+1)&gt;0)*((('Danh mục công việc'!$AD$7:$AD$66&lt;C63)*'Danh mục công việc'!$AD$7:$AD$66+('Danh mục công việc'!$AD$7:$AD$66&gt;=C63)*C63)-(('Danh mục công việc'!$AC$7:$AC$66&gt;B63)*'Danh mục công việc'!$AC$7:$AC$66+('Danh mục công việc'!$AC$7:$AC$66&lt;=B63)*B63)+1))</f>
        <v>75000000</v>
      </c>
      <c r="G63" s="66">
        <f t="shared" si="3"/>
        <v>37126000000</v>
      </c>
      <c r="H63" s="69">
        <f>IF('Danh mục công việc'!$H$67=0,0,G63/'Danh mục công việc'!$H$67)</f>
        <v>1</v>
      </c>
    </row>
    <row r="64" ht="19.5" customHeight="1">
      <c r="A64" s="41">
        <v>57.0</v>
      </c>
      <c r="B64" s="42">
        <f t="shared" si="2"/>
        <v>46720</v>
      </c>
      <c r="C64" s="42">
        <f t="shared" si="1"/>
        <v>46726</v>
      </c>
      <c r="D64" s="41">
        <f>SUMPRODUCT(('Danh mục công việc'!$AC$7:$AC$66&gt;0)*('Danh mục công việc'!$AC$7:$AC$66&lt;=C64)*('Danh mục công việc'!$AD$7:$AD$66&gt;=B64))</f>
        <v>1</v>
      </c>
      <c r="E64" s="49">
        <f>SUMPRODUCT(('Danh mục công việc'!$AC$7:$AC$66&gt;0)*('Danh mục công việc'!$AC$7:$AC$66&lt;=C64)*('Danh mục công việc'!$AD$7:$AD$66&gt;=B64)*'Danh mục công việc'!$AF$7:$AF$66)</f>
        <v>6</v>
      </c>
      <c r="F64" s="47">
        <f>SUMPRODUCT(('Danh mục công việc'!$AC$7:$AC$66&gt;0)*'Danh mục công việc'!$AE$7:$AE$66/('Danh mục công việc'!$AD$7:$AD$66-'Danh mục công việc'!$AC$7:$AC$66+1)*(((('Danh mục công việc'!$AD$7:$AD$66&lt;C64)*'Danh mục công việc'!$AD$7:$AD$66+('Danh mục công việc'!$AD$7:$AD$66&gt;=C64)*C64)-(('Danh mục công việc'!$AC$7:$AC$66&gt;B64)*'Danh mục công việc'!$AC$7:$AC$66+('Danh mục công việc'!$AC$7:$AC$66&lt;=B64)*B64)+1)&gt;0)*((('Danh mục công việc'!$AD$7:$AD$66&lt;C64)*'Danh mục công việc'!$AD$7:$AD$66+('Danh mục công việc'!$AD$7:$AD$66&gt;=C64)*C64)-(('Danh mục công việc'!$AC$7:$AC$66&gt;B64)*'Danh mục công việc'!$AC$7:$AC$66+('Danh mục công việc'!$AC$7:$AC$66&lt;=B64)*B64)+1))</f>
        <v>0</v>
      </c>
      <c r="G64" s="47">
        <f t="shared" si="3"/>
        <v>37126000000</v>
      </c>
      <c r="H64" s="55">
        <f>IF('Danh mục công việc'!$H$67=0,0,G64/'Danh mục công việc'!$H$67)</f>
        <v>1</v>
      </c>
    </row>
    <row r="65" ht="19.5" customHeight="1">
      <c r="A65" s="56">
        <v>58.0</v>
      </c>
      <c r="B65" s="57">
        <f t="shared" si="2"/>
        <v>46727</v>
      </c>
      <c r="C65" s="57">
        <f t="shared" si="1"/>
        <v>46733</v>
      </c>
      <c r="D65" s="56">
        <f>SUMPRODUCT(('Danh mục công việc'!$AC$7:$AC$66&gt;0)*('Danh mục công việc'!$AC$7:$AC$66&lt;=C65)*('Danh mục công việc'!$AD$7:$AD$66&gt;=B65))</f>
        <v>1</v>
      </c>
      <c r="E65" s="61">
        <f>SUMPRODUCT(('Danh mục công việc'!$AC$7:$AC$66&gt;0)*('Danh mục công việc'!$AC$7:$AC$66&lt;=C65)*('Danh mục công việc'!$AD$7:$AD$66&gt;=B65)*'Danh mục công việc'!$AF$7:$AF$66)</f>
        <v>6</v>
      </c>
      <c r="F65" s="66">
        <f>SUMPRODUCT(('Danh mục công việc'!$AC$7:$AC$66&gt;0)*'Danh mục công việc'!$AE$7:$AE$66/('Danh mục công việc'!$AD$7:$AD$66-'Danh mục công việc'!$AC$7:$AC$66+1)*(((('Danh mục công việc'!$AD$7:$AD$66&lt;C65)*'Danh mục công việc'!$AD$7:$AD$66+('Danh mục công việc'!$AD$7:$AD$66&gt;=C65)*C65)-(('Danh mục công việc'!$AC$7:$AC$66&gt;B65)*'Danh mục công việc'!$AC$7:$AC$66+('Danh mục công việc'!$AC$7:$AC$66&lt;=B65)*B65)+1)&gt;0)*((('Danh mục công việc'!$AD$7:$AD$66&lt;C65)*'Danh mục công việc'!$AD$7:$AD$66+('Danh mục công việc'!$AD$7:$AD$66&gt;=C65)*C65)-(('Danh mục công việc'!$AC$7:$AC$66&gt;B65)*'Danh mục công việc'!$AC$7:$AC$66+('Danh mục công việc'!$AC$7:$AC$66&lt;=B65)*B65)+1))</f>
        <v>0</v>
      </c>
      <c r="G65" s="66">
        <f t="shared" si="3"/>
        <v>37126000000</v>
      </c>
      <c r="H65" s="69">
        <f>IF('Danh mục công việc'!$H$67=0,0,G65/'Danh mục công việc'!$H$67)</f>
        <v>1</v>
      </c>
    </row>
    <row r="66" ht="19.5" customHeight="1">
      <c r="A66" s="41">
        <v>59.0</v>
      </c>
      <c r="B66" s="42">
        <f t="shared" si="2"/>
        <v>46734</v>
      </c>
      <c r="C66" s="42">
        <f t="shared" si="1"/>
        <v>46740</v>
      </c>
      <c r="D66" s="41">
        <f>SUMPRODUCT(('Danh mục công việc'!$AC$7:$AC$66&gt;0)*('Danh mục công việc'!$AC$7:$AC$66&lt;=C66)*('Danh mục công việc'!$AD$7:$AD$66&gt;=B66))</f>
        <v>0</v>
      </c>
      <c r="E66" s="49">
        <f>SUMPRODUCT(('Danh mục công việc'!$AC$7:$AC$66&gt;0)*('Danh mục công việc'!$AC$7:$AC$66&lt;=C66)*('Danh mục công việc'!$AD$7:$AD$66&gt;=B66)*'Danh mục công việc'!$AF$7:$AF$66)</f>
        <v>0</v>
      </c>
      <c r="F66" s="47">
        <f>SUMPRODUCT(('Danh mục công việc'!$AC$7:$AC$66&gt;0)*'Danh mục công việc'!$AE$7:$AE$66/('Danh mục công việc'!$AD$7:$AD$66-'Danh mục công việc'!$AC$7:$AC$66+1)*(((('Danh mục công việc'!$AD$7:$AD$66&lt;C66)*'Danh mục công việc'!$AD$7:$AD$66+('Danh mục công việc'!$AD$7:$AD$66&gt;=C66)*C66)-(('Danh mục công việc'!$AC$7:$AC$66&gt;B66)*'Danh mục công việc'!$AC$7:$AC$66+('Danh mục công việc'!$AC$7:$AC$66&lt;=B66)*B66)+1)&gt;0)*((('Danh mục công việc'!$AD$7:$AD$66&lt;C66)*'Danh mục công việc'!$AD$7:$AD$66+('Danh mục công việc'!$AD$7:$AD$66&gt;=C66)*C66)-(('Danh mục công việc'!$AC$7:$AC$66&gt;B66)*'Danh mục công việc'!$AC$7:$AC$66+('Danh mục công việc'!$AC$7:$AC$66&lt;=B66)*B66)+1))</f>
        <v>0</v>
      </c>
      <c r="G66" s="47">
        <f t="shared" si="3"/>
        <v>37126000000</v>
      </c>
      <c r="H66" s="55">
        <f>IF('Danh mục công việc'!$H$67=0,0,G66/'Danh mục công việc'!$H$67)</f>
        <v>1</v>
      </c>
    </row>
    <row r="67" ht="19.5" customHeight="1">
      <c r="A67" s="56">
        <v>60.0</v>
      </c>
      <c r="B67" s="57">
        <f t="shared" si="2"/>
        <v>46741</v>
      </c>
      <c r="C67" s="57">
        <f t="shared" si="1"/>
        <v>46747</v>
      </c>
      <c r="D67" s="56">
        <f>SUMPRODUCT(('Danh mục công việc'!$AC$7:$AC$66&gt;0)*('Danh mục công việc'!$AC$7:$AC$66&lt;=C67)*('Danh mục công việc'!$AD$7:$AD$66&gt;=B67))</f>
        <v>0</v>
      </c>
      <c r="E67" s="61">
        <f>SUMPRODUCT(('Danh mục công việc'!$AC$7:$AC$66&gt;0)*('Danh mục công việc'!$AC$7:$AC$66&lt;=C67)*('Danh mục công việc'!$AD$7:$AD$66&gt;=B67)*'Danh mục công việc'!$AF$7:$AF$66)</f>
        <v>0</v>
      </c>
      <c r="F67" s="66">
        <f>SUMPRODUCT(('Danh mục công việc'!$AC$7:$AC$66&gt;0)*'Danh mục công việc'!$AE$7:$AE$66/('Danh mục công việc'!$AD$7:$AD$66-'Danh mục công việc'!$AC$7:$AC$66+1)*(((('Danh mục công việc'!$AD$7:$AD$66&lt;C67)*'Danh mục công việc'!$AD$7:$AD$66+('Danh mục công việc'!$AD$7:$AD$66&gt;=C67)*C67)-(('Danh mục công việc'!$AC$7:$AC$66&gt;B67)*'Danh mục công việc'!$AC$7:$AC$66+('Danh mục công việc'!$AC$7:$AC$66&lt;=B67)*B67)+1)&gt;0)*((('Danh mục công việc'!$AD$7:$AD$66&lt;C67)*'Danh mục công việc'!$AD$7:$AD$66+('Danh mục công việc'!$AD$7:$AD$66&gt;=C67)*C67)-(('Danh mục công việc'!$AC$7:$AC$66&gt;B67)*'Danh mục công việc'!$AC$7:$AC$66+('Danh mục công việc'!$AC$7:$AC$66&lt;=B67)*B67)+1))</f>
        <v>0</v>
      </c>
      <c r="G67" s="66">
        <f t="shared" si="3"/>
        <v>37126000000</v>
      </c>
      <c r="H67" s="69">
        <f>IF('Danh mục công việc'!$H$67=0,0,G67/'Danh mục công việc'!$H$67)</f>
        <v>1</v>
      </c>
    </row>
    <row r="68" ht="15.75" customHeight="1">
      <c r="A68" s="91" t="s">
        <v>227</v>
      </c>
      <c r="B68" s="91"/>
      <c r="C68" s="91"/>
      <c r="D68" s="91" t="s">
        <v>228</v>
      </c>
      <c r="E68" s="92">
        <f>MAX(E8:E67)</f>
        <v>104</v>
      </c>
      <c r="F68" s="93">
        <f>SUM(F8:F67)</f>
        <v>37126000000</v>
      </c>
      <c r="G68" s="93">
        <f t="shared" ref="G68:H68" si="4">G67</f>
        <v>37126000000</v>
      </c>
      <c r="H68" s="94">
        <f t="shared" si="4"/>
        <v>1</v>
      </c>
    </row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4" right="0.4" top="1.0"/>
  <pageSetup fitToHeight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A6A6"/>
    <pageSetUpPr fitToPage="1"/>
  </sheetPr>
  <sheetViews>
    <sheetView showGridLines="0"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4.43" defaultRowHeight="15.0"/>
  <cols>
    <col customWidth="1" min="1" max="1" width="5.0"/>
    <col customWidth="1" min="2" max="2" width="34.0"/>
    <col customWidth="1" min="3" max="3" width="9.0"/>
    <col customWidth="1" min="4" max="4" width="13.0"/>
    <col customWidth="1" min="5" max="5" width="15.0"/>
    <col customWidth="1" min="6" max="6" width="17.0"/>
    <col customWidth="1" min="7" max="7" width="9.0"/>
    <col customWidth="1" min="8" max="8" width="13.0"/>
    <col customWidth="1" min="9" max="9" width="12.0"/>
    <col customWidth="1" min="10" max="10" width="14.0"/>
    <col customWidth="1" min="11" max="11" width="11.0"/>
    <col customWidth="1" min="12" max="12" width="20.0"/>
    <col customWidth="1" min="13" max="13" width="24.0"/>
    <col customWidth="1" min="14" max="14" width="30.0"/>
    <col customWidth="1" min="15" max="26" width="8.57"/>
  </cols>
  <sheetData>
    <row r="2" ht="31.5" customHeight="1">
      <c r="A2" s="1" t="s">
        <v>179</v>
      </c>
    </row>
    <row r="3">
      <c r="A3" s="16" t="str">
        <f>"Công trình: "&amp;IF('Cấu hình'!C6="","(chưa nhập)",'Cấu hình'!C6)</f>
        <v>Công trình: Tòa nhà văn phòng ABC – 8 tầng (dữ liệu mẫu)</v>
      </c>
      <c r="L3" s="90">
        <f>'Cấu hình'!$C$14</f>
        <v>46323</v>
      </c>
    </row>
    <row r="5">
      <c r="A5" s="33" t="s">
        <v>180</v>
      </c>
    </row>
    <row r="7" ht="39.75" customHeight="1">
      <c r="A7" s="5" t="s">
        <v>67</v>
      </c>
      <c r="B7" s="5" t="s">
        <v>181</v>
      </c>
      <c r="C7" s="5" t="s">
        <v>71</v>
      </c>
      <c r="D7" s="5" t="s">
        <v>72</v>
      </c>
      <c r="E7" s="5" t="s">
        <v>73</v>
      </c>
      <c r="F7" s="5" t="s">
        <v>75</v>
      </c>
      <c r="G7" s="5" t="s">
        <v>182</v>
      </c>
      <c r="H7" s="5" t="s">
        <v>183</v>
      </c>
      <c r="I7" s="5" t="s">
        <v>184</v>
      </c>
      <c r="J7" s="5" t="s">
        <v>185</v>
      </c>
      <c r="K7" s="5" t="s">
        <v>186</v>
      </c>
      <c r="L7" s="5" t="s">
        <v>187</v>
      </c>
      <c r="M7" s="5" t="s">
        <v>188</v>
      </c>
      <c r="N7" s="5" t="s">
        <v>101</v>
      </c>
    </row>
    <row r="8" ht="21.75" customHeight="1">
      <c r="A8" s="41">
        <f t="shared" ref="A8:A32" si="1">IF(B8="","",COUNTA($B$8:B8))</f>
        <v>1</v>
      </c>
      <c r="B8" s="9" t="s">
        <v>189</v>
      </c>
      <c r="C8" s="10" t="s">
        <v>150</v>
      </c>
      <c r="D8" s="44">
        <v>420.0</v>
      </c>
      <c r="E8" s="46">
        <v>1.75E7</v>
      </c>
      <c r="F8" s="47">
        <f t="shared" ref="F8:F32" si="2">IF(B8="","",D8*E8)</f>
        <v>7350000000</v>
      </c>
      <c r="G8" s="10" t="s">
        <v>148</v>
      </c>
      <c r="H8" s="42">
        <f t="array" ref="H8">IF(OR(B8="",G8=""),"",IFERROR(INDEX('Danh mục công việc'!$R$7:$R$66,MATCH(G8,'Danh mục công việc'!$B$7:$B$66,0)),"Sai mã CV"))</f>
        <v>46353</v>
      </c>
      <c r="I8" s="10">
        <v>10.0</v>
      </c>
      <c r="J8" s="42">
        <f>IF(ISNUMBER(H8),_xlfn.WORKDAY.INTL(H8,-N(I8),'Cấu hình'!$C$17,'Cấu hình'!$E$6:$E$35),"")</f>
        <v>46339</v>
      </c>
      <c r="K8" s="49">
        <f>IF(ISNUMBER(J8),J8-'Cấu hình'!$C$14,"")</f>
        <v>16</v>
      </c>
      <c r="L8" s="67" t="str">
        <f t="shared" ref="L8:L32" si="3">IF(ISNUMBER(K8),IF(K8&lt;0,"Quá hạn đặt hàng",IF(K8&lt;=7,"Đặt gấp (≤ 7 ngày)","Chưa đến hạn")),IF(H8="Sai mã CV","Sai mã CV",""))</f>
        <v>Chưa đến hạn</v>
      </c>
      <c r="M8" s="9" t="s">
        <v>190</v>
      </c>
      <c r="N8" s="9"/>
    </row>
    <row r="9" ht="21.75" customHeight="1">
      <c r="A9" s="41">
        <f t="shared" si="1"/>
        <v>2</v>
      </c>
      <c r="B9" s="9" t="s">
        <v>191</v>
      </c>
      <c r="C9" s="10" t="s">
        <v>150</v>
      </c>
      <c r="D9" s="44">
        <v>1400.0</v>
      </c>
      <c r="E9" s="46">
        <v>1550000.0</v>
      </c>
      <c r="F9" s="47">
        <f t="shared" si="2"/>
        <v>2170000000</v>
      </c>
      <c r="G9" s="10" t="s">
        <v>153</v>
      </c>
      <c r="H9" s="42">
        <f t="array" ref="H9">IF(OR(B9="",G9=""),"",IFERROR(INDEX('Danh mục công việc'!$R$7:$R$66,MATCH(G9,'Danh mục công việc'!$B$7:$B$66,0)),"Sai mã CV"))</f>
        <v>46367</v>
      </c>
      <c r="I9" s="10">
        <v>5.0</v>
      </c>
      <c r="J9" s="42">
        <f>IF(ISNUMBER(H9),_xlfn.WORKDAY.INTL(H9,-N(I9),'Cấu hình'!$C$17,'Cấu hình'!$E$6:$E$35),"")</f>
        <v>46360</v>
      </c>
      <c r="K9" s="49">
        <f>IF(ISNUMBER(J9),J9-'Cấu hình'!$C$14,"")</f>
        <v>37</v>
      </c>
      <c r="L9" s="67" t="str">
        <f t="shared" si="3"/>
        <v>Chưa đến hạn</v>
      </c>
      <c r="M9" s="9"/>
      <c r="N9" s="9"/>
    </row>
    <row r="10" ht="21.75" customHeight="1">
      <c r="A10" s="41">
        <f t="shared" si="1"/>
        <v>3</v>
      </c>
      <c r="B10" s="9" t="s">
        <v>192</v>
      </c>
      <c r="C10" s="10" t="s">
        <v>145</v>
      </c>
      <c r="D10" s="44">
        <v>950.0</v>
      </c>
      <c r="E10" s="46">
        <v>1450000.0</v>
      </c>
      <c r="F10" s="47">
        <f t="shared" si="2"/>
        <v>1377500000</v>
      </c>
      <c r="G10" s="10" t="s">
        <v>153</v>
      </c>
      <c r="H10" s="42">
        <f t="array" ref="H10">IF(OR(B10="",G10=""),"",IFERROR(INDEX('Danh mục công việc'!$R$7:$R$66,MATCH(G10,'Danh mục công việc'!$B$7:$B$66,0)),"Sai mã CV"))</f>
        <v>46367</v>
      </c>
      <c r="I10" s="10">
        <v>3.0</v>
      </c>
      <c r="J10" s="42">
        <f>IF(ISNUMBER(H10),_xlfn.WORKDAY.INTL(H10,-N(I10),'Cấu hình'!$C$17,'Cấu hình'!$E$6:$E$35),"")</f>
        <v>46364</v>
      </c>
      <c r="K10" s="49">
        <f>IF(ISNUMBER(J10),J10-'Cấu hình'!$C$14,"")</f>
        <v>41</v>
      </c>
      <c r="L10" s="67" t="str">
        <f t="shared" si="3"/>
        <v>Chưa đến hạn</v>
      </c>
      <c r="M10" s="9" t="s">
        <v>193</v>
      </c>
      <c r="N10" s="9"/>
    </row>
    <row r="11" ht="21.75" customHeight="1">
      <c r="A11" s="41">
        <f t="shared" si="1"/>
        <v>4</v>
      </c>
      <c r="B11" s="9" t="s">
        <v>194</v>
      </c>
      <c r="C11" s="10" t="s">
        <v>195</v>
      </c>
      <c r="D11" s="44">
        <v>600.0</v>
      </c>
      <c r="E11" s="46">
        <v>1200000.0</v>
      </c>
      <c r="F11" s="47">
        <f t="shared" si="2"/>
        <v>720000000</v>
      </c>
      <c r="G11" s="10" t="s">
        <v>157</v>
      </c>
      <c r="H11" s="42">
        <f t="array" ref="H11">IF(OR(B11="",G11=""),"",IFERROR(INDEX('Danh mục công việc'!$R$7:$R$66,MATCH(G11,'Danh mục công việc'!$B$7:$B$66,0)),"Sai mã CV"))</f>
        <v>46393</v>
      </c>
      <c r="I11" s="10">
        <v>15.0</v>
      </c>
      <c r="J11" s="42">
        <f>IF(ISNUMBER(H11),_xlfn.WORKDAY.INTL(H11,-N(I11),'Cấu hình'!$C$17,'Cấu hình'!$E$6:$E$35),"")</f>
        <v>46371</v>
      </c>
      <c r="K11" s="49">
        <f>IF(ISNUMBER(J11),J11-'Cấu hình'!$C$14,"")</f>
        <v>48</v>
      </c>
      <c r="L11" s="67" t="str">
        <f t="shared" si="3"/>
        <v>Chưa đến hạn</v>
      </c>
      <c r="M11" s="9" t="s">
        <v>196</v>
      </c>
      <c r="N11" s="9"/>
    </row>
    <row r="12" ht="21.75" customHeight="1">
      <c r="A12" s="41">
        <f t="shared" si="1"/>
        <v>5</v>
      </c>
      <c r="B12" s="9" t="s">
        <v>197</v>
      </c>
      <c r="C12" s="10" t="s">
        <v>198</v>
      </c>
      <c r="D12" s="44">
        <v>380000.0</v>
      </c>
      <c r="E12" s="46">
        <v>1400.0</v>
      </c>
      <c r="F12" s="47">
        <f t="shared" si="2"/>
        <v>532000000</v>
      </c>
      <c r="G12" s="10" t="s">
        <v>170</v>
      </c>
      <c r="H12" s="42">
        <f t="array" ref="H12">IF(OR(B12="",G12=""),"",IFERROR(INDEX('Danh mục công việc'!$R$7:$R$66,MATCH(G12,'Danh mục công việc'!$B$7:$B$66,0)),"Sai mã CV"))</f>
        <v>46449</v>
      </c>
      <c r="I12" s="10">
        <v>7.0</v>
      </c>
      <c r="J12" s="42">
        <f>IF(ISNUMBER(H12),_xlfn.WORKDAY.INTL(H12,-N(I12),'Cấu hình'!$C$17,'Cấu hình'!$E$6:$E$35),"")</f>
        <v>46440</v>
      </c>
      <c r="K12" s="49">
        <f>IF(ISNUMBER(J12),J12-'Cấu hình'!$C$14,"")</f>
        <v>117</v>
      </c>
      <c r="L12" s="67" t="str">
        <f t="shared" si="3"/>
        <v>Chưa đến hạn</v>
      </c>
      <c r="M12" s="9"/>
      <c r="N12" s="9"/>
    </row>
    <row r="13" ht="21.75" customHeight="1">
      <c r="A13" s="41">
        <f t="shared" si="1"/>
        <v>6</v>
      </c>
      <c r="B13" s="9" t="s">
        <v>199</v>
      </c>
      <c r="C13" s="10" t="s">
        <v>142</v>
      </c>
      <c r="D13" s="44">
        <v>1.0</v>
      </c>
      <c r="E13" s="46">
        <v>6.5E8</v>
      </c>
      <c r="F13" s="47">
        <f t="shared" si="2"/>
        <v>650000000</v>
      </c>
      <c r="G13" s="10" t="s">
        <v>174</v>
      </c>
      <c r="H13" s="42">
        <f t="array" ref="H13">IF(OR(B13="",G13=""),"",IFERROR(INDEX('Danh mục công việc'!$R$7:$R$66,MATCH(G13,'Danh mục công việc'!$B$7:$B$66,0)),"Sai mã CV"))</f>
        <v>46510</v>
      </c>
      <c r="I13" s="10">
        <v>15.0</v>
      </c>
      <c r="J13" s="42">
        <f>IF(ISNUMBER(H13),_xlfn.WORKDAY.INTL(H13,-N(I13),'Cấu hình'!$C$17,'Cấu hình'!$E$6:$E$35),"")</f>
        <v>46486</v>
      </c>
      <c r="K13" s="49">
        <f>IF(ISNUMBER(J13),J13-'Cấu hình'!$C$14,"")</f>
        <v>163</v>
      </c>
      <c r="L13" s="67" t="str">
        <f t="shared" si="3"/>
        <v>Chưa đến hạn</v>
      </c>
      <c r="M13" s="9"/>
      <c r="N13" s="9"/>
    </row>
    <row r="14" ht="21.75" customHeight="1">
      <c r="A14" s="41">
        <f t="shared" si="1"/>
        <v>7</v>
      </c>
      <c r="B14" s="9" t="s">
        <v>200</v>
      </c>
      <c r="C14" s="10" t="s">
        <v>122</v>
      </c>
      <c r="D14" s="44">
        <v>9500.0</v>
      </c>
      <c r="E14" s="46">
        <v>180000.0</v>
      </c>
      <c r="F14" s="47">
        <f t="shared" si="2"/>
        <v>1710000000</v>
      </c>
      <c r="G14" s="10" t="s">
        <v>201</v>
      </c>
      <c r="H14" s="42">
        <f t="array" ref="H14">IF(OR(B14="",G14=""),"",IFERROR(INDEX('Danh mục công việc'!$R$7:$R$66,MATCH(G14,'Danh mục công việc'!$B$7:$B$66,0)),"Sai mã CV"))</f>
        <v>46595</v>
      </c>
      <c r="I14" s="10">
        <v>20.0</v>
      </c>
      <c r="J14" s="42">
        <f>IF(ISNUMBER(H14),_xlfn.WORKDAY.INTL(H14,-N(I14),'Cấu hình'!$C$17,'Cấu hình'!$E$6:$E$35),"")</f>
        <v>46567</v>
      </c>
      <c r="K14" s="49">
        <f>IF(ISNUMBER(J14),J14-'Cấu hình'!$C$14,"")</f>
        <v>244</v>
      </c>
      <c r="L14" s="67" t="str">
        <f t="shared" si="3"/>
        <v>Chưa đến hạn</v>
      </c>
      <c r="M14" s="9"/>
      <c r="N14" s="9"/>
    </row>
    <row r="15" ht="21.75" customHeight="1">
      <c r="A15" s="41">
        <f t="shared" si="1"/>
        <v>8</v>
      </c>
      <c r="B15" s="9" t="s">
        <v>204</v>
      </c>
      <c r="C15" s="10" t="s">
        <v>205</v>
      </c>
      <c r="D15" s="44">
        <v>4200.0</v>
      </c>
      <c r="E15" s="46">
        <v>1300000.0</v>
      </c>
      <c r="F15" s="47">
        <f t="shared" si="2"/>
        <v>5460000000</v>
      </c>
      <c r="G15" s="10" t="s">
        <v>206</v>
      </c>
      <c r="H15" s="42">
        <f t="array" ref="H15">IF(OR(B15="",G15=""),"",IFERROR(INDEX('Danh mục công việc'!$R$7:$R$66,MATCH(G15,'Danh mục công việc'!$B$7:$B$66,0)),"Sai mã CV"))</f>
        <v>46630</v>
      </c>
      <c r="I15" s="10">
        <v>10.0</v>
      </c>
      <c r="J15" s="42">
        <f>IF(ISNUMBER(H15),_xlfn.WORKDAY.INTL(H15,-N(I15),'Cấu hình'!$C$17,'Cấu hình'!$E$6:$E$35),"")</f>
        <v>46616</v>
      </c>
      <c r="K15" s="49">
        <f>IF(ISNUMBER(J15),J15-'Cấu hình'!$C$14,"")</f>
        <v>293</v>
      </c>
      <c r="L15" s="67" t="str">
        <f t="shared" si="3"/>
        <v>Chưa đến hạn</v>
      </c>
      <c r="M15" s="9"/>
      <c r="N15" s="9"/>
    </row>
    <row r="16" ht="21.75" customHeight="1">
      <c r="A16" s="41">
        <f t="shared" si="1"/>
        <v>9</v>
      </c>
      <c r="B16" s="9" t="s">
        <v>207</v>
      </c>
      <c r="C16" s="10" t="s">
        <v>195</v>
      </c>
      <c r="D16" s="44">
        <v>420.0</v>
      </c>
      <c r="E16" s="46">
        <v>3200000.0</v>
      </c>
      <c r="F16" s="47">
        <f t="shared" si="2"/>
        <v>1344000000</v>
      </c>
      <c r="G16" s="10" t="s">
        <v>208</v>
      </c>
      <c r="H16" s="42">
        <f t="array" ref="H16">IF(OR(B16="",G16=""),"",IFERROR(INDEX('Danh mục công việc'!$R$7:$R$66,MATCH(G16,'Danh mục công việc'!$B$7:$B$66,0)),"Sai mã CV"))</f>
        <v>46651</v>
      </c>
      <c r="I16" s="10">
        <v>30.0</v>
      </c>
      <c r="J16" s="42">
        <f>IF(ISNUMBER(H16),_xlfn.WORKDAY.INTL(H16,-N(I16),'Cấu hình'!$C$17,'Cấu hình'!$E$6:$E$35),"")</f>
        <v>46609</v>
      </c>
      <c r="K16" s="49">
        <f>IF(ISNUMBER(J16),J16-'Cấu hình'!$C$14,"")</f>
        <v>286</v>
      </c>
      <c r="L16" s="67" t="str">
        <f t="shared" si="3"/>
        <v>Chưa đến hạn</v>
      </c>
      <c r="M16" s="9"/>
      <c r="N16" s="9"/>
    </row>
    <row r="17" ht="21.75" customHeight="1">
      <c r="A17" s="41">
        <f t="shared" si="1"/>
        <v>10</v>
      </c>
      <c r="B17" s="9" t="s">
        <v>209</v>
      </c>
      <c r="C17" s="10" t="s">
        <v>195</v>
      </c>
      <c r="D17" s="44">
        <v>160.0</v>
      </c>
      <c r="E17" s="46">
        <v>4500000.0</v>
      </c>
      <c r="F17" s="47">
        <f t="shared" si="2"/>
        <v>720000000</v>
      </c>
      <c r="G17" s="10" t="s">
        <v>210</v>
      </c>
      <c r="H17" s="42">
        <f t="array" ref="H17">IF(OR(B17="",G17=""),"",IFERROR(INDEX('Danh mục công việc'!$R$7:$R$66,MATCH(G17,'Danh mục công việc'!$B$7:$B$66,0)),"Sai mã CV"))</f>
        <v>46686</v>
      </c>
      <c r="I17" s="10">
        <v>25.0</v>
      </c>
      <c r="J17" s="42">
        <f>IF(ISNUMBER(H17),_xlfn.WORKDAY.INTL(H17,-N(I17),'Cấu hình'!$C$17,'Cấu hình'!$E$6:$E$35),"")</f>
        <v>46651</v>
      </c>
      <c r="K17" s="49">
        <f>IF(ISNUMBER(J17),J17-'Cấu hình'!$C$14,"")</f>
        <v>328</v>
      </c>
      <c r="L17" s="67" t="str">
        <f t="shared" si="3"/>
        <v>Chưa đến hạn</v>
      </c>
      <c r="M17" s="9"/>
      <c r="N17" s="9"/>
    </row>
    <row r="18" ht="21.75" customHeight="1">
      <c r="A18" s="41">
        <f t="shared" si="1"/>
        <v>11</v>
      </c>
      <c r="B18" s="9" t="s">
        <v>213</v>
      </c>
      <c r="C18" s="10" t="s">
        <v>195</v>
      </c>
      <c r="D18" s="44">
        <v>2.0</v>
      </c>
      <c r="E18" s="46">
        <v>1.1E9</v>
      </c>
      <c r="F18" s="47">
        <f t="shared" si="2"/>
        <v>2200000000</v>
      </c>
      <c r="G18" s="10" t="s">
        <v>214</v>
      </c>
      <c r="H18" s="42">
        <f t="array" ref="H18">IF(OR(B18="",G18=""),"",IFERROR(INDEX('Danh mục công việc'!$R$7:$R$66,MATCH(G18,'Danh mục công việc'!$B$7:$B$66,0)),"Sai mã CV"))</f>
        <v>46528</v>
      </c>
      <c r="I18" s="10">
        <v>60.0</v>
      </c>
      <c r="J18" s="42">
        <f>IF(ISNUMBER(H18),_xlfn.WORKDAY.INTL(H18,-N(I18),'Cấu hình'!$C$17,'Cấu hình'!$E$6:$E$35),"")</f>
        <v>46443</v>
      </c>
      <c r="K18" s="49">
        <f>IF(ISNUMBER(J18),J18-'Cấu hình'!$C$14,"")</f>
        <v>120</v>
      </c>
      <c r="L18" s="67" t="str">
        <f t="shared" si="3"/>
        <v>Chưa đến hạn</v>
      </c>
      <c r="M18" s="9" t="s">
        <v>215</v>
      </c>
      <c r="N18" s="9"/>
    </row>
    <row r="19" ht="21.75" customHeight="1">
      <c r="A19" s="41" t="str">
        <f t="shared" si="1"/>
        <v/>
      </c>
      <c r="B19" s="9"/>
      <c r="C19" s="10"/>
      <c r="D19" s="44"/>
      <c r="E19" s="46"/>
      <c r="F19" s="47" t="str">
        <f t="shared" si="2"/>
        <v/>
      </c>
      <c r="G19" s="10"/>
      <c r="H19" s="42" t="str">
        <f t="array" ref="H19">IF(OR(B19="",G19=""),"",IFERROR(INDEX('Danh mục công việc'!$R$7:$R$66,MATCH(G19,'Danh mục công việc'!$B$7:$B$66,0)),"Sai mã CV"))</f>
        <v/>
      </c>
      <c r="I19" s="10"/>
      <c r="J19" s="42" t="str">
        <f>IF(ISNUMBER(H19),_xlfn.WORKDAY.INTL(H19,-N(I19),'Cấu hình'!$C$17,'Cấu hình'!$E$6:$E$35),"")</f>
        <v/>
      </c>
      <c r="K19" s="49" t="str">
        <f>IF(ISNUMBER(J19),J19-'Cấu hình'!$C$14,"")</f>
        <v/>
      </c>
      <c r="L19" s="67" t="str">
        <f t="shared" si="3"/>
        <v/>
      </c>
      <c r="M19" s="9"/>
      <c r="N19" s="9"/>
    </row>
    <row r="20" ht="21.75" customHeight="1">
      <c r="A20" s="41" t="str">
        <f t="shared" si="1"/>
        <v/>
      </c>
      <c r="B20" s="9"/>
      <c r="C20" s="10"/>
      <c r="D20" s="44"/>
      <c r="E20" s="46"/>
      <c r="F20" s="47" t="str">
        <f t="shared" si="2"/>
        <v/>
      </c>
      <c r="G20" s="10"/>
      <c r="H20" s="42" t="str">
        <f t="array" ref="H20">IF(OR(B20="",G20=""),"",IFERROR(INDEX('Danh mục công việc'!$R$7:$R$66,MATCH(G20,'Danh mục công việc'!$B$7:$B$66,0)),"Sai mã CV"))</f>
        <v/>
      </c>
      <c r="I20" s="10"/>
      <c r="J20" s="42" t="str">
        <f>IF(ISNUMBER(H20),_xlfn.WORKDAY.INTL(H20,-N(I20),'Cấu hình'!$C$17,'Cấu hình'!$E$6:$E$35),"")</f>
        <v/>
      </c>
      <c r="K20" s="49" t="str">
        <f>IF(ISNUMBER(J20),J20-'Cấu hình'!$C$14,"")</f>
        <v/>
      </c>
      <c r="L20" s="67" t="str">
        <f t="shared" si="3"/>
        <v/>
      </c>
      <c r="M20" s="9"/>
      <c r="N20" s="9"/>
    </row>
    <row r="21" ht="21.75" customHeight="1">
      <c r="A21" s="41" t="str">
        <f t="shared" si="1"/>
        <v/>
      </c>
      <c r="B21" s="9"/>
      <c r="C21" s="10"/>
      <c r="D21" s="44"/>
      <c r="E21" s="46"/>
      <c r="F21" s="47" t="str">
        <f t="shared" si="2"/>
        <v/>
      </c>
      <c r="G21" s="10"/>
      <c r="H21" s="42" t="str">
        <f t="array" ref="H21">IF(OR(B21="",G21=""),"",IFERROR(INDEX('Danh mục công việc'!$R$7:$R$66,MATCH(G21,'Danh mục công việc'!$B$7:$B$66,0)),"Sai mã CV"))</f>
        <v/>
      </c>
      <c r="I21" s="10"/>
      <c r="J21" s="42" t="str">
        <f>IF(ISNUMBER(H21),_xlfn.WORKDAY.INTL(H21,-N(I21),'Cấu hình'!$C$17,'Cấu hình'!$E$6:$E$35),"")</f>
        <v/>
      </c>
      <c r="K21" s="49" t="str">
        <f>IF(ISNUMBER(J21),J21-'Cấu hình'!$C$14,"")</f>
        <v/>
      </c>
      <c r="L21" s="67" t="str">
        <f t="shared" si="3"/>
        <v/>
      </c>
      <c r="M21" s="9"/>
      <c r="N21" s="9"/>
    </row>
    <row r="22" ht="21.75" customHeight="1">
      <c r="A22" s="41" t="str">
        <f t="shared" si="1"/>
        <v/>
      </c>
      <c r="B22" s="9"/>
      <c r="C22" s="10"/>
      <c r="D22" s="44"/>
      <c r="E22" s="46"/>
      <c r="F22" s="47" t="str">
        <f t="shared" si="2"/>
        <v/>
      </c>
      <c r="G22" s="10"/>
      <c r="H22" s="42" t="str">
        <f t="array" ref="H22">IF(OR(B22="",G22=""),"",IFERROR(INDEX('Danh mục công việc'!$R$7:$R$66,MATCH(G22,'Danh mục công việc'!$B$7:$B$66,0)),"Sai mã CV"))</f>
        <v/>
      </c>
      <c r="I22" s="10"/>
      <c r="J22" s="42" t="str">
        <f>IF(ISNUMBER(H22),_xlfn.WORKDAY.INTL(H22,-N(I22),'Cấu hình'!$C$17,'Cấu hình'!$E$6:$E$35),"")</f>
        <v/>
      </c>
      <c r="K22" s="49" t="str">
        <f>IF(ISNUMBER(J22),J22-'Cấu hình'!$C$14,"")</f>
        <v/>
      </c>
      <c r="L22" s="67" t="str">
        <f t="shared" si="3"/>
        <v/>
      </c>
      <c r="M22" s="9"/>
      <c r="N22" s="9"/>
    </row>
    <row r="23" ht="21.75" customHeight="1">
      <c r="A23" s="41" t="str">
        <f t="shared" si="1"/>
        <v/>
      </c>
      <c r="B23" s="9"/>
      <c r="C23" s="10"/>
      <c r="D23" s="44"/>
      <c r="E23" s="46"/>
      <c r="F23" s="47" t="str">
        <f t="shared" si="2"/>
        <v/>
      </c>
      <c r="G23" s="10"/>
      <c r="H23" s="42" t="str">
        <f t="array" ref="H23">IF(OR(B23="",G23=""),"",IFERROR(INDEX('Danh mục công việc'!$R$7:$R$66,MATCH(G23,'Danh mục công việc'!$B$7:$B$66,0)),"Sai mã CV"))</f>
        <v/>
      </c>
      <c r="I23" s="10"/>
      <c r="J23" s="42" t="str">
        <f>IF(ISNUMBER(H23),_xlfn.WORKDAY.INTL(H23,-N(I23),'Cấu hình'!$C$17,'Cấu hình'!$E$6:$E$35),"")</f>
        <v/>
      </c>
      <c r="K23" s="49" t="str">
        <f>IF(ISNUMBER(J23),J23-'Cấu hình'!$C$14,"")</f>
        <v/>
      </c>
      <c r="L23" s="67" t="str">
        <f t="shared" si="3"/>
        <v/>
      </c>
      <c r="M23" s="9"/>
      <c r="N23" s="9"/>
    </row>
    <row r="24" ht="21.75" customHeight="1">
      <c r="A24" s="41" t="str">
        <f t="shared" si="1"/>
        <v/>
      </c>
      <c r="B24" s="9"/>
      <c r="C24" s="10"/>
      <c r="D24" s="44"/>
      <c r="E24" s="46"/>
      <c r="F24" s="47" t="str">
        <f t="shared" si="2"/>
        <v/>
      </c>
      <c r="G24" s="10"/>
      <c r="H24" s="42" t="str">
        <f t="array" ref="H24">IF(OR(B24="",G24=""),"",IFERROR(INDEX('Danh mục công việc'!$R$7:$R$66,MATCH(G24,'Danh mục công việc'!$B$7:$B$66,0)),"Sai mã CV"))</f>
        <v/>
      </c>
      <c r="I24" s="10"/>
      <c r="J24" s="42" t="str">
        <f>IF(ISNUMBER(H24),_xlfn.WORKDAY.INTL(H24,-N(I24),'Cấu hình'!$C$17,'Cấu hình'!$E$6:$E$35),"")</f>
        <v/>
      </c>
      <c r="K24" s="49" t="str">
        <f>IF(ISNUMBER(J24),J24-'Cấu hình'!$C$14,"")</f>
        <v/>
      </c>
      <c r="L24" s="67" t="str">
        <f t="shared" si="3"/>
        <v/>
      </c>
      <c r="M24" s="9"/>
      <c r="N24" s="9"/>
    </row>
    <row r="25" ht="21.75" customHeight="1">
      <c r="A25" s="41" t="str">
        <f t="shared" si="1"/>
        <v/>
      </c>
      <c r="B25" s="9"/>
      <c r="C25" s="10"/>
      <c r="D25" s="44"/>
      <c r="E25" s="46"/>
      <c r="F25" s="47" t="str">
        <f t="shared" si="2"/>
        <v/>
      </c>
      <c r="G25" s="10"/>
      <c r="H25" s="42" t="str">
        <f t="array" ref="H25">IF(OR(B25="",G25=""),"",IFERROR(INDEX('Danh mục công việc'!$R$7:$R$66,MATCH(G25,'Danh mục công việc'!$B$7:$B$66,0)),"Sai mã CV"))</f>
        <v/>
      </c>
      <c r="I25" s="10"/>
      <c r="J25" s="42" t="str">
        <f>IF(ISNUMBER(H25),_xlfn.WORKDAY.INTL(H25,-N(I25),'Cấu hình'!$C$17,'Cấu hình'!$E$6:$E$35),"")</f>
        <v/>
      </c>
      <c r="K25" s="49" t="str">
        <f>IF(ISNUMBER(J25),J25-'Cấu hình'!$C$14,"")</f>
        <v/>
      </c>
      <c r="L25" s="67" t="str">
        <f t="shared" si="3"/>
        <v/>
      </c>
      <c r="M25" s="9"/>
      <c r="N25" s="9"/>
    </row>
    <row r="26" ht="21.75" customHeight="1">
      <c r="A26" s="41" t="str">
        <f t="shared" si="1"/>
        <v/>
      </c>
      <c r="B26" s="9"/>
      <c r="C26" s="10"/>
      <c r="D26" s="44"/>
      <c r="E26" s="46"/>
      <c r="F26" s="47" t="str">
        <f t="shared" si="2"/>
        <v/>
      </c>
      <c r="G26" s="10"/>
      <c r="H26" s="42" t="str">
        <f t="array" ref="H26">IF(OR(B26="",G26=""),"",IFERROR(INDEX('Danh mục công việc'!$R$7:$R$66,MATCH(G26,'Danh mục công việc'!$B$7:$B$66,0)),"Sai mã CV"))</f>
        <v/>
      </c>
      <c r="I26" s="10"/>
      <c r="J26" s="42" t="str">
        <f>IF(ISNUMBER(H26),_xlfn.WORKDAY.INTL(H26,-N(I26),'Cấu hình'!$C$17,'Cấu hình'!$E$6:$E$35),"")</f>
        <v/>
      </c>
      <c r="K26" s="49" t="str">
        <f>IF(ISNUMBER(J26),J26-'Cấu hình'!$C$14,"")</f>
        <v/>
      </c>
      <c r="L26" s="67" t="str">
        <f t="shared" si="3"/>
        <v/>
      </c>
      <c r="M26" s="9"/>
      <c r="N26" s="9"/>
    </row>
    <row r="27" ht="21.75" customHeight="1">
      <c r="A27" s="41" t="str">
        <f t="shared" si="1"/>
        <v/>
      </c>
      <c r="B27" s="9"/>
      <c r="C27" s="10"/>
      <c r="D27" s="44"/>
      <c r="E27" s="46"/>
      <c r="F27" s="47" t="str">
        <f t="shared" si="2"/>
        <v/>
      </c>
      <c r="G27" s="10"/>
      <c r="H27" s="42" t="str">
        <f t="array" ref="H27">IF(OR(B27="",G27=""),"",IFERROR(INDEX('Danh mục công việc'!$R$7:$R$66,MATCH(G27,'Danh mục công việc'!$B$7:$B$66,0)),"Sai mã CV"))</f>
        <v/>
      </c>
      <c r="I27" s="10"/>
      <c r="J27" s="42" t="str">
        <f>IF(ISNUMBER(H27),_xlfn.WORKDAY.INTL(H27,-N(I27),'Cấu hình'!$C$17,'Cấu hình'!$E$6:$E$35),"")</f>
        <v/>
      </c>
      <c r="K27" s="49" t="str">
        <f>IF(ISNUMBER(J27),J27-'Cấu hình'!$C$14,"")</f>
        <v/>
      </c>
      <c r="L27" s="67" t="str">
        <f t="shared" si="3"/>
        <v/>
      </c>
      <c r="M27" s="9"/>
      <c r="N27" s="9"/>
    </row>
    <row r="28" ht="21.75" customHeight="1">
      <c r="A28" s="41" t="str">
        <f t="shared" si="1"/>
        <v/>
      </c>
      <c r="B28" s="9"/>
      <c r="C28" s="10"/>
      <c r="D28" s="44"/>
      <c r="E28" s="46"/>
      <c r="F28" s="47" t="str">
        <f t="shared" si="2"/>
        <v/>
      </c>
      <c r="G28" s="10"/>
      <c r="H28" s="42" t="str">
        <f t="array" ref="H28">IF(OR(B28="",G28=""),"",IFERROR(INDEX('Danh mục công việc'!$R$7:$R$66,MATCH(G28,'Danh mục công việc'!$B$7:$B$66,0)),"Sai mã CV"))</f>
        <v/>
      </c>
      <c r="I28" s="10"/>
      <c r="J28" s="42" t="str">
        <f>IF(ISNUMBER(H28),_xlfn.WORKDAY.INTL(H28,-N(I28),'Cấu hình'!$C$17,'Cấu hình'!$E$6:$E$35),"")</f>
        <v/>
      </c>
      <c r="K28" s="49" t="str">
        <f>IF(ISNUMBER(J28),J28-'Cấu hình'!$C$14,"")</f>
        <v/>
      </c>
      <c r="L28" s="67" t="str">
        <f t="shared" si="3"/>
        <v/>
      </c>
      <c r="M28" s="9"/>
      <c r="N28" s="9"/>
    </row>
    <row r="29" ht="21.75" customHeight="1">
      <c r="A29" s="41" t="str">
        <f t="shared" si="1"/>
        <v/>
      </c>
      <c r="B29" s="9"/>
      <c r="C29" s="10"/>
      <c r="D29" s="44"/>
      <c r="E29" s="46"/>
      <c r="F29" s="47" t="str">
        <f t="shared" si="2"/>
        <v/>
      </c>
      <c r="G29" s="10"/>
      <c r="H29" s="42" t="str">
        <f t="array" ref="H29">IF(OR(B29="",G29=""),"",IFERROR(INDEX('Danh mục công việc'!$R$7:$R$66,MATCH(G29,'Danh mục công việc'!$B$7:$B$66,0)),"Sai mã CV"))</f>
        <v/>
      </c>
      <c r="I29" s="10"/>
      <c r="J29" s="42" t="str">
        <f>IF(ISNUMBER(H29),_xlfn.WORKDAY.INTL(H29,-N(I29),'Cấu hình'!$C$17,'Cấu hình'!$E$6:$E$35),"")</f>
        <v/>
      </c>
      <c r="K29" s="49" t="str">
        <f>IF(ISNUMBER(J29),J29-'Cấu hình'!$C$14,"")</f>
        <v/>
      </c>
      <c r="L29" s="67" t="str">
        <f t="shared" si="3"/>
        <v/>
      </c>
      <c r="M29" s="9"/>
      <c r="N29" s="9"/>
    </row>
    <row r="30" ht="21.75" customHeight="1">
      <c r="A30" s="41" t="str">
        <f t="shared" si="1"/>
        <v/>
      </c>
      <c r="B30" s="9"/>
      <c r="C30" s="10"/>
      <c r="D30" s="44"/>
      <c r="E30" s="46"/>
      <c r="F30" s="47" t="str">
        <f t="shared" si="2"/>
        <v/>
      </c>
      <c r="G30" s="10"/>
      <c r="H30" s="42" t="str">
        <f t="array" ref="H30">IF(OR(B30="",G30=""),"",IFERROR(INDEX('Danh mục công việc'!$R$7:$R$66,MATCH(G30,'Danh mục công việc'!$B$7:$B$66,0)),"Sai mã CV"))</f>
        <v/>
      </c>
      <c r="I30" s="10"/>
      <c r="J30" s="42" t="str">
        <f>IF(ISNUMBER(H30),_xlfn.WORKDAY.INTL(H30,-N(I30),'Cấu hình'!$C$17,'Cấu hình'!$E$6:$E$35),"")</f>
        <v/>
      </c>
      <c r="K30" s="49" t="str">
        <f>IF(ISNUMBER(J30),J30-'Cấu hình'!$C$14,"")</f>
        <v/>
      </c>
      <c r="L30" s="67" t="str">
        <f t="shared" si="3"/>
        <v/>
      </c>
      <c r="M30" s="9"/>
      <c r="N30" s="9"/>
    </row>
    <row r="31" ht="21.75" customHeight="1">
      <c r="A31" s="41" t="str">
        <f t="shared" si="1"/>
        <v/>
      </c>
      <c r="B31" s="9"/>
      <c r="C31" s="10"/>
      <c r="D31" s="44"/>
      <c r="E31" s="46"/>
      <c r="F31" s="47" t="str">
        <f t="shared" si="2"/>
        <v/>
      </c>
      <c r="G31" s="10"/>
      <c r="H31" s="42" t="str">
        <f t="array" ref="H31">IF(OR(B31="",G31=""),"",IFERROR(INDEX('Danh mục công việc'!$R$7:$R$66,MATCH(G31,'Danh mục công việc'!$B$7:$B$66,0)),"Sai mã CV"))</f>
        <v/>
      </c>
      <c r="I31" s="10"/>
      <c r="J31" s="42" t="str">
        <f>IF(ISNUMBER(H31),_xlfn.WORKDAY.INTL(H31,-N(I31),'Cấu hình'!$C$17,'Cấu hình'!$E$6:$E$35),"")</f>
        <v/>
      </c>
      <c r="K31" s="49" t="str">
        <f>IF(ISNUMBER(J31),J31-'Cấu hình'!$C$14,"")</f>
        <v/>
      </c>
      <c r="L31" s="67" t="str">
        <f t="shared" si="3"/>
        <v/>
      </c>
      <c r="M31" s="9"/>
      <c r="N31" s="9"/>
    </row>
    <row r="32" ht="21.75" customHeight="1">
      <c r="A32" s="41" t="str">
        <f t="shared" si="1"/>
        <v/>
      </c>
      <c r="B32" s="9"/>
      <c r="C32" s="10"/>
      <c r="D32" s="44"/>
      <c r="E32" s="46"/>
      <c r="F32" s="47" t="str">
        <f t="shared" si="2"/>
        <v/>
      </c>
      <c r="G32" s="10"/>
      <c r="H32" s="42" t="str">
        <f t="array" ref="H32">IF(OR(B32="",G32=""),"",IFERROR(INDEX('Danh mục công việc'!$R$7:$R$66,MATCH(G32,'Danh mục công việc'!$B$7:$B$66,0)),"Sai mã CV"))</f>
        <v/>
      </c>
      <c r="I32" s="10"/>
      <c r="J32" s="42" t="str">
        <f>IF(ISNUMBER(H32),_xlfn.WORKDAY.INTL(H32,-N(I32),'Cấu hình'!$C$17,'Cấu hình'!$E$6:$E$35),"")</f>
        <v/>
      </c>
      <c r="K32" s="49" t="str">
        <f>IF(ISNUMBER(J32),J32-'Cấu hình'!$C$14,"")</f>
        <v/>
      </c>
      <c r="L32" s="67" t="str">
        <f t="shared" si="3"/>
        <v/>
      </c>
      <c r="M32" s="9"/>
      <c r="N32" s="9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L8:L32">
    <cfRule type="cellIs" dxfId="1" priority="1" operator="equal">
      <formula>"Quá hạn đặt hàng"</formula>
    </cfRule>
  </conditionalFormatting>
  <conditionalFormatting sqref="L8:L32">
    <cfRule type="cellIs" dxfId="3" priority="2" operator="equal">
      <formula>"Đặt gấp (≤ 7 ngày)"</formula>
    </cfRule>
  </conditionalFormatting>
  <conditionalFormatting sqref="L8:L32">
    <cfRule type="cellIs" dxfId="4" priority="3" operator="equal">
      <formula>"Chưa đến hạn"</formula>
    </cfRule>
  </conditionalFormatting>
  <conditionalFormatting sqref="L8:L32">
    <cfRule type="cellIs" dxfId="2" priority="4" operator="equal">
      <formula>"Sai mã CV"</formula>
    </cfRule>
  </conditionalFormatting>
  <dataValidations>
    <dataValidation type="decimal" operator="greaterThanOrEqual" allowBlank="1" sqref="D8:E32 I8:I32">
      <formula1>0.0</formula1>
    </dataValidation>
    <dataValidation type="list" allowBlank="1" sqref="G8:G32">
      <formula1>'Danh mục công việc'!$B$7:$B$66</formula1>
    </dataValidation>
  </dataValidations>
  <printOptions/>
  <pageMargins bottom="1.0" footer="0.0" header="0.0" left="0.4" right="0.4" top="1.0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2026-10-28T08:19:57Z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